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th functions" sheetId="1" r:id="rId4"/>
    <sheet state="visible" name="conditional functions" sheetId="2" r:id="rId5"/>
    <sheet state="visible" name="text functions" sheetId="3" r:id="rId6"/>
    <sheet state="visible" name="conditional functions 2" sheetId="4" r:id="rId7"/>
    <sheet state="visible" name="text functions 2" sheetId="5" r:id="rId8"/>
    <sheet state="visible" name="sort" sheetId="6" r:id="rId9"/>
    <sheet state="visible" name="query function" sheetId="7" r:id="rId10"/>
    <sheet state="visible" name="Sheet10" sheetId="8" r:id="rId11"/>
    <sheet state="visible" name="pivot table and dashboard" sheetId="9" r:id="rId12"/>
    <sheet state="visible" name="Pivot Table 2" sheetId="10" r:id="rId13"/>
    <sheet state="visible" name="Pivot Table 3" sheetId="11" r:id="rId14"/>
    <sheet state="visible" name="Pivot Table 1" sheetId="12" r:id="rId15"/>
  </sheets>
  <definedNames/>
  <calcPr/>
  <pivotCaches>
    <pivotCache cacheId="0" r:id="rId16"/>
    <pivotCache cacheId="1" r:id="rId17"/>
  </pivotCaches>
</workbook>
</file>

<file path=xl/sharedStrings.xml><?xml version="1.0" encoding="utf-8"?>
<sst xmlns="http://schemas.openxmlformats.org/spreadsheetml/2006/main" count="1674" uniqueCount="468">
  <si>
    <t>Name</t>
  </si>
  <si>
    <t>City</t>
  </si>
  <si>
    <t>Region</t>
  </si>
  <si>
    <t>Employment Type</t>
  </si>
  <si>
    <t>Sales Unit</t>
  </si>
  <si>
    <t>Manoj Joshi</t>
  </si>
  <si>
    <t>Gurgaon</t>
  </si>
  <si>
    <t>North</t>
  </si>
  <si>
    <t>Agent</t>
  </si>
  <si>
    <t>Sum If above Sales unit is 100</t>
  </si>
  <si>
    <t>Pankaj kumar</t>
  </si>
  <si>
    <t>East</t>
  </si>
  <si>
    <t>Permanent</t>
  </si>
  <si>
    <t>sum sales unit only Gurgaon city values</t>
  </si>
  <si>
    <t>Pintu singh</t>
  </si>
  <si>
    <t>West</t>
  </si>
  <si>
    <t>Average of Sales unit from North</t>
  </si>
  <si>
    <t>Sunil kr.</t>
  </si>
  <si>
    <t>South</t>
  </si>
  <si>
    <t>Count No of Agents inEmployment Type</t>
  </si>
  <si>
    <t>Md tabrez</t>
  </si>
  <si>
    <t>Noida</t>
  </si>
  <si>
    <t>Seema</t>
  </si>
  <si>
    <t>Abbas</t>
  </si>
  <si>
    <t>Sum sales unit from North and Permanent</t>
  </si>
  <si>
    <t>Raj sagar</t>
  </si>
  <si>
    <t>Find average of Sales Unit above 100 and permanent</t>
  </si>
  <si>
    <t>Aryan</t>
  </si>
  <si>
    <t>Delhi</t>
  </si>
  <si>
    <t>Count Agent from Noida</t>
  </si>
  <si>
    <t>Ravinder chauhan</t>
  </si>
  <si>
    <t>Deepak kumar</t>
  </si>
  <si>
    <t>Count Agent from North Region</t>
  </si>
  <si>
    <t>Prashant</t>
  </si>
  <si>
    <t>Rajiv</t>
  </si>
  <si>
    <t>Mayank chatterjee</t>
  </si>
  <si>
    <t>Faridabad</t>
  </si>
  <si>
    <t>Jitender</t>
  </si>
  <si>
    <t>Kapil</t>
  </si>
  <si>
    <t>Arti Verma</t>
  </si>
  <si>
    <t>Anand pal</t>
  </si>
  <si>
    <t>Ghaziabad</t>
  </si>
  <si>
    <t>Dhananjay kumar</t>
  </si>
  <si>
    <t>Sachin</t>
  </si>
  <si>
    <t>Saurabh</t>
  </si>
  <si>
    <t>rahul yadav</t>
  </si>
  <si>
    <t>virendra yadav</t>
  </si>
  <si>
    <t>Soni gupta</t>
  </si>
  <si>
    <t>shimaila anwarul</t>
  </si>
  <si>
    <t>Honey mittal</t>
  </si>
  <si>
    <t>Adnan Ali</t>
  </si>
  <si>
    <t>Anant</t>
  </si>
  <si>
    <t>Rajender</t>
  </si>
  <si>
    <t>Sanjeev</t>
  </si>
  <si>
    <t>Maya</t>
  </si>
  <si>
    <t>Anjali kaushik</t>
  </si>
  <si>
    <t>Suyash pandey</t>
  </si>
  <si>
    <t>Rajesh Pant</t>
  </si>
  <si>
    <t>Nida Fatima</t>
  </si>
  <si>
    <t>krashna</t>
  </si>
  <si>
    <t>Arun kumar</t>
  </si>
  <si>
    <t>Sumit Balodi</t>
  </si>
  <si>
    <t>Kumar harsh</t>
  </si>
  <si>
    <t>Sunny kumar</t>
  </si>
  <si>
    <t>Nishant</t>
  </si>
  <si>
    <t>Sachin kr.</t>
  </si>
  <si>
    <t>Tanweer mohmd.</t>
  </si>
  <si>
    <t>Roshin</t>
  </si>
  <si>
    <t>Pardeep Manocha</t>
  </si>
  <si>
    <t>Manish</t>
  </si>
  <si>
    <t>SUMIT VERMA</t>
  </si>
  <si>
    <t>Himani Sharma</t>
  </si>
  <si>
    <t>lokesh chawla</t>
  </si>
  <si>
    <t>Dipak singh</t>
  </si>
  <si>
    <t>vinay kumar ray</t>
  </si>
  <si>
    <t>Gagan deep</t>
  </si>
  <si>
    <t>Arun</t>
  </si>
  <si>
    <t>Amarjit kumar</t>
  </si>
  <si>
    <t>Anamika</t>
  </si>
  <si>
    <t>Yashpal singh</t>
  </si>
  <si>
    <t>Atul</t>
  </si>
  <si>
    <t>Gunajeet</t>
  </si>
  <si>
    <t>Kuldeep</t>
  </si>
  <si>
    <t>Praveen Bansal</t>
  </si>
  <si>
    <t>vandana</t>
  </si>
  <si>
    <t>Naveen vijayarnia</t>
  </si>
  <si>
    <t>Vikas</t>
  </si>
  <si>
    <t>In result column,if total is greater than 40 then the result should show pass else fail</t>
  </si>
  <si>
    <t>In the Status column, if the total is equal to maximum of the total column then label as "topper" and if the total is equal to the minimum of the total column then label as "lower"</t>
  </si>
  <si>
    <t>Unit Test (Out of 30)</t>
  </si>
  <si>
    <t>Weitage (10%)</t>
  </si>
  <si>
    <t>Half Yearly (Out of 100)</t>
  </si>
  <si>
    <t>Weitage (20%)</t>
  </si>
  <si>
    <t>Final Exam (Out of 100)</t>
  </si>
  <si>
    <t>Weitage (70%)</t>
  </si>
  <si>
    <t>Total</t>
  </si>
  <si>
    <t>Result</t>
  </si>
  <si>
    <t>Status</t>
  </si>
  <si>
    <t>jagdeep singh chahal</t>
  </si>
  <si>
    <t>Sumant gupta</t>
  </si>
  <si>
    <t>santosh jha</t>
  </si>
  <si>
    <t>pardeep</t>
  </si>
  <si>
    <t>Abhishek</t>
  </si>
  <si>
    <t>Siddharth kumar</t>
  </si>
  <si>
    <t>Sajid ALi</t>
  </si>
  <si>
    <t>Mohit Tyagi</t>
  </si>
  <si>
    <t>sandeep kr.</t>
  </si>
  <si>
    <t>Pooja</t>
  </si>
  <si>
    <t>Pushkar Lodhi</t>
  </si>
  <si>
    <t>Deep Kumar Das</t>
  </si>
  <si>
    <t>Rohit jangir</t>
  </si>
  <si>
    <t>Ashish malviya</t>
  </si>
  <si>
    <t>Ritika</t>
  </si>
  <si>
    <t>Ravikant</t>
  </si>
  <si>
    <t>Niraj kr.</t>
  </si>
  <si>
    <t>Abu farhan</t>
  </si>
  <si>
    <t>Abhay kr.</t>
  </si>
  <si>
    <t>Yogesh himdan</t>
  </si>
  <si>
    <t>Pankaj Singh</t>
  </si>
  <si>
    <t>Rachna</t>
  </si>
  <si>
    <t>Trilok chand</t>
  </si>
  <si>
    <t>Aditya</t>
  </si>
  <si>
    <t>Dhanjeet</t>
  </si>
  <si>
    <t>Mayank</t>
  </si>
  <si>
    <t>Pratap singh</t>
  </si>
  <si>
    <t>Ashutosh upadhyay</t>
  </si>
  <si>
    <t>Ranjeet</t>
  </si>
  <si>
    <t>Deepanshu mishra</t>
  </si>
  <si>
    <t>Anil kr.</t>
  </si>
  <si>
    <t>Mohd javed</t>
  </si>
  <si>
    <t>Pragya Ratan</t>
  </si>
  <si>
    <t>Abhishek singh</t>
  </si>
  <si>
    <t>Anish</t>
  </si>
  <si>
    <t>Garima rustagi</t>
  </si>
  <si>
    <t>Megha kurl</t>
  </si>
  <si>
    <t>Shivani tyagi</t>
  </si>
  <si>
    <t>Manoj</t>
  </si>
  <si>
    <t>B p vikas</t>
  </si>
  <si>
    <t>Shamsher Ali</t>
  </si>
  <si>
    <t>kaninika</t>
  </si>
  <si>
    <t>Rajneesh Kumar</t>
  </si>
  <si>
    <t>Aakansha</t>
  </si>
  <si>
    <t>Rupak Prashant</t>
  </si>
  <si>
    <t>vinod rawat</t>
  </si>
  <si>
    <t>Kamal</t>
  </si>
  <si>
    <t>Naushad ali</t>
  </si>
  <si>
    <t>Himanshu</t>
  </si>
  <si>
    <t>Haichenlo</t>
  </si>
  <si>
    <t>Neha bharti</t>
  </si>
  <si>
    <t>Sandeep singh</t>
  </si>
  <si>
    <t>Sandeep</t>
  </si>
  <si>
    <t>Saurabh pandey</t>
  </si>
  <si>
    <t>prabhakar kumar</t>
  </si>
  <si>
    <t>Asha bhandari</t>
  </si>
  <si>
    <t>pankajbora</t>
  </si>
  <si>
    <t>Harpreet singh</t>
  </si>
  <si>
    <t>Shiv</t>
  </si>
  <si>
    <t>Tausif</t>
  </si>
  <si>
    <t>Ravish Kumar Ravi</t>
  </si>
  <si>
    <t>rosy gupta</t>
  </si>
  <si>
    <t>Shilpa</t>
  </si>
  <si>
    <t>Jitendra kumar paswan</t>
  </si>
  <si>
    <t>Balsimran singh</t>
  </si>
  <si>
    <t>Deepak sharma</t>
  </si>
  <si>
    <t>karbhabam noren singh</t>
  </si>
  <si>
    <t>Ankit singh</t>
  </si>
  <si>
    <t>Manjesh Ku Srivastav</t>
  </si>
  <si>
    <t>Manoj Saini</t>
  </si>
  <si>
    <t>Neetika</t>
  </si>
  <si>
    <t>Heena</t>
  </si>
  <si>
    <t>Ahishek</t>
  </si>
  <si>
    <t>Kshitiz</t>
  </si>
  <si>
    <t>Tejbir singh</t>
  </si>
  <si>
    <t>Sajid</t>
  </si>
  <si>
    <t>Ajay Kumar Singh</t>
  </si>
  <si>
    <t>sandeep</t>
  </si>
  <si>
    <t>Mohan</t>
  </si>
  <si>
    <t>Shailenre kumar</t>
  </si>
  <si>
    <t>shadaab</t>
  </si>
  <si>
    <t>parvinder singh</t>
  </si>
  <si>
    <t>Durgesh mishra</t>
  </si>
  <si>
    <t>Nikhil</t>
  </si>
  <si>
    <t>Kamalpreet</t>
  </si>
  <si>
    <t>babloo kumar soni</t>
  </si>
  <si>
    <t>pankaj pal</t>
  </si>
  <si>
    <t>tenzin wangchuk</t>
  </si>
  <si>
    <t>Anand</t>
  </si>
  <si>
    <t>Raushan</t>
  </si>
  <si>
    <t>Jitendra tiwari</t>
  </si>
  <si>
    <t>Neha chauhan</t>
  </si>
  <si>
    <t>Mohit kasana</t>
  </si>
  <si>
    <t>AVINASH BHARTI</t>
  </si>
  <si>
    <t>Vipin jangra</t>
  </si>
  <si>
    <t>Alok</t>
  </si>
  <si>
    <t>Danish</t>
  </si>
  <si>
    <t>Badal kumar padhi</t>
  </si>
  <si>
    <t>Dikshit</t>
  </si>
  <si>
    <t>Upendra</t>
  </si>
  <si>
    <t>Inprit Kaur</t>
  </si>
  <si>
    <t>Balvinder</t>
  </si>
  <si>
    <t>Kadam Singh</t>
  </si>
  <si>
    <t>Parveen goyal</t>
  </si>
  <si>
    <t>Gagan Kumar</t>
  </si>
  <si>
    <t>Ram mobile no-9925923457. Resides In Noida 119961</t>
  </si>
  <si>
    <t>Shyam mobile no-9927675044. Resides In Chandigarh 133344</t>
  </si>
  <si>
    <t>Vikash mobile no-9952248594. Resides In Rampur 116997</t>
  </si>
  <si>
    <t>Omar mobile no -9909578064. Resides In Chatishgarh 150571</t>
  </si>
  <si>
    <t>Kavita mobile no -9899456765. Resides In New Delhi 110011</t>
  </si>
  <si>
    <t>Ravi mobile no -7845678987. Resides In Tamil Nadu 150573</t>
  </si>
  <si>
    <t>Tony mobile no -8800774565. Resides In Babina 112232</t>
  </si>
  <si>
    <t>Dilavar mobile no -9909678061. Resides In Ludhiana 154444</t>
  </si>
  <si>
    <t>Kindly Find out the names</t>
  </si>
  <si>
    <t>Find out the only mobile no</t>
  </si>
  <si>
    <t>Find out the Pin Codes</t>
  </si>
  <si>
    <t>Sales</t>
  </si>
  <si>
    <t>Marketing Cost</t>
  </si>
  <si>
    <t>Profit</t>
  </si>
  <si>
    <t>Bonus</t>
  </si>
  <si>
    <t>Ram</t>
  </si>
  <si>
    <t>In the Bonus column, get the data using the following criteria:</t>
  </si>
  <si>
    <t>Shyam</t>
  </si>
  <si>
    <t>&lt;10000-12% of sales</t>
  </si>
  <si>
    <t>Vikash</t>
  </si>
  <si>
    <t>10000-25000-25% of sales</t>
  </si>
  <si>
    <t>Omar</t>
  </si>
  <si>
    <t>25000-40000-32% of sales</t>
  </si>
  <si>
    <t>Bira</t>
  </si>
  <si>
    <t>&gt;40000-45% of sales</t>
  </si>
  <si>
    <t>Nitish kr sharma</t>
  </si>
  <si>
    <t>Arup</t>
  </si>
  <si>
    <t>Saddam siddique</t>
  </si>
  <si>
    <t>Rakesh kr.</t>
  </si>
  <si>
    <t>Deepak Panwar</t>
  </si>
  <si>
    <t>Shashank tripathi</t>
  </si>
  <si>
    <t>Arun kr.</t>
  </si>
  <si>
    <t>Guruprakash</t>
  </si>
  <si>
    <t>Freddy Felix</t>
  </si>
  <si>
    <t>Kevin Lobo</t>
  </si>
  <si>
    <t>Ajmat khan</t>
  </si>
  <si>
    <t>Ajay</t>
  </si>
  <si>
    <t>rahil khan</t>
  </si>
  <si>
    <t>Ashish</t>
  </si>
  <si>
    <t>Mohd sheikh</t>
  </si>
  <si>
    <t>Brijesh</t>
  </si>
  <si>
    <t>shivam johari</t>
  </si>
  <si>
    <t>rahul choudhry</t>
  </si>
  <si>
    <t>Haider</t>
  </si>
  <si>
    <t>Ankush Sharma</t>
  </si>
  <si>
    <t>Sagar Bajaj</t>
  </si>
  <si>
    <t>Saharsh verma</t>
  </si>
  <si>
    <t>neeraj sharma</t>
  </si>
  <si>
    <t>Devendra</t>
  </si>
  <si>
    <t>Pravin Pankaj</t>
  </si>
  <si>
    <t>Pawan Kumar</t>
  </si>
  <si>
    <t>Total (use Sum)</t>
  </si>
  <si>
    <t>sales sum</t>
  </si>
  <si>
    <t>sales average</t>
  </si>
  <si>
    <t>count profit only values</t>
  </si>
  <si>
    <t>count profit (value +text)</t>
  </si>
  <si>
    <t>count profit - blank</t>
  </si>
  <si>
    <t>maximum vaue in cost</t>
  </si>
  <si>
    <t>minimum valie in cost</t>
  </si>
  <si>
    <t>2nd largest value in cost</t>
  </si>
  <si>
    <t>2nd lowest value in cost</t>
  </si>
  <si>
    <t>Split first name and last name</t>
  </si>
  <si>
    <t>Split the details to separate columns</t>
  </si>
  <si>
    <t>Remove Duplicates to get a distinct list</t>
  </si>
  <si>
    <t>Remove duplicates &amp; Split color to a separate column</t>
  </si>
  <si>
    <t>Details</t>
  </si>
  <si>
    <t>Department</t>
  </si>
  <si>
    <t>Position</t>
  </si>
  <si>
    <t>Item Description</t>
  </si>
  <si>
    <t>Walter Miller</t>
  </si>
  <si>
    <t>Sales, Assistant, 25709</t>
  </si>
  <si>
    <t>Assistant</t>
  </si>
  <si>
    <t>Men type T simple - Brown</t>
  </si>
  <si>
    <t>Alissa Mitchell</t>
  </si>
  <si>
    <t>Marketing, Analyst, 25600</t>
  </si>
  <si>
    <t>Marketing</t>
  </si>
  <si>
    <t>Analyst</t>
  </si>
  <si>
    <t>Men   type T simple - Brown</t>
  </si>
  <si>
    <t>Ann Withers</t>
  </si>
  <si>
    <t>Procurement, Assistant, 23500</t>
  </si>
  <si>
    <t>Procurement</t>
  </si>
  <si>
    <t>Men shorts - Gray</t>
  </si>
  <si>
    <t>Kim West</t>
  </si>
  <si>
    <t>Sales, Assistant, 26500</t>
  </si>
  <si>
    <t>Finance</t>
  </si>
  <si>
    <t>Accountant</t>
  </si>
  <si>
    <t xml:space="preserve"> Women dress Cocktail - Red</t>
  </si>
  <si>
    <t>Daniel Garrett</t>
  </si>
  <si>
    <t>Finance, Accountant, 24700</t>
  </si>
  <si>
    <t>Buyer</t>
  </si>
  <si>
    <t>Women Dress long - Black</t>
  </si>
  <si>
    <t>Robert Marquez</t>
  </si>
  <si>
    <t>Procurement, Buyer, 26500</t>
  </si>
  <si>
    <t>Men shorts - Black</t>
  </si>
  <si>
    <t>Vanessa Chavez</t>
  </si>
  <si>
    <t>Marketing, Assistant, 30600</t>
  </si>
  <si>
    <t>Sales Representative</t>
  </si>
  <si>
    <t>Women dress Cocktail - Red</t>
  </si>
  <si>
    <t>Robert Musser</t>
  </si>
  <si>
    <t>Procurement, Buyer, 28400</t>
  </si>
  <si>
    <t>Men type T simple - White</t>
  </si>
  <si>
    <t>Jessica Lowe</t>
  </si>
  <si>
    <t>Sales, Sales Representative, 32800</t>
  </si>
  <si>
    <t>Men dress shirt - Gray</t>
  </si>
  <si>
    <t>Evie Williamson</t>
  </si>
  <si>
    <t>Sales, Sales Representative, 25900</t>
  </si>
  <si>
    <t>Men dress shirt - Black</t>
  </si>
  <si>
    <t>Men dress shirt - White</t>
  </si>
  <si>
    <t>Laptop bag - Black</t>
  </si>
  <si>
    <t>Women type T simple - White</t>
  </si>
  <si>
    <r>
      <rPr>
        <rFont val="Arial"/>
        <color theme="1"/>
      </rPr>
      <t xml:space="preserve">                                      </t>
    </r>
    <r>
      <rPr>
        <rFont val="Arial"/>
        <b/>
        <color rgb="FF0000FF"/>
      </rPr>
      <t xml:space="preserve">   </t>
    </r>
    <r>
      <rPr>
        <rFont val="Arial"/>
        <b/>
        <color rgb="FF9900FF"/>
      </rPr>
      <t xml:space="preserve">  using multi level sort, sort the department column in ascending order and position column in descending order</t>
    </r>
    <r>
      <rPr>
        <rFont val="Arial"/>
        <color rgb="FF9900FF"/>
      </rPr>
      <t xml:space="preserve"> </t>
    </r>
  </si>
  <si>
    <t>Original data</t>
  </si>
  <si>
    <t>Salary</t>
  </si>
  <si>
    <t>Tax Professional</t>
  </si>
  <si>
    <t>Sales Reporting Head</t>
  </si>
  <si>
    <t>Sales Reporting</t>
  </si>
  <si>
    <t>Sales Projects</t>
  </si>
  <si>
    <t>Sales Project Manager</t>
  </si>
  <si>
    <t>Sales Manager</t>
  </si>
  <si>
    <t>Projects Lead</t>
  </si>
  <si>
    <t>Project Manager</t>
  </si>
  <si>
    <t>Skye Bennett</t>
  </si>
  <si>
    <t>Procurement Manager</t>
  </si>
  <si>
    <t>Braeden Wilkins</t>
  </si>
  <si>
    <t>Marketing Manager</t>
  </si>
  <si>
    <t>Donald Caldwell</t>
  </si>
  <si>
    <t>Lead Buyer</t>
  </si>
  <si>
    <t>Amber Stevens</t>
  </si>
  <si>
    <t>Matilda Parry</t>
  </si>
  <si>
    <t>Digital Marketing Manager</t>
  </si>
  <si>
    <t>Insurance Advisor</t>
  </si>
  <si>
    <t>Jordan Parry</t>
  </si>
  <si>
    <t>Digital Marketing</t>
  </si>
  <si>
    <t>Head of Sales</t>
  </si>
  <si>
    <t>Charlie Chambers</t>
  </si>
  <si>
    <t>Finance Manager</t>
  </si>
  <si>
    <t>Tommy Dixon</t>
  </si>
  <si>
    <t>Finance Director</t>
  </si>
  <si>
    <t>Robert Hurley</t>
  </si>
  <si>
    <t>Harry Burke</t>
  </si>
  <si>
    <t>Richard Elliot</t>
  </si>
  <si>
    <t>Lukas Hofer</t>
  </si>
  <si>
    <t>Controller</t>
  </si>
  <si>
    <t>Judy Bell</t>
  </si>
  <si>
    <t>Category Manager</t>
  </si>
  <si>
    <t>Heidi Medina</t>
  </si>
  <si>
    <t>Matthew Ross</t>
  </si>
  <si>
    <t>Esme Carney</t>
  </si>
  <si>
    <t>Zac Fletcher</t>
  </si>
  <si>
    <t>Kristina Mclean</t>
  </si>
  <si>
    <t>Tom Wood</t>
  </si>
  <si>
    <t>Betina Bauer</t>
  </si>
  <si>
    <t>Cora Briggs</t>
  </si>
  <si>
    <t>Mike Saban</t>
  </si>
  <si>
    <t>Gary Miller</t>
  </si>
  <si>
    <t>Holly Macdonald</t>
  </si>
  <si>
    <t>Crystal Doyle</t>
  </si>
  <si>
    <t>Corinna Schmidt</t>
  </si>
  <si>
    <t>Brigitte Bond</t>
  </si>
  <si>
    <t>Imogen Clarke</t>
  </si>
  <si>
    <t>Paul Hill</t>
  </si>
  <si>
    <t>Stevie Bridge</t>
  </si>
  <si>
    <t>Alex Collins</t>
  </si>
  <si>
    <t>Robert Richardson</t>
  </si>
  <si>
    <t>Division</t>
  </si>
  <si>
    <t>App</t>
  </si>
  <si>
    <t>Actual Sales</t>
  </si>
  <si>
    <t>Budget</t>
  </si>
  <si>
    <t>Difference</t>
  </si>
  <si>
    <t>Using query function, solve the following:</t>
  </si>
  <si>
    <t>Game</t>
  </si>
  <si>
    <t>Asia</t>
  </si>
  <si>
    <t>Arcade</t>
  </si>
  <si>
    <t xml:space="preserve">1. show the columns:app,region,actual sales but exclude zero and null values </t>
  </si>
  <si>
    <t>Aviatrr</t>
  </si>
  <si>
    <t>2. show actual sales by region</t>
  </si>
  <si>
    <t>Baden</t>
  </si>
  <si>
    <t>3. show total actual,budget and difference in sales for each region</t>
  </si>
  <si>
    <t>deRamblr</t>
  </si>
  <si>
    <t>Fightrr</t>
  </si>
  <si>
    <t>1 ANSWER</t>
  </si>
  <si>
    <t>2 ANSWER</t>
  </si>
  <si>
    <t>Twistrr</t>
  </si>
  <si>
    <t>3 ANSWER</t>
  </si>
  <si>
    <t>Australia</t>
  </si>
  <si>
    <t>Five Labs</t>
  </si>
  <si>
    <t>Hackrr</t>
  </si>
  <si>
    <t>Jellyfish</t>
  </si>
  <si>
    <t>Kryptis</t>
  </si>
  <si>
    <t>Perino</t>
  </si>
  <si>
    <t>Pes</t>
  </si>
  <si>
    <t>Europe</t>
  </si>
  <si>
    <t>North America</t>
  </si>
  <si>
    <t>South America</t>
  </si>
  <si>
    <t>Productivity</t>
  </si>
  <si>
    <t>Blend</t>
  </si>
  <si>
    <t>Dasring</t>
  </si>
  <si>
    <t>Didactic</t>
  </si>
  <si>
    <t>Flowrrr</t>
  </si>
  <si>
    <t>Halotot</t>
  </si>
  <si>
    <t>Inkly</t>
  </si>
  <si>
    <t>Kind Ape</t>
  </si>
  <si>
    <t>Mirrrr</t>
  </si>
  <si>
    <t>Pet Feed</t>
  </si>
  <si>
    <t>Rehire</t>
  </si>
  <si>
    <t>Right App</t>
  </si>
  <si>
    <t>Silvrr</t>
  </si>
  <si>
    <t>Sleops</t>
  </si>
  <si>
    <t>Voltage</t>
  </si>
  <si>
    <t>WenCaL</t>
  </si>
  <si>
    <t>Utility</t>
  </si>
  <si>
    <t>Accord</t>
  </si>
  <si>
    <t>Amplefio</t>
  </si>
  <si>
    <t>Atmos</t>
  </si>
  <si>
    <t>Commuta</t>
  </si>
  <si>
    <t>Infic</t>
  </si>
  <si>
    <t>Minor Liar</t>
  </si>
  <si>
    <t>Misty Wash</t>
  </si>
  <si>
    <t>Mosquit</t>
  </si>
  <si>
    <t>Motocyco</t>
  </si>
  <si>
    <t>Scrap</t>
  </si>
  <si>
    <t>Strex</t>
  </si>
  <si>
    <t>Tanox</t>
  </si>
  <si>
    <t>Twenty20</t>
  </si>
  <si>
    <t>Company</t>
  </si>
  <si>
    <t>Document No</t>
  </si>
  <si>
    <t>Document Date</t>
  </si>
  <si>
    <t>Customer Code</t>
  </si>
  <si>
    <t>Customer Name</t>
  </si>
  <si>
    <t>Product Code</t>
  </si>
  <si>
    <t>Product Description</t>
  </si>
  <si>
    <t>Quantity</t>
  </si>
  <si>
    <t>Sales USD</t>
  </si>
  <si>
    <t>Meta Creations</t>
  </si>
  <si>
    <t>America</t>
  </si>
  <si>
    <t>Erma</t>
  </si>
  <si>
    <t>Laptop bag black</t>
  </si>
  <si>
    <t>Our journey begins with a magical tool known as the Pivot Table, which is like a map guiding us to analyse the following:</t>
  </si>
  <si>
    <t>Lucas Basics</t>
  </si>
  <si>
    <t>Liebher</t>
  </si>
  <si>
    <t>Urban Right</t>
  </si>
  <si>
    <t>Dellicia</t>
  </si>
  <si>
    <t>Women type T simple white</t>
  </si>
  <si>
    <t>1.  The Product with the Most Purchases</t>
  </si>
  <si>
    <t>Smartphone case diamond</t>
  </si>
  <si>
    <t>2.  uncover the top three products that have achieved the highest sales.</t>
  </si>
  <si>
    <t>Laptop bag red</t>
  </si>
  <si>
    <t>3. region-wise monthly sales</t>
  </si>
  <si>
    <t xml:space="preserve">4.  the top five customers who have generated the highest revenue. </t>
  </si>
  <si>
    <t>Aida GmbH</t>
  </si>
  <si>
    <t>In the end, our journey is not just about numbers; it's about stories told through data. The dashboard, will show all the above findings in a more attractive way under one single page</t>
  </si>
  <si>
    <t>Women crop top black</t>
  </si>
  <si>
    <t>Women type T simple black</t>
  </si>
  <si>
    <t>Women basics</t>
  </si>
  <si>
    <t>Men dress shirt black</t>
  </si>
  <si>
    <t>Men type T simple white</t>
  </si>
  <si>
    <t>Men basics</t>
  </si>
  <si>
    <t>Men shorts black</t>
  </si>
  <si>
    <t>Men shorts grey</t>
  </si>
  <si>
    <t>Men type T simple black</t>
  </si>
  <si>
    <t>Smartphone case simple</t>
  </si>
  <si>
    <t>Men dress shirt grey</t>
  </si>
  <si>
    <t>Unisex tank top white</t>
  </si>
  <si>
    <t>SUM of Sales USD</t>
  </si>
  <si>
    <t>SUM of Quantity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</si>
</sst>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quot;$&quot;#,##0"/>
  </numFmts>
  <fonts count="21">
    <font>
      <sz val="10.0"/>
      <color rgb="FF000000"/>
      <name val="Arial"/>
      <scheme val="minor"/>
    </font>
    <font>
      <b/>
      <sz val="12.0"/>
      <color rgb="FF000000"/>
      <name val="Calibri"/>
    </font>
    <font>
      <sz val="11.0"/>
      <color rgb="FF000000"/>
      <name val="Calibri"/>
    </font>
    <font>
      <b/>
      <sz val="11.0"/>
      <color rgb="FF000000"/>
      <name val="Calibri"/>
    </font>
    <font>
      <color rgb="FF1F1F1F"/>
      <name val="&quot;Google Sans&quot;"/>
    </font>
    <font>
      <sz val="9.0"/>
      <color rgb="FF777777"/>
      <name val="&quot;Google Sans Mono&quot;"/>
    </font>
    <font>
      <sz val="11.0"/>
      <color theme="1"/>
      <name val="Calibri"/>
    </font>
    <font>
      <b/>
      <sz val="11.0"/>
      <color theme="1"/>
      <name val="Calibri"/>
    </font>
    <font>
      <b/>
      <sz val="11.0"/>
      <color rgb="FF9900FF"/>
      <name val="Calibri"/>
    </font>
    <font/>
    <font>
      <b/>
      <i/>
      <u/>
      <sz val="14.0"/>
      <color rgb="FF000000"/>
      <name val="Calibri"/>
    </font>
    <font>
      <b/>
      <i/>
      <u/>
      <sz val="14.0"/>
      <color theme="1"/>
      <name val="Calibri"/>
    </font>
    <font>
      <b/>
      <i/>
      <u/>
      <sz val="14.0"/>
      <color rgb="FF000000"/>
      <name val="Calibri"/>
    </font>
    <font>
      <color theme="1"/>
      <name val="Arial"/>
      <scheme val="minor"/>
    </font>
    <font>
      <sz val="9.0"/>
      <color rgb="FF000000"/>
      <name val="&quot;Google Sans Mono&quot;"/>
    </font>
    <font>
      <b/>
      <color theme="1"/>
      <name val="Arial"/>
      <scheme val="minor"/>
    </font>
    <font>
      <b/>
      <color theme="1"/>
      <name val="Roboto"/>
    </font>
    <font>
      <color theme="1"/>
      <name val="Roboto"/>
    </font>
    <font>
      <color theme="1"/>
      <name val="Arial"/>
    </font>
    <font>
      <sz val="9.0"/>
      <color rgb="FF7E3794"/>
      <name val="&quot;Google Sans Mono&quot;"/>
    </font>
    <font>
      <b/>
      <sz val="10.0"/>
      <color rgb="FF000000"/>
      <name val="Söhne"/>
    </font>
  </fonts>
  <fills count="5">
    <fill>
      <patternFill patternType="none"/>
    </fill>
    <fill>
      <patternFill patternType="lightGray"/>
    </fill>
    <fill>
      <patternFill patternType="solid">
        <fgColor rgb="FFFFFFFF"/>
        <bgColor rgb="FFFFFFFF"/>
      </patternFill>
    </fill>
    <fill>
      <patternFill patternType="solid">
        <fgColor rgb="FF999999"/>
        <bgColor rgb="FF999999"/>
      </patternFill>
    </fill>
    <fill>
      <patternFill patternType="solid">
        <fgColor rgb="FFF7F7F8"/>
        <bgColor rgb="FFF7F7F8"/>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bottom style="thick">
        <color rgb="FF3E50B3"/>
      </bottom>
    </border>
    <border>
      <bottom style="medium">
        <color rgb="FF666666"/>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bottom" wrapText="0"/>
    </xf>
    <xf borderId="0" fillId="0" fontId="1" numFmtId="0" xfId="0" applyAlignment="1" applyFont="1">
      <alignment horizontal="center" shrinkToFit="0" vertical="bottom" wrapText="0"/>
    </xf>
    <xf borderId="1" fillId="0" fontId="2" numFmtId="0" xfId="0" applyAlignment="1" applyBorder="1" applyFont="1">
      <alignment vertical="bottom"/>
    </xf>
    <xf borderId="1" fillId="0" fontId="2" numFmtId="0" xfId="0" applyAlignment="1" applyBorder="1" applyFont="1">
      <alignment horizontal="center" shrinkToFit="0" vertical="bottom" wrapText="0"/>
    </xf>
    <xf borderId="1" fillId="0" fontId="2" numFmtId="0" xfId="0" applyAlignment="1" applyBorder="1" applyFont="1">
      <alignment horizontal="center" readingOrder="0" shrinkToFit="0" vertical="bottom" wrapText="0"/>
    </xf>
    <xf borderId="0" fillId="0" fontId="2" numFmtId="0" xfId="0" applyAlignment="1" applyFont="1">
      <alignment horizontal="center" shrinkToFit="0" vertical="bottom" wrapText="0"/>
    </xf>
    <xf borderId="1" fillId="0" fontId="3" numFmtId="0" xfId="0" applyAlignment="1" applyBorder="1" applyFont="1">
      <alignment readingOrder="0" vertical="bottom"/>
    </xf>
    <xf borderId="0" fillId="2" fontId="4" numFmtId="0" xfId="0" applyFill="1" applyFont="1"/>
    <xf borderId="0" fillId="2" fontId="5" numFmtId="0" xfId="0" applyFont="1"/>
    <xf borderId="0" fillId="2" fontId="5" numFmtId="0" xfId="0" applyAlignment="1" applyFont="1">
      <alignment horizontal="left" shrinkToFit="0" wrapText="1"/>
    </xf>
    <xf borderId="0" fillId="0" fontId="2" numFmtId="0" xfId="0" applyAlignment="1" applyFont="1">
      <alignment vertical="bottom"/>
    </xf>
    <xf borderId="1" fillId="0" fontId="2" numFmtId="0" xfId="0" applyAlignment="1" applyBorder="1" applyFont="1">
      <alignment horizontal="center" readingOrder="0" vertical="top"/>
    </xf>
    <xf borderId="0" fillId="0" fontId="2" numFmtId="0" xfId="0" applyAlignment="1" applyFont="1">
      <alignment shrinkToFit="0" vertical="bottom" wrapText="0"/>
    </xf>
    <xf borderId="0" fillId="0" fontId="2" numFmtId="0" xfId="0" applyAlignment="1" applyFont="1">
      <alignment horizontal="left" shrinkToFit="0" vertical="bottom" wrapText="0"/>
    </xf>
    <xf borderId="0" fillId="0" fontId="2" numFmtId="0" xfId="0" applyAlignment="1" applyFont="1">
      <alignment horizontal="left" shrinkToFit="0" vertical="top" wrapText="0"/>
    </xf>
    <xf borderId="0" fillId="0" fontId="2" numFmtId="0" xfId="0" applyAlignment="1" applyFont="1">
      <alignment horizontal="left" vertical="top"/>
    </xf>
    <xf borderId="0" fillId="0" fontId="2" numFmtId="0" xfId="0" applyAlignment="1" applyFont="1">
      <alignment horizontal="center" vertical="bottom"/>
    </xf>
    <xf borderId="0" fillId="0" fontId="6" numFmtId="0" xfId="0" applyAlignment="1" applyFont="1">
      <alignment horizontal="left" shrinkToFit="0" vertical="bottom" wrapText="0"/>
    </xf>
    <xf borderId="0" fillId="0" fontId="7" numFmtId="0" xfId="0" applyAlignment="1" applyFont="1">
      <alignment horizontal="left" shrinkToFit="0" vertical="bottom" wrapText="0"/>
    </xf>
    <xf borderId="0" fillId="0" fontId="3" numFmtId="0" xfId="0" applyAlignment="1" applyFont="1">
      <alignment horizontal="center" readingOrder="0" vertical="bottom"/>
    </xf>
    <xf borderId="0" fillId="0" fontId="3" numFmtId="0" xfId="0" applyAlignment="1" applyFont="1">
      <alignment horizontal="center" vertical="bottom"/>
    </xf>
    <xf borderId="2" fillId="0" fontId="8" numFmtId="0" xfId="0" applyAlignment="1" applyBorder="1" applyFont="1">
      <alignment readingOrder="0" shrinkToFit="0" vertical="bottom" wrapText="0"/>
    </xf>
    <xf borderId="3" fillId="0" fontId="9" numFmtId="0" xfId="0" applyBorder="1" applyFont="1"/>
    <xf borderId="4" fillId="0" fontId="9" numFmtId="0" xfId="0" applyBorder="1" applyFont="1"/>
    <xf borderId="1" fillId="0" fontId="3" numFmtId="0" xfId="0" applyAlignment="1" applyBorder="1" applyFont="1">
      <alignment horizontal="center" readingOrder="0" vertical="bottom"/>
    </xf>
    <xf borderId="2" fillId="0" fontId="2" numFmtId="0" xfId="0" applyAlignment="1" applyBorder="1" applyFont="1">
      <alignment horizontal="center" shrinkToFit="0" vertical="bottom" wrapText="0"/>
    </xf>
    <xf borderId="0" fillId="0" fontId="3" numFmtId="0" xfId="0" applyAlignment="1" applyFont="1">
      <alignment readingOrder="0" shrinkToFit="0" vertical="bottom" wrapText="0"/>
    </xf>
    <xf borderId="0" fillId="0" fontId="3" numFmtId="0" xfId="0" applyAlignment="1" applyFont="1">
      <alignment shrinkToFit="0" vertical="bottom" wrapText="0"/>
    </xf>
    <xf borderId="1" fillId="0" fontId="2" numFmtId="0" xfId="0" applyAlignment="1" applyBorder="1" applyFont="1">
      <alignment horizontal="center" readingOrder="0" shrinkToFit="0" vertical="top" wrapText="0"/>
    </xf>
    <xf borderId="1" fillId="0" fontId="2" numFmtId="0" xfId="0" applyAlignment="1" applyBorder="1" applyFont="1">
      <alignment horizontal="center" readingOrder="0" vertical="bottom"/>
    </xf>
    <xf borderId="1" fillId="0" fontId="6" numFmtId="0" xfId="0" applyAlignment="1" applyBorder="1" applyFont="1">
      <alignment horizontal="center" readingOrder="0" shrinkToFit="0" vertical="bottom" wrapText="0"/>
    </xf>
    <xf borderId="1" fillId="0" fontId="7" numFmtId="0" xfId="0" applyAlignment="1" applyBorder="1" applyFont="1">
      <alignment horizontal="center" readingOrder="0" shrinkToFit="0" vertical="bottom" wrapText="0"/>
    </xf>
    <xf borderId="1" fillId="0" fontId="3" numFmtId="0" xfId="0" applyAlignment="1" applyBorder="1" applyFont="1">
      <alignment horizontal="center" readingOrder="0" shrinkToFit="0" vertical="bottom" wrapText="0"/>
    </xf>
    <xf borderId="1" fillId="0" fontId="2" numFmtId="0" xfId="0" applyAlignment="1" applyBorder="1" applyFont="1">
      <alignment readingOrder="0" shrinkToFit="0" vertical="bottom" wrapText="0"/>
    </xf>
    <xf borderId="0" fillId="0" fontId="10" numFmtId="0" xfId="0" applyAlignment="1" applyFont="1">
      <alignment readingOrder="0" shrinkToFit="0" vertical="bottom" wrapText="0"/>
    </xf>
    <xf borderId="0" fillId="0" fontId="11" numFmtId="0" xfId="0" applyAlignment="1" applyFont="1">
      <alignment readingOrder="0" shrinkToFit="0" vertical="bottom" wrapText="0"/>
    </xf>
    <xf borderId="0" fillId="0" fontId="12" numFmtId="0" xfId="0" applyAlignment="1" applyFont="1">
      <alignment readingOrder="0" shrinkToFit="0" vertical="bottom" wrapText="0"/>
    </xf>
    <xf borderId="0" fillId="2" fontId="5" numFmtId="0" xfId="0" applyAlignment="1" applyFont="1">
      <alignment readingOrder="0"/>
    </xf>
    <xf borderId="0" fillId="0" fontId="13" numFmtId="0" xfId="0" applyFont="1"/>
    <xf borderId="0" fillId="0" fontId="2" numFmtId="0" xfId="0" applyAlignment="1" applyFont="1">
      <alignment readingOrder="0" shrinkToFit="0" vertical="bottom" wrapText="0"/>
    </xf>
    <xf borderId="0" fillId="2" fontId="14" numFmtId="0" xfId="0" applyFont="1"/>
    <xf borderId="1" fillId="0" fontId="1" numFmtId="0" xfId="0" applyAlignment="1" applyBorder="1" applyFont="1">
      <alignment readingOrder="0" shrinkToFit="0" wrapText="0"/>
    </xf>
    <xf borderId="4" fillId="0" fontId="1" numFmtId="0" xfId="0" applyAlignment="1" applyBorder="1" applyFont="1">
      <alignment horizontal="center" readingOrder="0" shrinkToFit="0" wrapText="0"/>
    </xf>
    <xf borderId="1" fillId="0" fontId="3" numFmtId="0" xfId="0" applyAlignment="1" applyBorder="1" applyFont="1">
      <alignment horizontal="center" readingOrder="0" shrinkToFit="0" wrapText="1"/>
    </xf>
    <xf borderId="5" fillId="0" fontId="2" numFmtId="0" xfId="0" applyAlignment="1" applyBorder="1" applyFont="1">
      <alignment readingOrder="0" shrinkToFit="0" vertical="bottom" wrapText="0"/>
    </xf>
    <xf borderId="6" fillId="0" fontId="2" numFmtId="0" xfId="0" applyAlignment="1" applyBorder="1" applyFont="1">
      <alignment horizontal="center" readingOrder="0" shrinkToFit="0" vertical="bottom" wrapText="0"/>
    </xf>
    <xf borderId="1" fillId="0" fontId="2" numFmtId="0" xfId="0" applyAlignment="1" applyBorder="1" applyFont="1">
      <alignment horizontal="left" shrinkToFit="0" vertical="bottom" wrapText="0"/>
    </xf>
    <xf borderId="0" fillId="0" fontId="15" numFmtId="0" xfId="0" applyAlignment="1" applyFont="1">
      <alignment readingOrder="0"/>
    </xf>
    <xf borderId="0" fillId="0" fontId="2" numFmtId="0" xfId="0" applyAlignment="1" applyFont="1">
      <alignment horizontal="center" readingOrder="0" shrinkToFit="0" vertical="bottom" wrapText="0"/>
    </xf>
    <xf borderId="5" fillId="0" fontId="2" numFmtId="0" xfId="0" applyAlignment="1" applyBorder="1" applyFont="1">
      <alignment horizontal="center" readingOrder="0" shrinkToFit="0" vertical="bottom" wrapText="0"/>
    </xf>
    <xf borderId="4" fillId="0" fontId="2" numFmtId="0" xfId="0" applyAlignment="1" applyBorder="1" applyFont="1">
      <alignment horizontal="center" readingOrder="0" shrinkToFit="0" vertical="bottom" wrapText="0"/>
    </xf>
    <xf borderId="5" fillId="0" fontId="3" numFmtId="0" xfId="0" applyAlignment="1" applyBorder="1" applyFont="1">
      <alignment readingOrder="0" shrinkToFit="0" vertical="bottom" wrapText="0"/>
    </xf>
    <xf borderId="6" fillId="0" fontId="2" numFmtId="0" xfId="0" applyAlignment="1" applyBorder="1" applyFont="1">
      <alignment horizontal="center" shrinkToFit="0" vertical="bottom" wrapText="0"/>
    </xf>
    <xf borderId="7" fillId="0" fontId="2" numFmtId="0" xfId="0" applyAlignment="1" applyBorder="1" applyFont="1">
      <alignment readingOrder="0" shrinkToFit="0" vertical="bottom" wrapText="0"/>
    </xf>
    <xf borderId="5" fillId="0" fontId="2" numFmtId="0" xfId="0" applyAlignment="1" applyBorder="1" applyFont="1">
      <alignment horizontal="center" shrinkToFit="0" vertical="bottom" wrapText="0"/>
    </xf>
    <xf borderId="0" fillId="2" fontId="5" numFmtId="0" xfId="0" applyFont="1"/>
    <xf borderId="0" fillId="2" fontId="5" numFmtId="0" xfId="0" applyAlignment="1" applyFont="1">
      <alignment shrinkToFit="0" wrapText="1"/>
    </xf>
    <xf borderId="0" fillId="2" fontId="14" numFmtId="0" xfId="0" applyAlignment="1" applyFont="1">
      <alignment horizontal="left"/>
    </xf>
    <xf borderId="1" fillId="0" fontId="13" numFmtId="0" xfId="0" applyBorder="1" applyFont="1"/>
    <xf borderId="0" fillId="0" fontId="16" numFmtId="0" xfId="0" applyAlignment="1" applyFont="1">
      <alignment shrinkToFit="0" vertical="bottom" wrapText="0"/>
    </xf>
    <xf borderId="0" fillId="0" fontId="17" numFmtId="0" xfId="0" applyAlignment="1" applyFont="1">
      <alignment vertical="bottom"/>
    </xf>
    <xf borderId="0" fillId="0" fontId="16" numFmtId="0" xfId="0" applyAlignment="1" applyFont="1">
      <alignment vertical="bottom"/>
    </xf>
    <xf borderId="0" fillId="3" fontId="17" numFmtId="0" xfId="0" applyAlignment="1" applyFill="1" applyFont="1">
      <alignment vertical="bottom"/>
    </xf>
    <xf borderId="8" fillId="0" fontId="16" numFmtId="0" xfId="0" applyAlignment="1" applyBorder="1" applyFont="1">
      <alignment vertical="bottom"/>
    </xf>
    <xf borderId="0" fillId="0" fontId="18" numFmtId="0" xfId="0" applyAlignment="1" applyFont="1">
      <alignment vertical="bottom"/>
    </xf>
    <xf borderId="0" fillId="0" fontId="13" numFmtId="0" xfId="0" applyAlignment="1" applyFont="1">
      <alignment readingOrder="0"/>
    </xf>
    <xf borderId="0" fillId="0" fontId="17" numFmtId="3" xfId="0" applyAlignment="1" applyFont="1" applyNumberFormat="1">
      <alignment horizontal="right" vertical="bottom"/>
    </xf>
    <xf borderId="9" fillId="0" fontId="16" numFmtId="0" xfId="0" applyAlignment="1" applyBorder="1" applyFont="1">
      <alignment vertical="bottom"/>
    </xf>
    <xf borderId="0" fillId="0" fontId="17" numFmtId="0" xfId="0" applyAlignment="1" applyFont="1">
      <alignment readingOrder="0" vertical="bottom"/>
    </xf>
    <xf borderId="0" fillId="0" fontId="16" numFmtId="0" xfId="0" applyAlignment="1" applyFont="1">
      <alignment readingOrder="0" vertical="bottom"/>
    </xf>
    <xf borderId="0" fillId="0" fontId="17" numFmtId="0" xfId="0" applyAlignment="1" applyFont="1">
      <alignment horizontal="right" vertical="bottom"/>
    </xf>
    <xf borderId="0" fillId="2" fontId="19" numFmtId="0" xfId="0" applyFont="1"/>
    <xf borderId="8" fillId="0" fontId="16" numFmtId="0" xfId="0" applyAlignment="1" applyBorder="1" applyFont="1">
      <alignment shrinkToFit="0" vertical="bottom" wrapText="1"/>
    </xf>
    <xf borderId="8" fillId="0" fontId="17" numFmtId="0" xfId="0" applyAlignment="1" applyBorder="1" applyFont="1">
      <alignment shrinkToFit="0" vertical="bottom" wrapText="1"/>
    </xf>
    <xf borderId="0" fillId="0" fontId="17" numFmtId="164" xfId="0" applyAlignment="1" applyFont="1" applyNumberFormat="1">
      <alignment horizontal="right" vertical="bottom"/>
    </xf>
    <xf borderId="0" fillId="0" fontId="17" numFmtId="165" xfId="0" applyAlignment="1" applyFont="1" applyNumberFormat="1">
      <alignment horizontal="right" vertical="bottom"/>
    </xf>
    <xf borderId="0" fillId="4" fontId="20" numFmtId="0" xfId="0" applyAlignment="1" applyFill="1" applyFont="1">
      <alignment readingOrder="0"/>
    </xf>
    <xf borderId="0" fillId="0" fontId="15" numFmtId="0" xfId="0" applyFont="1"/>
    <xf borderId="0" fillId="0" fontId="13" numFmtId="164" xfId="0" applyFont="1" applyNumberFormat="1"/>
    <xf borderId="0" fillId="0" fontId="13" numFmtId="165" xfId="0" applyFont="1" applyNumberFormat="1"/>
    <xf borderId="0" fillId="0" fontId="13" numFmtId="165" xfId="0" applyFont="1" applyNumberFormat="1"/>
    <xf borderId="0" fillId="0" fontId="13" numFmtId="3"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pivotCacheDefinition" Target="pivotCache/pivotCacheDefinition2.xml"/><Relationship Id="rId16"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Top three product</a:t>
            </a:r>
          </a:p>
        </c:rich>
      </c:tx>
      <c:overlay val="0"/>
    </c:title>
    <c:plotArea>
      <c:layout/>
      <c:pieChart>
        <c:varyColors val="1"/>
        <c:ser>
          <c:idx val="0"/>
          <c:order val="0"/>
          <c:tx>
            <c:strRef>
              <c:f>'Pivot Table 1'!$F$5</c:f>
            </c:strRef>
          </c:tx>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'Pivot Table 1'!$E$6:$E$8</c:f>
            </c:strRef>
          </c:cat>
          <c:val>
            <c:numRef>
              <c:f>'Pivot Table 1'!$F$6:$F$8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Top 4 cusomers</a:t>
            </a:r>
          </a:p>
        </c:rich>
      </c:tx>
      <c:overlay val="0"/>
    </c:title>
    <c:plotArea>
      <c:layout/>
      <c:barChart>
        <c:barDir val="col"/>
        <c:ser>
          <c:idx val="0"/>
          <c:order val="0"/>
          <c:spPr>
            <a:solidFill>
              <a:schemeClr val="accent1"/>
            </a:solidFill>
            <a:ln cmpd="sng">
              <a:solidFill>
                <a:srgbClr val="000000"/>
              </a:solidFill>
            </a:ln>
          </c:spPr>
          <c:cat>
            <c:strRef>
              <c:f>'Pivot Table 3'!$D$3:$D$6</c:f>
            </c:strRef>
          </c:cat>
          <c:val>
            <c:numRef>
              <c:f>'Pivot Table 3'!$E$3:$E$6</c:f>
              <c:numCache/>
            </c:numRef>
          </c:val>
        </c:ser>
        <c:axId val="685768452"/>
        <c:axId val="199310546"/>
      </c:barChart>
      <c:catAx>
        <c:axId val="6857684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Customer Name</a:t>
                </a:r>
              </a:p>
            </c:rich>
          </c:tx>
          <c:overlay val="0"/>
        </c:title>
        <c:numFmt formatCode="General" sourceLinked="1"/>
        <c:majorTickMark val="none"/>
        <c:minorTickMark val="none"/>
        <c:spPr/>
        <c:txPr>
          <a:bodyPr/>
          <a:lstStyle/>
          <a:p>
            <a:pPr lvl="0">
              <a:defRPr b="0">
                <a:solidFill>
                  <a:srgbClr val="000000"/>
                </a:solidFill>
                <a:latin typeface="+mn-lt"/>
              </a:defRPr>
            </a:pPr>
          </a:p>
        </c:txPr>
        <c:crossAx val="199310546"/>
      </c:catAx>
      <c:valAx>
        <c:axId val="1993105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Sales USD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85768452"/>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America and Europe</a:t>
            </a:r>
          </a:p>
        </c:rich>
      </c:tx>
      <c:overlay val="0"/>
    </c:title>
    <c:plotArea>
      <c:layout/>
      <c:lineChart>
        <c:ser>
          <c:idx val="0"/>
          <c:order val="0"/>
          <c:tx>
            <c:strRef>
              <c:f>'Pivot Table 2'!$C$1</c:f>
            </c:strRef>
          </c:tx>
          <c:spPr>
            <a:ln cmpd="sng">
              <a:solidFill>
                <a:srgbClr val="4285F4"/>
              </a:solidFill>
            </a:ln>
          </c:spPr>
          <c:marker>
            <c:symbol val="none"/>
          </c:marker>
          <c:cat>
            <c:strRef>
              <c:f>'Pivot Table 2'!$A$2:$A$76</c:f>
            </c:strRef>
          </c:cat>
          <c:val>
            <c:numRef>
              <c:f>'Pivot Table 2'!$C$2:$C$76</c:f>
              <c:numCache/>
            </c:numRef>
          </c:val>
          <c:smooth val="0"/>
        </c:ser>
        <c:ser>
          <c:idx val="1"/>
          <c:order val="1"/>
          <c:tx>
            <c:strRef>
              <c:f>'Pivot Table 2'!$D$1</c:f>
            </c:strRef>
          </c:tx>
          <c:spPr>
            <a:ln cmpd="sng">
              <a:solidFill>
                <a:srgbClr val="EA4335"/>
              </a:solidFill>
            </a:ln>
          </c:spPr>
          <c:marker>
            <c:symbol val="none"/>
          </c:marker>
          <c:cat>
            <c:strRef>
              <c:f>'Pivot Table 2'!$A$2:$A$76</c:f>
            </c:strRef>
          </c:cat>
          <c:val>
            <c:numRef>
              <c:f>'Pivot Table 2'!$D$2:$D$76</c:f>
              <c:numCache/>
            </c:numRef>
          </c:val>
          <c:smooth val="0"/>
        </c:ser>
        <c:axId val="1787803512"/>
        <c:axId val="1786278500"/>
      </c:lineChart>
      <c:catAx>
        <c:axId val="17878035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Document 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786278500"/>
      </c:catAx>
      <c:valAx>
        <c:axId val="17862785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87803512"/>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America and Europe</a:t>
            </a:r>
          </a:p>
        </c:rich>
      </c:tx>
      <c:overlay val="0"/>
    </c:title>
    <c:plotArea>
      <c:layout/>
      <c:lineChart>
        <c:ser>
          <c:idx val="0"/>
          <c:order val="0"/>
          <c:tx>
            <c:strRef>
              <c:f>'Pivot Table 2'!$C$1</c:f>
            </c:strRef>
          </c:tx>
          <c:spPr>
            <a:ln cmpd="sng">
              <a:solidFill>
                <a:srgbClr val="4285F4"/>
              </a:solidFill>
            </a:ln>
          </c:spPr>
          <c:marker>
            <c:symbol val="none"/>
          </c:marker>
          <c:cat>
            <c:strRef>
              <c:f>'Pivot Table 2'!$A$2:$A$76</c:f>
            </c:strRef>
          </c:cat>
          <c:val>
            <c:numRef>
              <c:f>'Pivot Table 2'!$C$2:$C$76</c:f>
              <c:numCache/>
            </c:numRef>
          </c:val>
          <c:smooth val="0"/>
        </c:ser>
        <c:ser>
          <c:idx val="1"/>
          <c:order val="1"/>
          <c:tx>
            <c:strRef>
              <c:f>'Pivot Table 2'!$D$1</c:f>
            </c:strRef>
          </c:tx>
          <c:spPr>
            <a:ln cmpd="sng">
              <a:solidFill>
                <a:srgbClr val="EA4335"/>
              </a:solidFill>
            </a:ln>
          </c:spPr>
          <c:marker>
            <c:symbol val="none"/>
          </c:marker>
          <c:cat>
            <c:strRef>
              <c:f>'Pivot Table 2'!$A$2:$A$76</c:f>
            </c:strRef>
          </c:cat>
          <c:val>
            <c:numRef>
              <c:f>'Pivot Table 2'!$D$2:$D$76</c:f>
              <c:numCache/>
            </c:numRef>
          </c:val>
          <c:smooth val="0"/>
        </c:ser>
        <c:axId val="1475733307"/>
        <c:axId val="1492929007"/>
      </c:lineChart>
      <c:catAx>
        <c:axId val="14757333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Document 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492929007"/>
      </c:catAx>
      <c:valAx>
        <c:axId val="14929290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75733307"/>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Top 4 cusomers</a:t>
            </a:r>
          </a:p>
        </c:rich>
      </c:tx>
      <c:overlay val="0"/>
    </c:title>
    <c:plotArea>
      <c:layout/>
      <c:barChart>
        <c:barDir val="col"/>
        <c:ser>
          <c:idx val="0"/>
          <c:order val="0"/>
          <c:spPr>
            <a:solidFill>
              <a:schemeClr val="accent1"/>
            </a:solidFill>
            <a:ln cmpd="sng">
              <a:solidFill>
                <a:srgbClr val="000000"/>
              </a:solidFill>
            </a:ln>
          </c:spPr>
          <c:cat>
            <c:strRef>
              <c:f>'Pivot Table 3'!$D$3:$D$6</c:f>
            </c:strRef>
          </c:cat>
          <c:val>
            <c:numRef>
              <c:f>'Pivot Table 3'!$E$3:$E$6</c:f>
              <c:numCache/>
            </c:numRef>
          </c:val>
        </c:ser>
        <c:axId val="1660714115"/>
        <c:axId val="1429611871"/>
      </c:barChart>
      <c:catAx>
        <c:axId val="16607141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Customer Name</a:t>
                </a:r>
              </a:p>
            </c:rich>
          </c:tx>
          <c:overlay val="0"/>
        </c:title>
        <c:numFmt formatCode="General" sourceLinked="1"/>
        <c:majorTickMark val="none"/>
        <c:minorTickMark val="none"/>
        <c:spPr/>
        <c:txPr>
          <a:bodyPr/>
          <a:lstStyle/>
          <a:p>
            <a:pPr lvl="0">
              <a:defRPr b="0">
                <a:solidFill>
                  <a:srgbClr val="000000"/>
                </a:solidFill>
                <a:latin typeface="+mn-lt"/>
              </a:defRPr>
            </a:pPr>
          </a:p>
        </c:txPr>
        <c:crossAx val="1429611871"/>
      </c:catAx>
      <c:valAx>
        <c:axId val="14296118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Sales USD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0714115"/>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Top three product</a:t>
            </a:r>
          </a:p>
        </c:rich>
      </c:tx>
      <c:overlay val="0"/>
    </c:title>
    <c:plotArea>
      <c:layout/>
      <c:pieChart>
        <c:varyColors val="1"/>
        <c:ser>
          <c:idx val="0"/>
          <c:order val="0"/>
          <c:tx>
            <c:strRef>
              <c:f>'Pivot Table 1'!$F$5</c:f>
            </c:strRef>
          </c:tx>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'Pivot Table 1'!$E$6:$E$8</c:f>
            </c:strRef>
          </c:cat>
          <c:val>
            <c:numRef>
              <c:f>'Pivot Table 1'!$F$6:$F$8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866775</xdr:colOff>
      <xdr:row>1</xdr:row>
      <xdr:rowOff>57150</xdr:rowOff>
    </xdr:from>
    <xdr:ext cx="3933825"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762000</xdr:colOff>
      <xdr:row>7</xdr:row>
      <xdr:rowOff>28575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857250</xdr:colOff>
      <xdr:row>11</xdr:row>
      <xdr:rowOff>190500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0</xdr:row>
      <xdr:rowOff>133350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942975</xdr:colOff>
      <xdr:row>20</xdr:row>
      <xdr:rowOff>114300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552450</xdr:colOff>
      <xdr:row>16</xdr:row>
      <xdr:rowOff>114300</xdr:rowOff>
    </xdr:from>
    <xdr:ext cx="3933825"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J1000" sheet="pivot table and dashboard"/>
  </cacheSource>
  <cacheFields>
    <cacheField name="Company" numFmtId="0">
      <sharedItems containsBlank="1">
        <s v="Meta Creations"/>
        <s v="Lucas Basics"/>
        <s v="Urban Right"/>
        <m/>
      </sharedItems>
    </cacheField>
    <cacheField name="Region" numFmtId="0">
      <sharedItems containsBlank="1">
        <s v="America"/>
        <s v="Europe"/>
        <m/>
      </sharedItems>
    </cacheField>
    <cacheField name="Document No" numFmtId="0">
      <sharedItems containsString="0" containsBlank="1" containsNumber="1" containsInteger="1">
        <n v="28112.0"/>
        <n v="45444.0"/>
        <n v="66017.0"/>
        <n v="48112.0"/>
        <n v="66031.0"/>
        <n v="66016.0"/>
        <n v="44031.0"/>
        <n v="68116.0"/>
        <n v="65629.0"/>
        <n v="66015.0"/>
        <n v="68097.0"/>
        <n v="24030.0"/>
        <n v="66030.0"/>
        <n v="45442.0"/>
        <n v="65666.0"/>
        <n v="44016.0"/>
        <n v="65631.0"/>
        <n v="24031.0"/>
        <n v="44017.0"/>
        <n v="45427.0"/>
        <n v="48116.0"/>
        <n v="66032.0"/>
        <n v="25442.0"/>
        <n v="44015.0"/>
        <n v="45446.0"/>
        <n v="48101.0"/>
        <n v="45429.0"/>
        <n v="48097.0"/>
        <n v="48099.0"/>
        <n v="45431.0"/>
        <n v="44032.0"/>
        <n v="68099.0"/>
        <n v="68101.0"/>
        <n v="68112.0"/>
        <n v="65662.0"/>
        <n v="65627.0"/>
        <n v="48114.0"/>
        <n v="44030.0"/>
        <m/>
      </sharedItems>
    </cacheField>
    <cacheField name="Document Date" numFmtId="164">
      <sharedItems containsDate="1" containsString="0" containsBlank="1">
        <d v="2020-05-27T00:00:00Z"/>
        <d v="2020-05-28T00:00:00Z"/>
        <d v="2020-05-29T00:00:00Z"/>
        <d v="2020-05-30T00:00:00Z"/>
        <d v="2020-05-31T00:00:00Z"/>
        <d v="2020-06-01T00:00:00Z"/>
        <d v="2020-06-02T00:00:00Z"/>
        <d v="2020-06-04T00:00:00Z"/>
        <d v="2020-06-07T00:00:00Z"/>
        <d v="2020-06-10T00:00:00Z"/>
        <d v="2020-06-11T00:00:00Z"/>
        <d v="2020-06-13T00:00:00Z"/>
        <d v="2020-06-15T00:00:00Z"/>
        <d v="2020-06-17T00:00:00Z"/>
        <d v="2020-06-18T00:00:00Z"/>
        <d v="2020-06-19T00:00:00Z"/>
        <d v="2020-06-22T00:00:00Z"/>
        <d v="2020-06-23T00:00:00Z"/>
        <d v="2020-06-27T00:00:00Z"/>
        <d v="2020-06-28T00:00:00Z"/>
        <d v="2020-06-29T00:00:00Z"/>
        <d v="2020-07-01T00:00:00Z"/>
        <d v="2020-07-03T00:00:00Z"/>
        <d v="2020-07-04T00:00:00Z"/>
        <d v="2020-07-06T00:00:00Z"/>
        <d v="2020-07-09T00:00:00Z"/>
        <d v="2020-07-10T00:00:00Z"/>
        <d v="2020-07-14T00:00:00Z"/>
        <d v="2020-07-17T00:00:00Z"/>
        <d v="2020-07-19T00:00:00Z"/>
        <d v="2020-07-20T00:00:00Z"/>
        <d v="2020-07-22T00:00:00Z"/>
        <d v="2020-07-23T00:00:00Z"/>
        <d v="2020-07-29T00:00:00Z"/>
        <d v="2020-07-31T00:00:00Z"/>
        <d v="2020-08-01T00:00:00Z"/>
        <d v="2020-08-02T00:00:00Z"/>
        <d v="2020-08-03T00:00:00Z"/>
        <d v="2020-08-08T00:00:00Z"/>
        <d v="2020-08-10T00:00:00Z"/>
        <d v="2020-08-11T00:00:00Z"/>
        <d v="2020-08-12T00:00:00Z"/>
        <d v="2020-08-13T00:00:00Z"/>
        <d v="2020-08-14T00:00:00Z"/>
        <d v="2020-08-17T00:00:00Z"/>
        <d v="2020-08-19T00:00:00Z"/>
        <d v="2020-08-20T00:00:00Z"/>
        <d v="2020-08-22T00:00:00Z"/>
        <d v="2020-08-23T00:00:00Z"/>
        <d v="2020-08-24T00:00:00Z"/>
        <d v="2020-08-27T00:00:00Z"/>
        <d v="2020-08-28T00:00:00Z"/>
        <d v="2020-08-31T00:00:00Z"/>
        <d v="2020-09-02T00:00:00Z"/>
        <d v="2020-09-04T00:00:00Z"/>
        <d v="2020-09-08T00:00:00Z"/>
        <d v="2020-09-11T00:00:00Z"/>
        <d v="2020-09-14T00:00:00Z"/>
        <d v="2020-09-16T00:00:00Z"/>
        <d v="2020-09-17T00:00:00Z"/>
        <d v="2020-09-18T00:00:00Z"/>
        <d v="2020-09-20T00:00:00Z"/>
        <d v="2020-09-22T00:00:00Z"/>
        <d v="2020-09-26T00:00:00Z"/>
        <d v="2020-09-27T00:00:00Z"/>
        <d v="2020-09-28T00:00:00Z"/>
        <d v="2020-10-01T00:00:00Z"/>
        <d v="2020-10-02T00:00:00Z"/>
        <d v="2020-10-03T00:00:00Z"/>
        <d v="2020-10-05T00:00:00Z"/>
        <d v="2020-10-07T00:00:00Z"/>
        <d v="2020-10-09T00:00:00Z"/>
        <d v="2020-10-11T00:00:00Z"/>
        <m/>
      </sharedItems>
    </cacheField>
    <cacheField name="Customer Code" numFmtId="0">
      <sharedItems containsString="0" containsBlank="1" containsNumber="1" containsInteger="1">
        <n v="8020.0"/>
        <n v="8060.0"/>
        <n v="8010.0"/>
        <n v="8050.0"/>
        <m/>
      </sharedItems>
    </cacheField>
    <cacheField name="Customer Name" numFmtId="0">
      <sharedItems containsBlank="1">
        <s v="Erma"/>
        <s v="Liebher"/>
        <s v="Dellicia"/>
        <s v="Aida GmbH"/>
        <m/>
      </sharedItems>
    </cacheField>
    <cacheField name="Product Code" numFmtId="0">
      <sharedItems containsString="0" containsBlank="1" containsNumber="1" containsInteger="1">
        <n v="108.0"/>
        <n v="103.0"/>
        <n v="110.0"/>
        <n v="109.0"/>
        <n v="105.0"/>
        <n v="104.0"/>
        <n v="106.0"/>
        <n v="107.0"/>
        <n v="113.0"/>
        <n v="101.0"/>
        <n v="118.0"/>
        <n v="117.0"/>
        <n v="102.0"/>
        <n v="111.0"/>
        <n v="114.0"/>
        <n v="116.0"/>
        <m/>
      </sharedItems>
    </cacheField>
    <cacheField name="Product Description" numFmtId="0">
      <sharedItems containsBlank="1">
        <s v="Laptop bag black"/>
        <s v="Women type T simple white"/>
        <s v="Smartphone case diamond"/>
        <s v="Laptop bag red"/>
        <s v="Women crop top black"/>
        <s v="Women type T simple black"/>
        <s v="Women basics"/>
        <s v="Men dress shirt black"/>
        <s v="Men type T simple white"/>
        <s v="Men basics"/>
        <s v="Men shorts black"/>
        <s v="Men shorts grey"/>
        <s v="Men type T simple black"/>
        <s v="Smartphone case simple"/>
        <s v="Men dress shirt grey"/>
        <s v="Unisex tank top white"/>
        <m/>
      </sharedItems>
    </cacheField>
    <cacheField name="Quantity" numFmtId="3">
      <sharedItems containsString="0" containsBlank="1" containsNumber="1" containsInteger="1">
        <n v="10.0"/>
        <n v="60.0"/>
        <n v="140.0"/>
        <n v="120.0"/>
        <n v="50.0"/>
        <n v="190.0"/>
        <n v="130.0"/>
        <n v="20.0"/>
        <n v="150.0"/>
        <n v="100.0"/>
        <n v="70.0"/>
        <n v="160.0"/>
        <n v="40.0"/>
        <n v="80.0"/>
        <n v="170.0"/>
        <n v="200.0"/>
        <n v="180.0"/>
        <n v="110.0"/>
        <n v="30.0"/>
        <m/>
      </sharedItems>
    </cacheField>
    <cacheField name="Sales USD" numFmtId="165">
      <sharedItems containsString="0" containsBlank="1" containsNumber="1" containsInteger="1">
        <n v="280.0"/>
        <n v="1970.0"/>
        <n v="1680.0"/>
        <n v="4230.0"/>
        <n v="1440.0"/>
        <n v="3520.0"/>
        <n v="1900.0"/>
        <n v="1560.0"/>
        <n v="1300.0"/>
        <n v="1400.0"/>
        <n v="1800.0"/>
        <n v="600.0"/>
        <n v="2500.0"/>
        <n v="2300.0"/>
        <n v="1600.0"/>
        <n v="480.0"/>
        <n v="560.0"/>
        <n v="100.0"/>
        <n v="1640.0"/>
        <n v="1000.0"/>
        <n v="2630.0"/>
        <n v="4930.0"/>
        <n v="1260.0"/>
        <n v="950.0"/>
        <n v="120.0"/>
        <n v="350.0"/>
        <n v="1410.0"/>
        <n v="850.0"/>
        <n v="2040.0"/>
        <n v="2400.0"/>
        <n v="2160.0"/>
        <n v="1320.0"/>
        <n v="1250.0"/>
        <n v="1200.0"/>
        <n v="1920.0"/>
        <n v="840.0"/>
        <n v="360.0"/>
        <n v="1880.0"/>
        <n v="800.0"/>
        <n v="2280.0"/>
        <n v="2240.0"/>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J107" sheet="pivot table and dashboard"/>
  </cacheSource>
  <cacheFields>
    <cacheField name="Company" numFmtId="0">
      <sharedItems>
        <s v="Meta Creations"/>
        <s v="Lucas Basics"/>
        <s v="Urban Right"/>
      </sharedItems>
    </cacheField>
    <cacheField name="Region" numFmtId="0">
      <sharedItems>
        <s v="America"/>
        <s v="Europe"/>
      </sharedItems>
    </cacheField>
    <cacheField name="Document No" numFmtId="0">
      <sharedItems containsSemiMixedTypes="0" containsString="0" containsNumber="1" containsInteger="1">
        <n v="28112.0"/>
        <n v="45444.0"/>
        <n v="66017.0"/>
        <n v="48112.0"/>
        <n v="66031.0"/>
        <n v="66016.0"/>
        <n v="44031.0"/>
        <n v="68116.0"/>
        <n v="65629.0"/>
        <n v="66015.0"/>
        <n v="68097.0"/>
        <n v="24030.0"/>
        <n v="66030.0"/>
        <n v="45442.0"/>
        <n v="65666.0"/>
        <n v="44016.0"/>
        <n v="65631.0"/>
        <n v="24031.0"/>
        <n v="44017.0"/>
        <n v="45427.0"/>
        <n v="48116.0"/>
        <n v="66032.0"/>
        <n v="25442.0"/>
        <n v="44015.0"/>
        <n v="45446.0"/>
        <n v="48101.0"/>
        <n v="45429.0"/>
        <n v="48097.0"/>
        <n v="48099.0"/>
        <n v="45431.0"/>
        <n v="44032.0"/>
        <n v="68099.0"/>
        <n v="68101.0"/>
        <n v="68112.0"/>
        <n v="65662.0"/>
        <n v="65627.0"/>
        <n v="48114.0"/>
        <n v="44030.0"/>
      </sharedItems>
    </cacheField>
    <cacheField name="Document Date" numFmtId="164">
      <sharedItems containsSemiMixedTypes="0" containsDate="1" containsString="0">
        <d v="2020-05-27T00:00:00Z"/>
        <d v="2020-05-28T00:00:00Z"/>
        <d v="2020-05-29T00:00:00Z"/>
        <d v="2020-05-30T00:00:00Z"/>
        <d v="2020-05-31T00:00:00Z"/>
        <d v="2020-06-01T00:00:00Z"/>
        <d v="2020-06-02T00:00:00Z"/>
        <d v="2020-06-04T00:00:00Z"/>
        <d v="2020-06-07T00:00:00Z"/>
        <d v="2020-06-10T00:00:00Z"/>
        <d v="2020-06-11T00:00:00Z"/>
        <d v="2020-06-13T00:00:00Z"/>
        <d v="2020-06-15T00:00:00Z"/>
        <d v="2020-06-17T00:00:00Z"/>
        <d v="2020-06-18T00:00:00Z"/>
        <d v="2020-06-19T00:00:00Z"/>
        <d v="2020-06-22T00:00:00Z"/>
        <d v="2020-06-23T00:00:00Z"/>
        <d v="2020-06-27T00:00:00Z"/>
        <d v="2020-06-28T00:00:00Z"/>
        <d v="2020-06-29T00:00:00Z"/>
        <d v="2020-07-01T00:00:00Z"/>
        <d v="2020-07-03T00:00:00Z"/>
        <d v="2020-07-04T00:00:00Z"/>
        <d v="2020-07-06T00:00:00Z"/>
        <d v="2020-07-09T00:00:00Z"/>
        <d v="2020-07-10T00:00:00Z"/>
        <d v="2020-07-14T00:00:00Z"/>
        <d v="2020-07-17T00:00:00Z"/>
        <d v="2020-07-19T00:00:00Z"/>
        <d v="2020-07-20T00:00:00Z"/>
        <d v="2020-07-22T00:00:00Z"/>
        <d v="2020-07-23T00:00:00Z"/>
        <d v="2020-07-29T00:00:00Z"/>
        <d v="2020-07-31T00:00:00Z"/>
        <d v="2020-08-01T00:00:00Z"/>
        <d v="2020-08-02T00:00:00Z"/>
        <d v="2020-08-03T00:00:00Z"/>
        <d v="2020-08-08T00:00:00Z"/>
        <d v="2020-08-10T00:00:00Z"/>
        <d v="2020-08-11T00:00:00Z"/>
        <d v="2020-08-12T00:00:00Z"/>
        <d v="2020-08-13T00:00:00Z"/>
        <d v="2020-08-14T00:00:00Z"/>
        <d v="2020-08-17T00:00:00Z"/>
        <d v="2020-08-19T00:00:00Z"/>
        <d v="2020-08-20T00:00:00Z"/>
        <d v="2020-08-22T00:00:00Z"/>
        <d v="2020-08-23T00:00:00Z"/>
        <d v="2020-08-24T00:00:00Z"/>
        <d v="2020-08-27T00:00:00Z"/>
        <d v="2020-08-28T00:00:00Z"/>
        <d v="2020-08-31T00:00:00Z"/>
        <d v="2020-09-02T00:00:00Z"/>
        <d v="2020-09-04T00:00:00Z"/>
        <d v="2020-09-08T00:00:00Z"/>
        <d v="2020-09-11T00:00:00Z"/>
        <d v="2020-09-14T00:00:00Z"/>
        <d v="2020-09-16T00:00:00Z"/>
        <d v="2020-09-17T00:00:00Z"/>
        <d v="2020-09-18T00:00:00Z"/>
        <d v="2020-09-20T00:00:00Z"/>
        <d v="2020-09-22T00:00:00Z"/>
        <d v="2020-09-26T00:00:00Z"/>
        <d v="2020-09-27T00:00:00Z"/>
        <d v="2020-09-28T00:00:00Z"/>
        <d v="2020-10-01T00:00:00Z"/>
        <d v="2020-10-02T00:00:00Z"/>
        <d v="2020-10-03T00:00:00Z"/>
        <d v="2020-10-05T00:00:00Z"/>
        <d v="2020-10-07T00:00:00Z"/>
        <d v="2020-10-09T00:00:00Z"/>
        <d v="2020-10-11T00:00:00Z"/>
      </sharedItems>
    </cacheField>
    <cacheField name="Customer Code" numFmtId="0">
      <sharedItems containsSemiMixedTypes="0" containsString="0" containsNumber="1" containsInteger="1">
        <n v="8020.0"/>
        <n v="8060.0"/>
        <n v="8010.0"/>
        <n v="8050.0"/>
      </sharedItems>
    </cacheField>
    <cacheField name="Customer Name" numFmtId="0">
      <sharedItems>
        <s v="Erma"/>
        <s v="Liebher"/>
        <s v="Dellicia"/>
        <s v="Aida GmbH"/>
      </sharedItems>
    </cacheField>
    <cacheField name="Product Code" numFmtId="0">
      <sharedItems containsSemiMixedTypes="0" containsString="0" containsNumber="1" containsInteger="1">
        <n v="108.0"/>
        <n v="103.0"/>
        <n v="110.0"/>
        <n v="109.0"/>
        <n v="105.0"/>
        <n v="104.0"/>
        <n v="106.0"/>
        <n v="107.0"/>
        <n v="113.0"/>
        <n v="101.0"/>
        <n v="118.0"/>
        <n v="117.0"/>
        <n v="102.0"/>
        <n v="111.0"/>
        <n v="114.0"/>
        <n v="116.0"/>
      </sharedItems>
    </cacheField>
    <cacheField name="Product Description" numFmtId="0">
      <sharedItems>
        <s v="Laptop bag black"/>
        <s v="Women type T simple white"/>
        <s v="Smartphone case diamond"/>
        <s v="Laptop bag red"/>
        <s v="Women crop top black"/>
        <s v="Women type T simple black"/>
        <s v="Women basics"/>
        <s v="Men dress shirt black"/>
        <s v="Men type T simple white"/>
        <s v="Men basics"/>
        <s v="Men shorts black"/>
        <s v="Men shorts grey"/>
        <s v="Men type T simple black"/>
        <s v="Smartphone case simple"/>
        <s v="Men dress shirt grey"/>
        <s v="Unisex tank top white"/>
      </sharedItems>
    </cacheField>
    <cacheField name="Quantity" numFmtId="3">
      <sharedItems containsSemiMixedTypes="0" containsString="0" containsNumber="1" containsInteger="1">
        <n v="10.0"/>
        <n v="60.0"/>
        <n v="140.0"/>
        <n v="120.0"/>
        <n v="50.0"/>
        <n v="190.0"/>
        <n v="130.0"/>
        <n v="20.0"/>
        <n v="150.0"/>
        <n v="100.0"/>
        <n v="70.0"/>
        <n v="160.0"/>
        <n v="40.0"/>
        <n v="80.0"/>
        <n v="170.0"/>
        <n v="200.0"/>
        <n v="180.0"/>
        <n v="110.0"/>
        <n v="30.0"/>
      </sharedItems>
    </cacheField>
    <cacheField name="Sales USD" numFmtId="165">
      <sharedItems containsSemiMixedTypes="0" containsString="0" containsNumber="1" containsInteger="1">
        <n v="280.0"/>
        <n v="1970.0"/>
        <n v="1680.0"/>
        <n v="4230.0"/>
        <n v="1440.0"/>
        <n v="3520.0"/>
        <n v="1900.0"/>
        <n v="1560.0"/>
        <n v="1300.0"/>
        <n v="1400.0"/>
        <n v="1800.0"/>
        <n v="600.0"/>
        <n v="2500.0"/>
        <n v="2300.0"/>
        <n v="1600.0"/>
        <n v="480.0"/>
        <n v="560.0"/>
        <n v="100.0"/>
        <n v="1640.0"/>
        <n v="1000.0"/>
        <n v="2630.0"/>
        <n v="4930.0"/>
        <n v="1260.0"/>
        <n v="950.0"/>
        <n v="120.0"/>
        <n v="350.0"/>
        <n v="1410.0"/>
        <n v="850.0"/>
        <n v="2040.0"/>
        <n v="2400.0"/>
        <n v="2160.0"/>
        <n v="1320.0"/>
        <n v="1250.0"/>
        <n v="1200.0"/>
        <n v="1920.0"/>
        <n v="840.0"/>
        <n v="360.0"/>
        <n v="1880.0"/>
        <n v="800.0"/>
        <n v="2280.0"/>
        <n v="2240.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 Table 2" cacheId="0" dataCaption="" rowGrandTotals="0" colGrandTotals="0" compact="0" compactData="0">
  <location ref="A1:D76" firstHeaderRow="0" firstDataRow="1" firstDataCol="1"/>
  <pivotFields>
    <pivotField name="Company" compact="0" outline="0" multipleItemSelectionAllowed="1" showAll="0">
      <items>
        <item x="0"/>
        <item x="1"/>
        <item x="2"/>
        <item x="3"/>
        <item t="default"/>
      </items>
    </pivotField>
    <pivotField name="Region" axis="axisCol" compact="0" outline="0" multipleItemSelectionAllowed="1" showAll="0" sortType="ascending">
      <items>
        <item x="2"/>
        <item x="0"/>
        <item x="1"/>
        <item t="default"/>
      </items>
    </pivotField>
    <pivotField name="Document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Document Date" axis="axisRow" compact="0" numFmtId="164" outline="0" multipleItemSelectionAllowed="1" showAll="0" sortType="ascending">
      <items>
        <item x="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Customer Code" compact="0" outline="0" multipleItemSelectionAllowed="1" showAll="0">
      <items>
        <item x="0"/>
        <item x="1"/>
        <item x="2"/>
        <item x="3"/>
        <item x="4"/>
        <item t="default"/>
      </items>
    </pivotField>
    <pivotField name="Customer Name" compact="0" outline="0" multipleItemSelectionAllowed="1" showAll="0">
      <items>
        <item x="0"/>
        <item x="1"/>
        <item x="2"/>
        <item x="3"/>
        <item x="4"/>
        <item t="default"/>
      </items>
    </pivotField>
    <pivotField name="Product Code" compact="0" outline="0" multipleItemSelectionAllowed="1" showAll="0">
      <items>
        <item x="0"/>
        <item x="1"/>
        <item x="2"/>
        <item x="3"/>
        <item x="4"/>
        <item x="5"/>
        <item x="6"/>
        <item x="7"/>
        <item x="8"/>
        <item x="9"/>
        <item x="10"/>
        <item x="11"/>
        <item x="12"/>
        <item x="13"/>
        <item x="14"/>
        <item x="15"/>
        <item x="16"/>
        <item t="default"/>
      </items>
    </pivotField>
    <pivotField name="Product Description" compact="0" outline="0" multipleItemSelectionAllowed="1" showAll="0">
      <items>
        <item x="0"/>
        <item x="1"/>
        <item x="2"/>
        <item x="3"/>
        <item x="4"/>
        <item x="5"/>
        <item x="6"/>
        <item x="7"/>
        <item x="8"/>
        <item x="9"/>
        <item x="10"/>
        <item x="11"/>
        <item x="12"/>
        <item x="13"/>
        <item x="14"/>
        <item x="15"/>
        <item x="16"/>
        <item t="default"/>
      </items>
    </pivotField>
    <pivotField name="Quantity" compact="0" numFmtId="3" outline="0" multipleItemSelectionAllowed="1" showAll="0">
      <items>
        <item x="0"/>
        <item x="1"/>
        <item x="2"/>
        <item x="3"/>
        <item x="4"/>
        <item x="5"/>
        <item x="6"/>
        <item x="7"/>
        <item x="8"/>
        <item x="9"/>
        <item x="10"/>
        <item x="11"/>
        <item x="12"/>
        <item x="13"/>
        <item x="14"/>
        <item x="15"/>
        <item x="16"/>
        <item x="17"/>
        <item x="18"/>
        <item x="19"/>
        <item t="default"/>
      </items>
    </pivotField>
    <pivotField name="Sales USD" dataField="1"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s>
  <rowFields>
    <field x="3"/>
  </rowFields>
  <colFields>
    <field x="1"/>
  </colFields>
  <dataFields>
    <dataField name="SUM of Sales USD" fld="9" baseField="0"/>
  </dataFields>
</pivotTableDefinition>
</file>

<file path=xl/pivotTables/pivotTable2.xml><?xml version="1.0" encoding="utf-8"?>
<pivotTableDefinition xmlns="http://schemas.openxmlformats.org/spreadsheetml/2006/main" name="Pivot Table 3" cacheId="0" dataCaption="" rowGrandTotals="0" compact="0" compactData="0">
  <location ref="A1:B6" firstHeaderRow="0" firstDataRow="1" firstDataCol="0"/>
  <pivotFields>
    <pivotField name="Company" compact="0" outline="0" multipleItemSelectionAllowed="1" showAll="0">
      <items>
        <item x="0"/>
        <item x="1"/>
        <item x="2"/>
        <item x="3"/>
        <item t="default"/>
      </items>
    </pivotField>
    <pivotField name="Region" compact="0" outline="0" multipleItemSelectionAllowed="1" showAll="0">
      <items>
        <item x="0"/>
        <item x="1"/>
        <item x="2"/>
        <item t="default"/>
      </items>
    </pivotField>
    <pivotField name="Document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Documen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Customer Code" compact="0" outline="0" multipleItemSelectionAllowed="1" showAll="0">
      <items>
        <item x="0"/>
        <item x="1"/>
        <item x="2"/>
        <item x="3"/>
        <item x="4"/>
        <item t="default"/>
      </items>
    </pivotField>
    <pivotField name="Customer Name" axis="axisRow" compact="0" outline="0" multipleItemSelectionAllowed="1" showAll="0" sortType="ascending">
      <items>
        <item x="4"/>
        <item x="3"/>
        <item x="2"/>
        <item x="0"/>
        <item x="1"/>
        <item t="default"/>
      </items>
    </pivotField>
    <pivotField name="Product Code" compact="0" outline="0" multipleItemSelectionAllowed="1" showAll="0">
      <items>
        <item x="0"/>
        <item x="1"/>
        <item x="2"/>
        <item x="3"/>
        <item x="4"/>
        <item x="5"/>
        <item x="6"/>
        <item x="7"/>
        <item x="8"/>
        <item x="9"/>
        <item x="10"/>
        <item x="11"/>
        <item x="12"/>
        <item x="13"/>
        <item x="14"/>
        <item x="15"/>
        <item x="16"/>
        <item t="default"/>
      </items>
    </pivotField>
    <pivotField name="Product Description" compact="0" outline="0" multipleItemSelectionAllowed="1" showAll="0">
      <items>
        <item x="0"/>
        <item x="1"/>
        <item x="2"/>
        <item x="3"/>
        <item x="4"/>
        <item x="5"/>
        <item x="6"/>
        <item x="7"/>
        <item x="8"/>
        <item x="9"/>
        <item x="10"/>
        <item x="11"/>
        <item x="12"/>
        <item x="13"/>
        <item x="14"/>
        <item x="15"/>
        <item x="16"/>
        <item t="default"/>
      </items>
    </pivotField>
    <pivotField name="Quantity" compact="0" numFmtId="3" outline="0" multipleItemSelectionAllowed="1" showAll="0">
      <items>
        <item x="0"/>
        <item x="1"/>
        <item x="2"/>
        <item x="3"/>
        <item x="4"/>
        <item x="5"/>
        <item x="6"/>
        <item x="7"/>
        <item x="8"/>
        <item x="9"/>
        <item x="10"/>
        <item x="11"/>
        <item x="12"/>
        <item x="13"/>
        <item x="14"/>
        <item x="15"/>
        <item x="16"/>
        <item x="17"/>
        <item x="18"/>
        <item x="19"/>
        <item t="default"/>
      </items>
    </pivotField>
    <pivotField name="Sales USD" dataField="1"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s>
  <rowFields>
    <field x="5"/>
  </rowFields>
  <dataFields>
    <dataField name="SUM of Sales USD" fld="9" baseField="0"/>
  </dataFields>
</pivotTableDefinition>
</file>

<file path=xl/pivotTables/pivotTable3.xml><?xml version="1.0" encoding="utf-8"?>
<pivotTableDefinition xmlns="http://schemas.openxmlformats.org/spreadsheetml/2006/main" name="Pivot Table 1" cacheId="1" dataCaption="" rowGrandTotals="0" compact="0" compactData="0">
  <location ref="A1:C17" firstHeaderRow="0" firstDataRow="2" firstDataCol="0"/>
  <pivotFields>
    <pivotField name="Company" compact="0" outline="0" multipleItemSelectionAllowed="1" showAll="0">
      <items>
        <item x="0"/>
        <item x="1"/>
        <item x="2"/>
        <item t="default"/>
      </items>
    </pivotField>
    <pivotField name="Region" compact="0" outline="0" multipleItemSelectionAllowed="1" showAll="0">
      <items>
        <item x="0"/>
        <item x="1"/>
        <item t="default"/>
      </items>
    </pivotField>
    <pivotField name="Document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Documen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Customer Code" compact="0" outline="0" multipleItemSelectionAllowed="1" showAll="0">
      <items>
        <item x="0"/>
        <item x="1"/>
        <item x="2"/>
        <item x="3"/>
        <item t="default"/>
      </items>
    </pivotField>
    <pivotField name="Customer Name" compact="0" outline="0" multipleItemSelectionAllowed="1" showAll="0">
      <items>
        <item x="0"/>
        <item x="1"/>
        <item x="2"/>
        <item x="3"/>
        <item t="default"/>
      </items>
    </pivotField>
    <pivotField name="Product Code" compact="0" outline="0" multipleItemSelectionAllowed="1" showAll="0">
      <items>
        <item x="0"/>
        <item x="1"/>
        <item x="2"/>
        <item x="3"/>
        <item x="4"/>
        <item x="5"/>
        <item x="6"/>
        <item x="7"/>
        <item x="8"/>
        <item x="9"/>
        <item x="10"/>
        <item x="11"/>
        <item x="12"/>
        <item x="13"/>
        <item x="14"/>
        <item x="15"/>
        <item t="default"/>
      </items>
    </pivotField>
    <pivotField name="Product Description" axis="axisRow" compact="0" outline="0" multipleItemSelectionAllowed="1" showAll="0" sortType="ascending">
      <items>
        <item x="0"/>
        <item x="3"/>
        <item x="9"/>
        <item x="7"/>
        <item x="14"/>
        <item x="10"/>
        <item x="11"/>
        <item x="12"/>
        <item x="8"/>
        <item x="2"/>
        <item x="13"/>
        <item x="15"/>
        <item x="6"/>
        <item x="4"/>
        <item x="5"/>
        <item x="1"/>
        <item t="default"/>
      </items>
    </pivotField>
    <pivotField name="Quantity" dataField="1" compact="0" numFmtId="3" outline="0" multipleItemSelectionAllowed="1" showAll="0">
      <items>
        <item x="0"/>
        <item x="1"/>
        <item x="2"/>
        <item x="3"/>
        <item x="4"/>
        <item x="5"/>
        <item x="6"/>
        <item x="7"/>
        <item x="8"/>
        <item x="9"/>
        <item x="10"/>
        <item x="11"/>
        <item x="12"/>
        <item x="13"/>
        <item x="14"/>
        <item x="15"/>
        <item x="16"/>
        <item x="17"/>
        <item x="18"/>
        <item t="default"/>
      </items>
    </pivotField>
    <pivotField name="Sales USD" dataField="1"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s>
  <rowFields>
    <field x="7"/>
  </rowFields>
  <colFields>
    <field x="-2"/>
  </colFields>
  <dataFields>
    <dataField name="SUM of Quantity" fld="8" baseField="0"/>
    <dataField name="SUM of Sales USD" fld="9"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6.5"/>
    <col customWidth="1" min="7" max="7" width="41.0"/>
  </cols>
  <sheetData>
    <row r="1">
      <c r="A1" s="1" t="s">
        <v>0</v>
      </c>
      <c r="B1" s="1" t="s">
        <v>1</v>
      </c>
      <c r="C1" s="1" t="s">
        <v>2</v>
      </c>
      <c r="D1" s="1" t="s">
        <v>3</v>
      </c>
      <c r="E1" s="1" t="s">
        <v>4</v>
      </c>
      <c r="F1" s="2"/>
      <c r="G1" s="3"/>
      <c r="H1" s="4"/>
    </row>
    <row r="2">
      <c r="A2" s="5" t="s">
        <v>5</v>
      </c>
      <c r="B2" s="5" t="s">
        <v>6</v>
      </c>
      <c r="C2" s="5" t="s">
        <v>7</v>
      </c>
      <c r="D2" s="5" t="s">
        <v>8</v>
      </c>
      <c r="E2" s="5">
        <v>140.0</v>
      </c>
      <c r="F2" s="6"/>
      <c r="G2" s="7" t="s">
        <v>9</v>
      </c>
      <c r="H2" s="5">
        <f>SUMIF(E:E,"&gt;100")</f>
        <v>3421</v>
      </c>
    </row>
    <row r="3">
      <c r="A3" s="5" t="s">
        <v>10</v>
      </c>
      <c r="B3" s="5" t="s">
        <v>6</v>
      </c>
      <c r="C3" s="5" t="s">
        <v>11</v>
      </c>
      <c r="D3" s="5" t="s">
        <v>12</v>
      </c>
      <c r="E3" s="5">
        <v>104.0</v>
      </c>
      <c r="F3" s="6"/>
      <c r="G3" s="7" t="s">
        <v>13</v>
      </c>
      <c r="H3" s="5">
        <f>SUM(E2:E47)</f>
        <v>4543</v>
      </c>
    </row>
    <row r="4">
      <c r="A4" s="5" t="s">
        <v>14</v>
      </c>
      <c r="B4" s="5" t="s">
        <v>6</v>
      </c>
      <c r="C4" s="5" t="s">
        <v>15</v>
      </c>
      <c r="D4" s="5" t="s">
        <v>8</v>
      </c>
      <c r="E4" s="5">
        <v>135.0</v>
      </c>
      <c r="F4" s="6"/>
      <c r="G4" s="7" t="s">
        <v>16</v>
      </c>
      <c r="H4" s="8">
        <f>AVERAGEIFS(E:E,C:C,"North")</f>
        <v>103.0625</v>
      </c>
    </row>
    <row r="5">
      <c r="A5" s="5" t="s">
        <v>17</v>
      </c>
      <c r="B5" s="5" t="s">
        <v>6</v>
      </c>
      <c r="C5" s="5" t="s">
        <v>18</v>
      </c>
      <c r="D5" s="5" t="s">
        <v>8</v>
      </c>
      <c r="E5" s="5">
        <v>114.0</v>
      </c>
      <c r="F5" s="6"/>
      <c r="G5" s="7" t="s">
        <v>19</v>
      </c>
      <c r="H5" s="9">
        <f>countif(D:D,"agent")</f>
        <v>35</v>
      </c>
    </row>
    <row r="6">
      <c r="A6" s="5" t="s">
        <v>20</v>
      </c>
      <c r="B6" s="5" t="s">
        <v>21</v>
      </c>
      <c r="C6" s="5" t="s">
        <v>7</v>
      </c>
      <c r="D6" s="5" t="s">
        <v>8</v>
      </c>
      <c r="E6" s="5">
        <v>109.0</v>
      </c>
      <c r="F6" s="6"/>
      <c r="G6" s="3"/>
      <c r="H6" s="10"/>
    </row>
    <row r="7">
      <c r="A7" s="5" t="s">
        <v>22</v>
      </c>
      <c r="B7" s="5" t="s">
        <v>21</v>
      </c>
      <c r="C7" s="5" t="s">
        <v>11</v>
      </c>
      <c r="D7" s="5" t="s">
        <v>8</v>
      </c>
      <c r="E7" s="5">
        <v>124.0</v>
      </c>
      <c r="F7" s="6"/>
      <c r="G7" s="3"/>
      <c r="H7" s="4"/>
    </row>
    <row r="8">
      <c r="A8" s="5" t="s">
        <v>23</v>
      </c>
      <c r="B8" s="5" t="s">
        <v>21</v>
      </c>
      <c r="C8" s="5" t="s">
        <v>15</v>
      </c>
      <c r="D8" s="5" t="s">
        <v>8</v>
      </c>
      <c r="E8" s="5">
        <v>148.0</v>
      </c>
      <c r="F8" s="6"/>
      <c r="G8" s="7" t="s">
        <v>24</v>
      </c>
      <c r="H8" s="9">
        <f>SUMIFS(E:E,C:C,"North",D:D,"Permanent")</f>
        <v>651</v>
      </c>
    </row>
    <row r="9">
      <c r="A9" s="5" t="s">
        <v>25</v>
      </c>
      <c r="B9" s="5" t="s">
        <v>21</v>
      </c>
      <c r="C9" s="5" t="s">
        <v>18</v>
      </c>
      <c r="D9" s="5" t="s">
        <v>8</v>
      </c>
      <c r="E9" s="5">
        <v>152.0</v>
      </c>
      <c r="F9" s="6"/>
      <c r="G9" s="7" t="s">
        <v>26</v>
      </c>
      <c r="H9" s="9">
        <f>AVERAGEIFS(E:E,E:E,"&gt;100",D:D,"permanent")</f>
        <v>123.6</v>
      </c>
    </row>
    <row r="10">
      <c r="A10" s="5" t="s">
        <v>27</v>
      </c>
      <c r="B10" s="5" t="s">
        <v>28</v>
      </c>
      <c r="C10" s="5" t="s">
        <v>7</v>
      </c>
      <c r="D10" s="5" t="s">
        <v>12</v>
      </c>
      <c r="E10" s="5">
        <v>95.0</v>
      </c>
      <c r="F10" s="6"/>
      <c r="G10" s="7" t="s">
        <v>29</v>
      </c>
      <c r="H10" s="9">
        <f>COUNTIFs(D:D,"agent",B:B,"noida")</f>
        <v>8</v>
      </c>
    </row>
    <row r="11">
      <c r="A11" s="5" t="s">
        <v>30</v>
      </c>
      <c r="B11" s="5" t="s">
        <v>28</v>
      </c>
      <c r="C11" s="5" t="s">
        <v>11</v>
      </c>
      <c r="D11" s="5" t="s">
        <v>12</v>
      </c>
      <c r="E11" s="5">
        <v>131.0</v>
      </c>
      <c r="F11" s="6"/>
      <c r="G11" s="3"/>
      <c r="H11" s="4"/>
    </row>
    <row r="12">
      <c r="A12" s="5" t="s">
        <v>31</v>
      </c>
      <c r="B12" s="5" t="s">
        <v>28</v>
      </c>
      <c r="C12" s="5" t="s">
        <v>15</v>
      </c>
      <c r="D12" s="5" t="s">
        <v>12</v>
      </c>
      <c r="E12" s="5">
        <v>66.0</v>
      </c>
      <c r="F12" s="6"/>
      <c r="G12" s="7" t="s">
        <v>32</v>
      </c>
      <c r="H12" s="9">
        <f>COUNTIFS(D:D,"agent",C:C,"north")</f>
        <v>9</v>
      </c>
    </row>
    <row r="13">
      <c r="A13" s="5" t="s">
        <v>33</v>
      </c>
      <c r="B13" s="5" t="s">
        <v>28</v>
      </c>
      <c r="C13" s="5" t="s">
        <v>18</v>
      </c>
      <c r="D13" s="5" t="s">
        <v>12</v>
      </c>
      <c r="E13" s="5">
        <v>100.0</v>
      </c>
      <c r="F13" s="6"/>
      <c r="G13" s="11"/>
      <c r="H13" s="6"/>
    </row>
    <row r="14">
      <c r="A14" s="5" t="s">
        <v>34</v>
      </c>
      <c r="B14" s="5" t="s">
        <v>28</v>
      </c>
      <c r="C14" s="5" t="s">
        <v>7</v>
      </c>
      <c r="D14" s="5" t="s">
        <v>12</v>
      </c>
      <c r="E14" s="5">
        <v>79.0</v>
      </c>
      <c r="F14" s="6"/>
      <c r="G14" s="11"/>
      <c r="H14" s="6"/>
    </row>
    <row r="15">
      <c r="A15" s="5" t="s">
        <v>35</v>
      </c>
      <c r="B15" s="5" t="s">
        <v>36</v>
      </c>
      <c r="C15" s="5" t="s">
        <v>11</v>
      </c>
      <c r="D15" s="5" t="s">
        <v>12</v>
      </c>
      <c r="E15" s="5">
        <v>113.0</v>
      </c>
      <c r="F15" s="6"/>
      <c r="G15" s="11"/>
      <c r="H15" s="6"/>
    </row>
    <row r="16">
      <c r="A16" s="5" t="s">
        <v>37</v>
      </c>
      <c r="B16" s="5" t="s">
        <v>36</v>
      </c>
      <c r="C16" s="5" t="s">
        <v>15</v>
      </c>
      <c r="D16" s="5" t="s">
        <v>12</v>
      </c>
      <c r="E16" s="5">
        <v>56.0</v>
      </c>
      <c r="F16" s="6"/>
      <c r="G16" s="11"/>
      <c r="H16" s="6"/>
    </row>
    <row r="17">
      <c r="A17" s="5" t="s">
        <v>38</v>
      </c>
      <c r="B17" s="5" t="s">
        <v>36</v>
      </c>
      <c r="C17" s="5" t="s">
        <v>18</v>
      </c>
      <c r="D17" s="5" t="s">
        <v>12</v>
      </c>
      <c r="E17" s="5">
        <v>44.0</v>
      </c>
      <c r="F17" s="6"/>
      <c r="G17" s="11"/>
      <c r="H17" s="6"/>
    </row>
    <row r="18">
      <c r="A18" s="5" t="s">
        <v>39</v>
      </c>
      <c r="B18" s="5" t="s">
        <v>36</v>
      </c>
      <c r="C18" s="5" t="s">
        <v>7</v>
      </c>
      <c r="D18" s="5" t="s">
        <v>12</v>
      </c>
      <c r="E18" s="5">
        <v>72.0</v>
      </c>
      <c r="F18" s="6"/>
      <c r="G18" s="11"/>
      <c r="H18" s="6"/>
    </row>
    <row r="19">
      <c r="A19" s="5" t="s">
        <v>40</v>
      </c>
      <c r="B19" s="5" t="s">
        <v>41</v>
      </c>
      <c r="C19" s="5" t="s">
        <v>11</v>
      </c>
      <c r="D19" s="5" t="s">
        <v>8</v>
      </c>
      <c r="E19" s="5">
        <v>63.0</v>
      </c>
      <c r="F19" s="6"/>
      <c r="G19" s="11"/>
      <c r="H19" s="6"/>
    </row>
    <row r="20">
      <c r="A20" s="5" t="s">
        <v>42</v>
      </c>
      <c r="B20" s="5" t="s">
        <v>41</v>
      </c>
      <c r="C20" s="5" t="s">
        <v>15</v>
      </c>
      <c r="D20" s="5" t="s">
        <v>8</v>
      </c>
      <c r="E20" s="5">
        <v>100.0</v>
      </c>
      <c r="F20" s="6"/>
      <c r="G20" s="11"/>
      <c r="H20" s="6"/>
    </row>
    <row r="21">
      <c r="A21" s="5" t="s">
        <v>43</v>
      </c>
      <c r="B21" s="5" t="s">
        <v>41</v>
      </c>
      <c r="C21" s="5" t="s">
        <v>18</v>
      </c>
      <c r="D21" s="5" t="s">
        <v>8</v>
      </c>
      <c r="E21" s="5">
        <v>80.0</v>
      </c>
      <c r="F21" s="6"/>
      <c r="G21" s="11"/>
      <c r="H21" s="6"/>
    </row>
    <row r="22">
      <c r="A22" s="5" t="s">
        <v>44</v>
      </c>
      <c r="B22" s="5" t="s">
        <v>41</v>
      </c>
      <c r="C22" s="5" t="s">
        <v>7</v>
      </c>
      <c r="D22" s="5" t="s">
        <v>8</v>
      </c>
      <c r="E22" s="5">
        <v>88.0</v>
      </c>
      <c r="F22" s="6"/>
      <c r="G22" s="11"/>
      <c r="H22" s="6"/>
    </row>
    <row r="23">
      <c r="A23" s="5" t="s">
        <v>45</v>
      </c>
      <c r="B23" s="5" t="s">
        <v>6</v>
      </c>
      <c r="C23" s="5" t="s">
        <v>11</v>
      </c>
      <c r="D23" s="5" t="s">
        <v>12</v>
      </c>
      <c r="E23" s="5">
        <v>89.0</v>
      </c>
      <c r="F23" s="6"/>
      <c r="G23" s="11"/>
      <c r="H23" s="6"/>
    </row>
    <row r="24">
      <c r="A24" s="5" t="s">
        <v>46</v>
      </c>
      <c r="B24" s="5" t="s">
        <v>6</v>
      </c>
      <c r="C24" s="5" t="s">
        <v>15</v>
      </c>
      <c r="D24" s="5" t="s">
        <v>8</v>
      </c>
      <c r="E24" s="5">
        <v>72.0</v>
      </c>
      <c r="F24" s="6"/>
      <c r="G24" s="11"/>
      <c r="H24" s="6"/>
    </row>
    <row r="25">
      <c r="A25" s="5" t="s">
        <v>47</v>
      </c>
      <c r="B25" s="5" t="s">
        <v>6</v>
      </c>
      <c r="C25" s="5" t="s">
        <v>18</v>
      </c>
      <c r="D25" s="5" t="s">
        <v>12</v>
      </c>
      <c r="E25" s="5">
        <v>107.0</v>
      </c>
      <c r="F25" s="6"/>
      <c r="G25" s="11"/>
      <c r="H25" s="6"/>
    </row>
    <row r="26">
      <c r="A26" s="5" t="s">
        <v>48</v>
      </c>
      <c r="B26" s="5" t="s">
        <v>6</v>
      </c>
      <c r="C26" s="5" t="s">
        <v>7</v>
      </c>
      <c r="D26" s="5" t="s">
        <v>12</v>
      </c>
      <c r="E26" s="5">
        <v>135.0</v>
      </c>
      <c r="F26" s="6"/>
      <c r="G26" s="11"/>
      <c r="H26" s="6"/>
    </row>
    <row r="27">
      <c r="A27" s="5" t="s">
        <v>49</v>
      </c>
      <c r="B27" s="5" t="s">
        <v>21</v>
      </c>
      <c r="C27" s="5" t="s">
        <v>11</v>
      </c>
      <c r="D27" s="5" t="s">
        <v>12</v>
      </c>
      <c r="E27" s="5">
        <v>71.0</v>
      </c>
      <c r="F27" s="6"/>
      <c r="G27" s="11"/>
      <c r="H27" s="6"/>
    </row>
    <row r="28">
      <c r="A28" s="5" t="s">
        <v>50</v>
      </c>
      <c r="B28" s="5" t="s">
        <v>21</v>
      </c>
      <c r="C28" s="5" t="s">
        <v>15</v>
      </c>
      <c r="D28" s="5" t="s">
        <v>8</v>
      </c>
      <c r="E28" s="5">
        <v>90.0</v>
      </c>
      <c r="F28" s="6"/>
      <c r="G28" s="11"/>
      <c r="H28" s="6"/>
    </row>
    <row r="29">
      <c r="A29" s="5" t="s">
        <v>51</v>
      </c>
      <c r="B29" s="5" t="s">
        <v>21</v>
      </c>
      <c r="C29" s="5" t="s">
        <v>18</v>
      </c>
      <c r="D29" s="5" t="s">
        <v>12</v>
      </c>
      <c r="E29" s="5">
        <v>83.0</v>
      </c>
      <c r="F29" s="6"/>
      <c r="G29" s="11"/>
      <c r="H29" s="6"/>
    </row>
    <row r="30">
      <c r="A30" s="5" t="s">
        <v>52</v>
      </c>
      <c r="B30" s="5" t="s">
        <v>21</v>
      </c>
      <c r="C30" s="5" t="s">
        <v>7</v>
      </c>
      <c r="D30" s="5" t="s">
        <v>12</v>
      </c>
      <c r="E30" s="5">
        <v>75.0</v>
      </c>
      <c r="F30" s="6"/>
      <c r="G30" s="11"/>
      <c r="H30" s="6"/>
    </row>
    <row r="31">
      <c r="A31" s="5" t="s">
        <v>53</v>
      </c>
      <c r="B31" s="5" t="s">
        <v>28</v>
      </c>
      <c r="C31" s="5" t="s">
        <v>11</v>
      </c>
      <c r="D31" s="5" t="s">
        <v>12</v>
      </c>
      <c r="E31" s="5">
        <v>84.0</v>
      </c>
      <c r="F31" s="6"/>
      <c r="G31" s="11"/>
      <c r="H31" s="6"/>
    </row>
    <row r="32">
      <c r="A32" s="5" t="s">
        <v>54</v>
      </c>
      <c r="B32" s="5" t="s">
        <v>28</v>
      </c>
      <c r="C32" s="5" t="s">
        <v>15</v>
      </c>
      <c r="D32" s="5" t="s">
        <v>8</v>
      </c>
      <c r="E32" s="5">
        <v>70.0</v>
      </c>
      <c r="F32" s="6"/>
      <c r="G32" s="11"/>
      <c r="H32" s="6"/>
    </row>
    <row r="33">
      <c r="A33" s="5" t="s">
        <v>55</v>
      </c>
      <c r="B33" s="5" t="s">
        <v>28</v>
      </c>
      <c r="C33" s="5" t="s">
        <v>18</v>
      </c>
      <c r="D33" s="5" t="s">
        <v>12</v>
      </c>
      <c r="E33" s="5">
        <v>139.0</v>
      </c>
      <c r="F33" s="6"/>
      <c r="G33" s="11"/>
      <c r="H33" s="6"/>
    </row>
    <row r="34">
      <c r="A34" s="5" t="s">
        <v>56</v>
      </c>
      <c r="B34" s="5" t="s">
        <v>28</v>
      </c>
      <c r="C34" s="5" t="s">
        <v>7</v>
      </c>
      <c r="D34" s="5" t="s">
        <v>8</v>
      </c>
      <c r="E34" s="5">
        <v>88.0</v>
      </c>
      <c r="F34" s="6"/>
      <c r="G34" s="11"/>
      <c r="H34" s="6"/>
    </row>
    <row r="35">
      <c r="A35" s="5" t="s">
        <v>57</v>
      </c>
      <c r="B35" s="5" t="s">
        <v>28</v>
      </c>
      <c r="C35" s="5" t="s">
        <v>11</v>
      </c>
      <c r="D35" s="5" t="s">
        <v>8</v>
      </c>
      <c r="E35" s="5">
        <v>92.0</v>
      </c>
      <c r="F35" s="6"/>
      <c r="G35" s="11"/>
      <c r="H35" s="6"/>
    </row>
    <row r="36">
      <c r="A36" s="5" t="s">
        <v>58</v>
      </c>
      <c r="B36" s="5" t="s">
        <v>36</v>
      </c>
      <c r="C36" s="5" t="s">
        <v>15</v>
      </c>
      <c r="D36" s="5" t="s">
        <v>8</v>
      </c>
      <c r="E36" s="5">
        <v>90.0</v>
      </c>
      <c r="F36" s="6"/>
      <c r="G36" s="11"/>
      <c r="H36" s="6"/>
    </row>
    <row r="37">
      <c r="A37" s="5" t="s">
        <v>59</v>
      </c>
      <c r="B37" s="5" t="s">
        <v>36</v>
      </c>
      <c r="C37" s="5" t="s">
        <v>18</v>
      </c>
      <c r="D37" s="5" t="s">
        <v>8</v>
      </c>
      <c r="E37" s="5">
        <v>87.0</v>
      </c>
      <c r="F37" s="6"/>
      <c r="G37" s="11"/>
      <c r="H37" s="6"/>
    </row>
    <row r="38">
      <c r="A38" s="5" t="s">
        <v>60</v>
      </c>
      <c r="B38" s="5" t="s">
        <v>36</v>
      </c>
      <c r="C38" s="5" t="s">
        <v>7</v>
      </c>
      <c r="D38" s="5" t="s">
        <v>8</v>
      </c>
      <c r="E38" s="5">
        <v>144.0</v>
      </c>
      <c r="F38" s="6"/>
      <c r="G38" s="11"/>
      <c r="H38" s="6"/>
    </row>
    <row r="39">
      <c r="A39" s="5" t="s">
        <v>61</v>
      </c>
      <c r="B39" s="5" t="s">
        <v>36</v>
      </c>
      <c r="C39" s="5" t="s">
        <v>11</v>
      </c>
      <c r="D39" s="5" t="s">
        <v>12</v>
      </c>
      <c r="E39" s="5">
        <v>60.0</v>
      </c>
      <c r="F39" s="6"/>
      <c r="G39" s="11"/>
      <c r="H39" s="6"/>
    </row>
    <row r="40">
      <c r="A40" s="5" t="s">
        <v>62</v>
      </c>
      <c r="B40" s="5" t="s">
        <v>41</v>
      </c>
      <c r="C40" s="5" t="s">
        <v>15</v>
      </c>
      <c r="D40" s="5" t="s">
        <v>8</v>
      </c>
      <c r="E40" s="5">
        <v>124.0</v>
      </c>
      <c r="F40" s="6"/>
      <c r="G40" s="11"/>
      <c r="H40" s="6"/>
    </row>
    <row r="41">
      <c r="A41" s="5" t="s">
        <v>63</v>
      </c>
      <c r="B41" s="5" t="s">
        <v>41</v>
      </c>
      <c r="C41" s="5" t="s">
        <v>18</v>
      </c>
      <c r="D41" s="5" t="s">
        <v>12</v>
      </c>
      <c r="E41" s="5">
        <v>113.0</v>
      </c>
      <c r="F41" s="6"/>
      <c r="G41" s="11"/>
      <c r="H41" s="6"/>
    </row>
    <row r="42">
      <c r="A42" s="5" t="s">
        <v>64</v>
      </c>
      <c r="B42" s="5" t="s">
        <v>41</v>
      </c>
      <c r="C42" s="5" t="s">
        <v>7</v>
      </c>
      <c r="D42" s="5" t="s">
        <v>12</v>
      </c>
      <c r="E42" s="5">
        <v>123.0</v>
      </c>
      <c r="F42" s="6"/>
      <c r="G42" s="11"/>
      <c r="H42" s="6"/>
    </row>
    <row r="43">
      <c r="A43" s="5" t="s">
        <v>65</v>
      </c>
      <c r="B43" s="5" t="s">
        <v>41</v>
      </c>
      <c r="C43" s="5" t="s">
        <v>11</v>
      </c>
      <c r="D43" s="5" t="s">
        <v>12</v>
      </c>
      <c r="E43" s="5">
        <v>42.0</v>
      </c>
      <c r="F43" s="6"/>
      <c r="G43" s="11"/>
      <c r="H43" s="6"/>
    </row>
    <row r="44">
      <c r="A44" s="5" t="s">
        <v>66</v>
      </c>
      <c r="B44" s="5" t="s">
        <v>6</v>
      </c>
      <c r="C44" s="5" t="s">
        <v>15</v>
      </c>
      <c r="D44" s="5" t="s">
        <v>12</v>
      </c>
      <c r="E44" s="5">
        <v>59.0</v>
      </c>
      <c r="F44" s="6"/>
      <c r="G44" s="11"/>
      <c r="H44" s="6"/>
    </row>
    <row r="45">
      <c r="A45" s="5" t="s">
        <v>67</v>
      </c>
      <c r="B45" s="5" t="s">
        <v>6</v>
      </c>
      <c r="C45" s="5" t="s">
        <v>18</v>
      </c>
      <c r="D45" s="5" t="s">
        <v>8</v>
      </c>
      <c r="E45" s="5">
        <v>121.0</v>
      </c>
      <c r="F45" s="6"/>
      <c r="G45" s="11"/>
      <c r="H45" s="6"/>
    </row>
    <row r="46">
      <c r="A46" s="5" t="s">
        <v>68</v>
      </c>
      <c r="B46" s="5" t="s">
        <v>6</v>
      </c>
      <c r="C46" s="5" t="s">
        <v>7</v>
      </c>
      <c r="D46" s="5" t="s">
        <v>8</v>
      </c>
      <c r="E46" s="5">
        <v>138.0</v>
      </c>
      <c r="F46" s="6"/>
      <c r="G46" s="11"/>
      <c r="H46" s="6"/>
    </row>
    <row r="47">
      <c r="A47" s="5" t="s">
        <v>69</v>
      </c>
      <c r="B47" s="5" t="s">
        <v>6</v>
      </c>
      <c r="C47" s="5" t="s">
        <v>11</v>
      </c>
      <c r="D47" s="5" t="s">
        <v>12</v>
      </c>
      <c r="E47" s="5">
        <v>134.0</v>
      </c>
      <c r="F47" s="6"/>
      <c r="G47" s="11"/>
      <c r="H47" s="6"/>
    </row>
    <row r="48">
      <c r="A48" s="5" t="s">
        <v>70</v>
      </c>
      <c r="B48" s="5" t="s">
        <v>21</v>
      </c>
      <c r="C48" s="5" t="s">
        <v>15</v>
      </c>
      <c r="D48" s="5" t="s">
        <v>8</v>
      </c>
      <c r="E48" s="5">
        <v>97.0</v>
      </c>
      <c r="F48" s="6"/>
      <c r="G48" s="11"/>
      <c r="H48" s="6"/>
    </row>
    <row r="49">
      <c r="A49" s="5" t="s">
        <v>71</v>
      </c>
      <c r="B49" s="5" t="s">
        <v>21</v>
      </c>
      <c r="C49" s="5" t="s">
        <v>18</v>
      </c>
      <c r="D49" s="5" t="s">
        <v>12</v>
      </c>
      <c r="E49" s="5">
        <v>94.0</v>
      </c>
      <c r="F49" s="6"/>
      <c r="G49" s="11"/>
      <c r="H49" s="6"/>
    </row>
    <row r="50">
      <c r="A50" s="5" t="s">
        <v>72</v>
      </c>
      <c r="B50" s="5" t="s">
        <v>21</v>
      </c>
      <c r="C50" s="5" t="s">
        <v>7</v>
      </c>
      <c r="D50" s="5" t="s">
        <v>8</v>
      </c>
      <c r="E50" s="5">
        <v>80.0</v>
      </c>
      <c r="F50" s="6"/>
      <c r="G50" s="11"/>
      <c r="H50" s="6"/>
    </row>
    <row r="51">
      <c r="A51" s="5" t="s">
        <v>73</v>
      </c>
      <c r="B51" s="5" t="s">
        <v>21</v>
      </c>
      <c r="C51" s="5" t="s">
        <v>11</v>
      </c>
      <c r="D51" s="5" t="s">
        <v>8</v>
      </c>
      <c r="E51" s="5">
        <v>130.0</v>
      </c>
      <c r="F51" s="6"/>
      <c r="G51" s="11"/>
      <c r="H51" s="6"/>
    </row>
    <row r="52">
      <c r="A52" s="5" t="s">
        <v>74</v>
      </c>
      <c r="B52" s="5" t="s">
        <v>28</v>
      </c>
      <c r="C52" s="5" t="s">
        <v>15</v>
      </c>
      <c r="D52" s="5" t="s">
        <v>12</v>
      </c>
      <c r="E52" s="5">
        <v>43.0</v>
      </c>
      <c r="F52" s="6"/>
      <c r="G52" s="11"/>
      <c r="H52" s="6"/>
    </row>
    <row r="53">
      <c r="A53" s="5" t="s">
        <v>75</v>
      </c>
      <c r="B53" s="5" t="s">
        <v>28</v>
      </c>
      <c r="C53" s="5" t="s">
        <v>18</v>
      </c>
      <c r="D53" s="5" t="s">
        <v>8</v>
      </c>
      <c r="E53" s="5">
        <v>97.0</v>
      </c>
      <c r="F53" s="6"/>
      <c r="G53" s="11"/>
      <c r="H53" s="6"/>
    </row>
    <row r="54">
      <c r="A54" s="5" t="s">
        <v>76</v>
      </c>
      <c r="B54" s="5" t="s">
        <v>28</v>
      </c>
      <c r="C54" s="5" t="s">
        <v>7</v>
      </c>
      <c r="D54" s="5" t="s">
        <v>12</v>
      </c>
      <c r="E54" s="5">
        <v>72.0</v>
      </c>
      <c r="F54" s="6"/>
      <c r="G54" s="11"/>
      <c r="H54" s="6"/>
    </row>
    <row r="55">
      <c r="A55" s="5" t="s">
        <v>77</v>
      </c>
      <c r="B55" s="5" t="s">
        <v>28</v>
      </c>
      <c r="C55" s="5" t="s">
        <v>11</v>
      </c>
      <c r="D55" s="5" t="s">
        <v>8</v>
      </c>
      <c r="E55" s="5">
        <v>150.0</v>
      </c>
      <c r="F55" s="6"/>
      <c r="G55" s="11"/>
      <c r="H55" s="6"/>
    </row>
    <row r="56">
      <c r="A56" s="12" t="s">
        <v>78</v>
      </c>
      <c r="B56" s="5" t="s">
        <v>28</v>
      </c>
      <c r="C56" s="5" t="s">
        <v>15</v>
      </c>
      <c r="D56" s="5" t="s">
        <v>8</v>
      </c>
      <c r="E56" s="5">
        <v>100.0</v>
      </c>
      <c r="F56" s="6"/>
      <c r="G56" s="11"/>
      <c r="H56" s="6"/>
    </row>
    <row r="57">
      <c r="A57" s="5" t="s">
        <v>79</v>
      </c>
      <c r="B57" s="5" t="s">
        <v>36</v>
      </c>
      <c r="C57" s="5" t="s">
        <v>18</v>
      </c>
      <c r="D57" s="5" t="s">
        <v>12</v>
      </c>
      <c r="E57" s="5">
        <v>137.0</v>
      </c>
      <c r="F57" s="6"/>
      <c r="G57" s="11"/>
      <c r="H57" s="6"/>
    </row>
    <row r="58">
      <c r="A58" s="5" t="s">
        <v>80</v>
      </c>
      <c r="B58" s="5" t="s">
        <v>36</v>
      </c>
      <c r="C58" s="5" t="s">
        <v>7</v>
      </c>
      <c r="D58" s="5" t="s">
        <v>8</v>
      </c>
      <c r="E58" s="5">
        <v>102.0</v>
      </c>
      <c r="F58" s="6"/>
      <c r="G58" s="11"/>
      <c r="H58" s="6"/>
    </row>
    <row r="59">
      <c r="A59" s="5" t="s">
        <v>81</v>
      </c>
      <c r="B59" s="5" t="s">
        <v>36</v>
      </c>
      <c r="C59" s="5" t="s">
        <v>11</v>
      </c>
      <c r="D59" s="5" t="s">
        <v>8</v>
      </c>
      <c r="E59" s="5">
        <v>119.0</v>
      </c>
      <c r="F59" s="6"/>
      <c r="G59" s="11"/>
      <c r="H59" s="6"/>
    </row>
    <row r="60">
      <c r="A60" s="5" t="s">
        <v>82</v>
      </c>
      <c r="B60" s="5" t="s">
        <v>36</v>
      </c>
      <c r="C60" s="5" t="s">
        <v>15</v>
      </c>
      <c r="D60" s="5" t="s">
        <v>8</v>
      </c>
      <c r="E60" s="5">
        <v>69.0</v>
      </c>
      <c r="F60" s="6"/>
      <c r="G60" s="11"/>
      <c r="H60" s="6"/>
    </row>
    <row r="61">
      <c r="A61" s="5" t="s">
        <v>83</v>
      </c>
      <c r="B61" s="5" t="s">
        <v>41</v>
      </c>
      <c r="C61" s="5" t="s">
        <v>18</v>
      </c>
      <c r="D61" s="5" t="s">
        <v>8</v>
      </c>
      <c r="E61" s="5">
        <v>81.0</v>
      </c>
      <c r="F61" s="6"/>
      <c r="G61" s="11"/>
      <c r="H61" s="6"/>
    </row>
    <row r="62">
      <c r="A62" s="5" t="s">
        <v>84</v>
      </c>
      <c r="B62" s="5" t="s">
        <v>41</v>
      </c>
      <c r="C62" s="5" t="s">
        <v>7</v>
      </c>
      <c r="D62" s="5" t="s">
        <v>8</v>
      </c>
      <c r="E62" s="5">
        <v>109.0</v>
      </c>
      <c r="F62" s="6"/>
      <c r="G62" s="11"/>
      <c r="H62" s="6"/>
    </row>
    <row r="63">
      <c r="A63" s="5" t="s">
        <v>85</v>
      </c>
      <c r="B63" s="5" t="s">
        <v>41</v>
      </c>
      <c r="C63" s="5" t="s">
        <v>11</v>
      </c>
      <c r="D63" s="5" t="s">
        <v>8</v>
      </c>
      <c r="E63" s="5">
        <v>52.0</v>
      </c>
      <c r="F63" s="6"/>
      <c r="G63" s="11"/>
      <c r="H63" s="6"/>
    </row>
    <row r="64">
      <c r="A64" s="5" t="s">
        <v>86</v>
      </c>
      <c r="B64" s="5" t="s">
        <v>41</v>
      </c>
      <c r="C64" s="5" t="s">
        <v>15</v>
      </c>
      <c r="D64" s="5" t="s">
        <v>8</v>
      </c>
      <c r="E64" s="5">
        <v>126.0</v>
      </c>
      <c r="F64" s="6"/>
      <c r="G64" s="11"/>
      <c r="H64" s="6"/>
    </row>
    <row r="65">
      <c r="A65" s="13"/>
      <c r="B65" s="13"/>
      <c r="C65" s="13"/>
      <c r="D65" s="13"/>
      <c r="E65" s="13"/>
      <c r="F65" s="13"/>
      <c r="G65" s="11"/>
      <c r="H65" s="6"/>
    </row>
    <row r="66">
      <c r="A66" s="14"/>
      <c r="B66" s="13"/>
      <c r="C66" s="13"/>
      <c r="D66" s="13"/>
      <c r="E66" s="13"/>
      <c r="F66" s="13"/>
      <c r="G66" s="11"/>
      <c r="H66" s="6"/>
    </row>
    <row r="67">
      <c r="A67" s="13"/>
      <c r="B67" s="13"/>
      <c r="C67" s="13"/>
      <c r="D67" s="13"/>
      <c r="E67" s="13"/>
      <c r="F67" s="13"/>
      <c r="G67" s="11"/>
      <c r="H67" s="6"/>
    </row>
    <row r="68">
      <c r="A68" s="14"/>
      <c r="B68" s="13"/>
      <c r="C68" s="13"/>
      <c r="D68" s="13"/>
      <c r="E68" s="13"/>
      <c r="F68" s="13"/>
      <c r="G68" s="11"/>
      <c r="H68" s="6"/>
    </row>
    <row r="69">
      <c r="A69" s="14"/>
      <c r="B69" s="13"/>
      <c r="C69" s="13"/>
      <c r="D69" s="13"/>
      <c r="E69" s="13"/>
      <c r="F69" s="13"/>
      <c r="G69" s="11"/>
      <c r="H69" s="6"/>
    </row>
    <row r="70">
      <c r="A70" s="15"/>
      <c r="B70" s="13"/>
      <c r="C70" s="13"/>
      <c r="D70" s="13"/>
      <c r="E70" s="13"/>
      <c r="F70" s="13"/>
      <c r="G70" s="11"/>
      <c r="H70" s="6"/>
    </row>
    <row r="71">
      <c r="A71" s="14"/>
      <c r="B71" s="13"/>
      <c r="C71" s="13"/>
      <c r="D71" s="13"/>
      <c r="E71" s="13"/>
      <c r="F71" s="13"/>
      <c r="G71" s="11"/>
      <c r="H71" s="6"/>
    </row>
    <row r="72">
      <c r="A72" s="14"/>
      <c r="B72" s="13"/>
      <c r="C72" s="13"/>
      <c r="D72" s="13"/>
      <c r="E72" s="13"/>
      <c r="F72" s="13"/>
      <c r="G72" s="11"/>
      <c r="H72" s="6"/>
    </row>
    <row r="73">
      <c r="A73" s="14"/>
      <c r="B73" s="13"/>
      <c r="C73" s="13"/>
      <c r="D73" s="13"/>
      <c r="E73" s="13"/>
      <c r="F73" s="13"/>
      <c r="G73" s="11"/>
      <c r="H73" s="6"/>
    </row>
    <row r="74">
      <c r="A74" s="14"/>
      <c r="B74" s="13"/>
      <c r="C74" s="13"/>
      <c r="D74" s="13"/>
      <c r="E74" s="13"/>
      <c r="F74" s="13"/>
      <c r="G74" s="11"/>
      <c r="H74" s="6"/>
    </row>
    <row r="75">
      <c r="A75" s="14"/>
      <c r="B75" s="13"/>
      <c r="C75" s="13"/>
      <c r="D75" s="13"/>
      <c r="E75" s="13"/>
      <c r="F75" s="13"/>
      <c r="G75" s="11"/>
      <c r="H75" s="6"/>
    </row>
    <row r="76">
      <c r="A76" s="14"/>
      <c r="B76" s="13"/>
      <c r="C76" s="13"/>
      <c r="D76" s="13"/>
      <c r="E76" s="13"/>
      <c r="F76" s="13"/>
      <c r="G76" s="11"/>
      <c r="H76" s="6"/>
    </row>
    <row r="77">
      <c r="A77" s="14"/>
      <c r="B77" s="13"/>
      <c r="C77" s="13"/>
      <c r="D77" s="13"/>
      <c r="E77" s="13"/>
      <c r="F77" s="13"/>
      <c r="G77" s="11"/>
      <c r="H77" s="6"/>
    </row>
    <row r="78">
      <c r="A78" s="14"/>
      <c r="B78" s="13"/>
      <c r="C78" s="13"/>
      <c r="D78" s="13"/>
      <c r="E78" s="13"/>
      <c r="F78" s="13"/>
      <c r="G78" s="11"/>
      <c r="H78" s="6"/>
    </row>
    <row r="79">
      <c r="A79" s="14"/>
      <c r="B79" s="13"/>
      <c r="C79" s="13"/>
      <c r="D79" s="13"/>
      <c r="E79" s="13"/>
      <c r="F79" s="13"/>
      <c r="G79" s="11"/>
      <c r="H79" s="6"/>
    </row>
    <row r="80">
      <c r="A80" s="14"/>
      <c r="B80" s="13"/>
      <c r="C80" s="13"/>
      <c r="D80" s="13"/>
      <c r="E80" s="13"/>
      <c r="F80" s="13"/>
      <c r="G80" s="11"/>
      <c r="H80" s="6"/>
    </row>
    <row r="81">
      <c r="A81" s="14"/>
      <c r="B81" s="13"/>
      <c r="C81" s="13"/>
      <c r="D81" s="13"/>
      <c r="E81" s="13"/>
      <c r="F81" s="13"/>
      <c r="G81" s="11"/>
      <c r="H81" s="6"/>
    </row>
    <row r="82">
      <c r="A82" s="14"/>
      <c r="B82" s="13"/>
      <c r="C82" s="13"/>
      <c r="D82" s="13"/>
      <c r="E82" s="13"/>
      <c r="F82" s="13"/>
      <c r="G82" s="11"/>
      <c r="H82" s="6"/>
    </row>
    <row r="83">
      <c r="A83" s="14"/>
      <c r="B83" s="13"/>
      <c r="C83" s="13"/>
      <c r="D83" s="13"/>
      <c r="E83" s="13"/>
      <c r="F83" s="13"/>
      <c r="G83" s="11"/>
      <c r="H83" s="6"/>
    </row>
    <row r="84">
      <c r="A84" s="14"/>
      <c r="B84" s="13"/>
      <c r="C84" s="13"/>
      <c r="D84" s="13"/>
      <c r="E84" s="13"/>
      <c r="F84" s="13"/>
      <c r="G84" s="11"/>
      <c r="H84" s="6"/>
    </row>
    <row r="85">
      <c r="A85" s="14"/>
      <c r="B85" s="13"/>
      <c r="C85" s="13"/>
      <c r="D85" s="13"/>
      <c r="E85" s="13"/>
      <c r="F85" s="13"/>
      <c r="G85" s="11"/>
      <c r="H85" s="6"/>
    </row>
    <row r="86">
      <c r="A86" s="14"/>
      <c r="B86" s="13"/>
      <c r="C86" s="13"/>
      <c r="D86" s="13"/>
      <c r="E86" s="13"/>
      <c r="F86" s="13"/>
      <c r="G86" s="11"/>
      <c r="H86" s="6"/>
    </row>
    <row r="87">
      <c r="A87" s="14"/>
      <c r="B87" s="13"/>
      <c r="C87" s="13"/>
      <c r="D87" s="13"/>
      <c r="E87" s="13"/>
      <c r="F87" s="13"/>
      <c r="G87" s="11"/>
      <c r="H87" s="6"/>
    </row>
    <row r="88">
      <c r="A88" s="14"/>
      <c r="B88" s="13"/>
      <c r="C88" s="13"/>
      <c r="D88" s="13"/>
      <c r="E88" s="13"/>
      <c r="F88" s="13"/>
      <c r="G88" s="11"/>
      <c r="H88" s="6"/>
    </row>
    <row r="89">
      <c r="A89" s="14"/>
      <c r="B89" s="13"/>
      <c r="C89" s="13"/>
      <c r="D89" s="13"/>
      <c r="E89" s="13"/>
      <c r="F89" s="13"/>
      <c r="G89" s="11"/>
      <c r="H89" s="6"/>
    </row>
    <row r="90">
      <c r="A90" s="14"/>
      <c r="B90" s="13"/>
      <c r="C90" s="13"/>
      <c r="D90" s="13"/>
      <c r="E90" s="13"/>
      <c r="F90" s="13"/>
      <c r="G90" s="11"/>
      <c r="H90" s="6"/>
    </row>
    <row r="91">
      <c r="A91" s="14"/>
      <c r="B91" s="13"/>
      <c r="C91" s="13"/>
      <c r="D91" s="13"/>
      <c r="E91" s="13"/>
      <c r="F91" s="13"/>
      <c r="G91" s="11"/>
      <c r="H91" s="6"/>
    </row>
    <row r="92">
      <c r="A92" s="14"/>
      <c r="B92" s="13"/>
      <c r="C92" s="13"/>
      <c r="D92" s="13"/>
      <c r="E92" s="13"/>
      <c r="F92" s="13"/>
      <c r="G92" s="11"/>
      <c r="H92" s="6"/>
    </row>
    <row r="93">
      <c r="A93" s="14"/>
      <c r="B93" s="13"/>
      <c r="C93" s="13"/>
      <c r="D93" s="13"/>
      <c r="E93" s="13"/>
      <c r="F93" s="13"/>
      <c r="G93" s="11"/>
      <c r="H93" s="6"/>
    </row>
    <row r="94">
      <c r="A94" s="14"/>
      <c r="B94" s="13"/>
      <c r="C94" s="13"/>
      <c r="D94" s="13"/>
      <c r="E94" s="13"/>
      <c r="F94" s="13"/>
      <c r="G94" s="11"/>
      <c r="H94" s="6"/>
    </row>
    <row r="95">
      <c r="A95" s="14"/>
      <c r="B95" s="13"/>
      <c r="C95" s="13"/>
      <c r="D95" s="13"/>
      <c r="E95" s="13"/>
      <c r="F95" s="13"/>
      <c r="G95" s="11"/>
      <c r="H95" s="6"/>
    </row>
    <row r="96">
      <c r="A96" s="14"/>
      <c r="B96" s="13"/>
      <c r="C96" s="13"/>
      <c r="D96" s="13"/>
      <c r="E96" s="13"/>
      <c r="F96" s="13"/>
      <c r="G96" s="11"/>
      <c r="H96" s="6"/>
    </row>
    <row r="97">
      <c r="A97" s="14"/>
      <c r="B97" s="13"/>
      <c r="C97" s="13"/>
      <c r="D97" s="13"/>
      <c r="E97" s="13"/>
      <c r="F97" s="13"/>
      <c r="G97" s="11"/>
      <c r="H97" s="6"/>
    </row>
    <row r="98">
      <c r="A98" s="14"/>
      <c r="B98" s="13"/>
      <c r="C98" s="13"/>
      <c r="D98" s="13"/>
      <c r="E98" s="13"/>
      <c r="F98" s="13"/>
      <c r="G98" s="11"/>
      <c r="H98" s="6"/>
    </row>
    <row r="99">
      <c r="A99" s="14"/>
      <c r="B99" s="13"/>
      <c r="C99" s="13"/>
      <c r="D99" s="13"/>
      <c r="E99" s="13"/>
      <c r="F99" s="13"/>
      <c r="G99" s="11"/>
      <c r="H99" s="6"/>
    </row>
    <row r="100">
      <c r="A100" s="14"/>
      <c r="B100" s="13"/>
      <c r="C100" s="13"/>
      <c r="D100" s="13"/>
      <c r="E100" s="13"/>
      <c r="F100" s="13"/>
      <c r="G100" s="11"/>
      <c r="H100" s="6"/>
    </row>
    <row r="101">
      <c r="A101" s="14"/>
      <c r="B101" s="13"/>
      <c r="C101" s="13"/>
      <c r="D101" s="13"/>
      <c r="E101" s="13"/>
      <c r="F101" s="13"/>
      <c r="G101" s="11"/>
      <c r="H101" s="6"/>
    </row>
    <row r="102">
      <c r="A102" s="14"/>
      <c r="B102" s="13"/>
      <c r="C102" s="13"/>
      <c r="D102" s="13"/>
      <c r="E102" s="13"/>
      <c r="F102" s="13"/>
      <c r="G102" s="11"/>
      <c r="H102" s="6"/>
    </row>
    <row r="103">
      <c r="A103" s="16"/>
      <c r="B103" s="13"/>
      <c r="C103" s="13"/>
      <c r="D103" s="13"/>
      <c r="E103" s="13"/>
      <c r="F103" s="13"/>
      <c r="G103" s="11"/>
      <c r="H103" s="6"/>
    </row>
    <row r="104">
      <c r="A104" s="14"/>
      <c r="B104" s="13"/>
      <c r="C104" s="13"/>
      <c r="D104" s="13"/>
      <c r="E104" s="13"/>
      <c r="F104" s="13"/>
      <c r="G104" s="11"/>
      <c r="H104" s="6"/>
    </row>
    <row r="105">
      <c r="A105" s="14"/>
      <c r="B105" s="13"/>
      <c r="C105" s="13"/>
      <c r="D105" s="13"/>
      <c r="E105" s="13"/>
      <c r="F105" s="13"/>
      <c r="G105" s="11"/>
      <c r="H105" s="6"/>
    </row>
    <row r="106">
      <c r="A106" s="14"/>
      <c r="B106" s="13"/>
      <c r="C106" s="13"/>
      <c r="D106" s="13"/>
      <c r="E106" s="13"/>
      <c r="F106" s="13"/>
      <c r="G106" s="11"/>
      <c r="H106" s="6"/>
    </row>
    <row r="107">
      <c r="A107" s="14"/>
      <c r="B107" s="13"/>
      <c r="C107" s="13"/>
      <c r="D107" s="13"/>
      <c r="E107" s="13"/>
      <c r="F107" s="13"/>
      <c r="G107" s="11"/>
      <c r="H107" s="6"/>
    </row>
    <row r="108">
      <c r="A108" s="14"/>
      <c r="B108" s="13"/>
      <c r="C108" s="13"/>
      <c r="D108" s="13"/>
      <c r="E108" s="13"/>
      <c r="F108" s="13"/>
      <c r="G108" s="11"/>
      <c r="H108" s="6"/>
    </row>
    <row r="109">
      <c r="A109" s="14"/>
      <c r="B109" s="13"/>
      <c r="C109" s="13"/>
      <c r="D109" s="13"/>
      <c r="E109" s="13"/>
      <c r="F109" s="13"/>
      <c r="G109" s="11"/>
      <c r="H109" s="6"/>
    </row>
    <row r="110">
      <c r="A110" s="14"/>
      <c r="B110" s="13"/>
      <c r="C110" s="13"/>
      <c r="D110" s="13"/>
      <c r="E110" s="13"/>
      <c r="F110" s="13"/>
      <c r="G110" s="11"/>
      <c r="H110" s="6"/>
    </row>
    <row r="111">
      <c r="A111" s="14"/>
      <c r="B111" s="13"/>
      <c r="C111" s="13"/>
      <c r="D111" s="13"/>
      <c r="E111" s="13"/>
      <c r="F111" s="13"/>
      <c r="G111" s="11"/>
      <c r="H111" s="6"/>
    </row>
    <row r="112">
      <c r="A112" s="14"/>
      <c r="B112" s="13"/>
      <c r="C112" s="13"/>
      <c r="D112" s="13"/>
      <c r="E112" s="13"/>
      <c r="F112" s="13"/>
      <c r="G112" s="11"/>
      <c r="H112" s="6"/>
    </row>
    <row r="113">
      <c r="A113" s="14"/>
      <c r="B113" s="13"/>
      <c r="C113" s="13"/>
      <c r="D113" s="13"/>
      <c r="E113" s="13"/>
      <c r="F113" s="13"/>
      <c r="G113" s="11"/>
      <c r="H113" s="6"/>
    </row>
    <row r="114">
      <c r="A114" s="14"/>
      <c r="B114" s="13"/>
      <c r="C114" s="13"/>
      <c r="D114" s="13"/>
      <c r="E114" s="13"/>
      <c r="F114" s="13"/>
      <c r="G114" s="11"/>
      <c r="H114" s="6"/>
    </row>
    <row r="115">
      <c r="A115" s="14"/>
      <c r="B115" s="13"/>
      <c r="C115" s="13"/>
      <c r="D115" s="13"/>
      <c r="E115" s="13"/>
      <c r="F115" s="13"/>
      <c r="G115" s="11"/>
      <c r="H115" s="6"/>
    </row>
    <row r="116">
      <c r="A116" s="14"/>
      <c r="B116" s="13"/>
      <c r="C116" s="13"/>
      <c r="D116" s="13"/>
      <c r="E116" s="13"/>
      <c r="F116" s="13"/>
      <c r="G116" s="11"/>
      <c r="H116" s="6"/>
    </row>
    <row r="117">
      <c r="A117" s="14"/>
      <c r="B117" s="13"/>
      <c r="C117" s="13"/>
      <c r="D117" s="13"/>
      <c r="E117" s="13"/>
      <c r="F117" s="13"/>
      <c r="G117" s="11"/>
      <c r="H117" s="6"/>
    </row>
    <row r="118">
      <c r="A118" s="14"/>
      <c r="B118" s="13"/>
      <c r="C118" s="13"/>
      <c r="D118" s="13"/>
      <c r="E118" s="13"/>
      <c r="F118" s="13"/>
      <c r="G118" s="11"/>
      <c r="H118" s="6"/>
    </row>
    <row r="119">
      <c r="A119" s="14"/>
      <c r="B119" s="13"/>
      <c r="C119" s="13"/>
      <c r="D119" s="13"/>
      <c r="E119" s="13"/>
      <c r="F119" s="13"/>
      <c r="G119" s="11"/>
      <c r="H119" s="6"/>
    </row>
    <row r="120">
      <c r="A120" s="14"/>
      <c r="B120" s="13"/>
      <c r="C120" s="13"/>
      <c r="D120" s="13"/>
      <c r="E120" s="13"/>
      <c r="F120" s="13"/>
      <c r="G120" s="11"/>
      <c r="H120" s="6"/>
    </row>
    <row r="121">
      <c r="A121" s="14"/>
      <c r="B121" s="13"/>
      <c r="C121" s="13"/>
      <c r="D121" s="13"/>
      <c r="E121" s="13"/>
      <c r="F121" s="13"/>
      <c r="G121" s="11"/>
      <c r="H121" s="6"/>
    </row>
    <row r="122">
      <c r="A122" s="14"/>
      <c r="B122" s="13"/>
      <c r="C122" s="13"/>
      <c r="D122" s="13"/>
      <c r="E122" s="13"/>
      <c r="F122" s="13"/>
      <c r="G122" s="11"/>
      <c r="H122" s="6"/>
    </row>
    <row r="123">
      <c r="A123" s="14"/>
      <c r="B123" s="13"/>
      <c r="C123" s="13"/>
      <c r="D123" s="13"/>
      <c r="E123" s="13"/>
      <c r="F123" s="13"/>
      <c r="G123" s="11"/>
      <c r="H123" s="6"/>
    </row>
    <row r="124">
      <c r="A124" s="17"/>
      <c r="B124" s="13"/>
      <c r="C124" s="13"/>
      <c r="D124" s="13"/>
      <c r="E124" s="13"/>
      <c r="F124" s="13"/>
      <c r="G124" s="11"/>
      <c r="H124" s="6"/>
    </row>
    <row r="125">
      <c r="A125" s="14"/>
      <c r="B125" s="13"/>
      <c r="C125" s="13"/>
      <c r="D125" s="13"/>
      <c r="E125" s="13"/>
      <c r="F125" s="13"/>
      <c r="G125" s="11"/>
      <c r="H125" s="6"/>
    </row>
    <row r="126">
      <c r="A126" s="14"/>
      <c r="B126" s="13"/>
      <c r="C126" s="13"/>
      <c r="D126" s="13"/>
      <c r="E126" s="13"/>
      <c r="F126" s="13"/>
      <c r="G126" s="11"/>
      <c r="H126" s="6"/>
    </row>
    <row r="127">
      <c r="A127" s="14"/>
      <c r="B127" s="13"/>
      <c r="C127" s="13"/>
      <c r="D127" s="13"/>
      <c r="E127" s="13"/>
      <c r="F127" s="13"/>
      <c r="G127" s="11"/>
      <c r="H127" s="6"/>
    </row>
    <row r="128">
      <c r="A128" s="14"/>
      <c r="B128" s="13"/>
      <c r="C128" s="13"/>
      <c r="D128" s="13"/>
      <c r="E128" s="13"/>
      <c r="F128" s="13"/>
      <c r="G128" s="11"/>
      <c r="H128" s="6"/>
    </row>
    <row r="129">
      <c r="A129" s="14"/>
      <c r="B129" s="13"/>
      <c r="C129" s="13"/>
      <c r="D129" s="13"/>
      <c r="E129" s="13"/>
      <c r="F129" s="13"/>
      <c r="G129" s="11"/>
      <c r="H129" s="6"/>
    </row>
    <row r="130">
      <c r="A130" s="14"/>
      <c r="B130" s="13"/>
      <c r="C130" s="13"/>
      <c r="D130" s="13"/>
      <c r="E130" s="13"/>
      <c r="F130" s="13"/>
      <c r="G130" s="11"/>
      <c r="H130" s="6"/>
    </row>
    <row r="131">
      <c r="A131" s="14"/>
      <c r="B131" s="13"/>
      <c r="C131" s="13"/>
      <c r="D131" s="13"/>
      <c r="E131" s="13"/>
      <c r="F131" s="13"/>
      <c r="G131" s="11"/>
      <c r="H131" s="6"/>
    </row>
    <row r="132">
      <c r="A132" s="14"/>
      <c r="B132" s="13"/>
      <c r="C132" s="13"/>
      <c r="D132" s="13"/>
      <c r="E132" s="13"/>
      <c r="F132" s="13"/>
      <c r="G132" s="11"/>
      <c r="H132" s="6"/>
    </row>
    <row r="133">
      <c r="A133" s="14"/>
      <c r="B133" s="13"/>
      <c r="C133" s="13"/>
      <c r="D133" s="13"/>
      <c r="E133" s="13"/>
      <c r="F133" s="13"/>
      <c r="G133" s="11"/>
      <c r="H133" s="6"/>
    </row>
    <row r="134">
      <c r="A134" s="14"/>
      <c r="B134" s="13"/>
      <c r="C134" s="13"/>
      <c r="D134" s="13"/>
      <c r="E134" s="13"/>
      <c r="F134" s="13"/>
      <c r="G134" s="11"/>
      <c r="H134" s="6"/>
    </row>
    <row r="135">
      <c r="A135" s="18"/>
      <c r="B135" s="13"/>
      <c r="C135" s="13"/>
      <c r="D135" s="13"/>
      <c r="E135" s="13"/>
      <c r="F135" s="13"/>
      <c r="G135" s="11"/>
      <c r="H135" s="6"/>
    </row>
    <row r="136">
      <c r="A136" s="14"/>
      <c r="B136" s="13"/>
      <c r="C136" s="13"/>
      <c r="D136" s="13"/>
      <c r="E136" s="13"/>
      <c r="F136" s="13"/>
      <c r="G136" s="11"/>
      <c r="H136" s="6"/>
    </row>
    <row r="137">
      <c r="A137" s="14"/>
      <c r="B137" s="13"/>
      <c r="C137" s="13"/>
      <c r="D137" s="13"/>
      <c r="E137" s="13"/>
      <c r="F137" s="13"/>
      <c r="G137" s="11"/>
      <c r="H137" s="6"/>
    </row>
    <row r="138">
      <c r="A138" s="18"/>
      <c r="B138" s="13"/>
      <c r="C138" s="13"/>
      <c r="D138" s="13"/>
      <c r="E138" s="13"/>
      <c r="F138" s="13"/>
      <c r="G138" s="11"/>
      <c r="H138" s="6"/>
    </row>
    <row r="139">
      <c r="A139" s="18"/>
      <c r="B139" s="13"/>
      <c r="C139" s="13"/>
      <c r="D139" s="13"/>
      <c r="E139" s="13"/>
      <c r="F139" s="13"/>
      <c r="G139" s="11"/>
      <c r="H139" s="6"/>
    </row>
    <row r="140">
      <c r="A140" s="18"/>
      <c r="B140" s="13"/>
      <c r="C140" s="13"/>
      <c r="D140" s="13"/>
      <c r="E140" s="13"/>
      <c r="F140" s="13"/>
      <c r="G140" s="11"/>
      <c r="H140" s="6"/>
    </row>
    <row r="141">
      <c r="A141" s="18"/>
      <c r="B141" s="13"/>
      <c r="C141" s="13"/>
      <c r="D141" s="13"/>
      <c r="E141" s="13"/>
      <c r="F141" s="13"/>
      <c r="G141" s="11"/>
      <c r="H141" s="6"/>
    </row>
    <row r="142">
      <c r="A142" s="14"/>
      <c r="B142" s="13"/>
      <c r="C142" s="13"/>
      <c r="D142" s="13"/>
      <c r="E142" s="13"/>
      <c r="F142" s="13"/>
      <c r="G142" s="11"/>
      <c r="H142" s="6"/>
    </row>
    <row r="143">
      <c r="A143" s="14"/>
      <c r="B143" s="13"/>
      <c r="C143" s="13"/>
      <c r="D143" s="13"/>
      <c r="E143" s="13"/>
      <c r="F143" s="13"/>
      <c r="G143" s="11"/>
      <c r="H143" s="6"/>
    </row>
    <row r="144">
      <c r="A144" s="14"/>
      <c r="B144" s="13"/>
      <c r="C144" s="13"/>
      <c r="D144" s="13"/>
      <c r="E144" s="13"/>
      <c r="F144" s="13"/>
      <c r="G144" s="11"/>
      <c r="H144" s="6"/>
    </row>
    <row r="145">
      <c r="A145" s="14"/>
      <c r="B145" s="13"/>
      <c r="C145" s="13"/>
      <c r="D145" s="13"/>
      <c r="E145" s="13"/>
      <c r="F145" s="13"/>
      <c r="G145" s="11"/>
      <c r="H145" s="6"/>
    </row>
    <row r="146">
      <c r="A146" s="18"/>
      <c r="B146" s="13"/>
      <c r="C146" s="13"/>
      <c r="D146" s="13"/>
      <c r="E146" s="13"/>
      <c r="F146" s="13"/>
      <c r="G146" s="11"/>
      <c r="H146" s="6"/>
    </row>
    <row r="147">
      <c r="A147" s="18"/>
      <c r="B147" s="13"/>
      <c r="C147" s="13"/>
      <c r="D147" s="13"/>
      <c r="E147" s="13"/>
      <c r="F147" s="13"/>
      <c r="G147" s="11"/>
      <c r="H147" s="6"/>
    </row>
    <row r="148">
      <c r="A148" s="18"/>
      <c r="B148" s="13"/>
      <c r="C148" s="13"/>
      <c r="D148" s="13"/>
      <c r="E148" s="13"/>
      <c r="F148" s="13"/>
      <c r="G148" s="11"/>
      <c r="H148" s="6"/>
    </row>
    <row r="149">
      <c r="A149" s="18"/>
      <c r="B149" s="13"/>
      <c r="C149" s="13"/>
      <c r="D149" s="13"/>
      <c r="E149" s="13"/>
      <c r="F149" s="13"/>
      <c r="G149" s="11"/>
      <c r="H149" s="6"/>
    </row>
    <row r="150">
      <c r="A150" s="14"/>
      <c r="B150" s="13"/>
      <c r="C150" s="13"/>
      <c r="D150" s="13"/>
      <c r="E150" s="13"/>
      <c r="F150" s="13"/>
      <c r="G150" s="11"/>
      <c r="H150" s="6"/>
    </row>
    <row r="151">
      <c r="A151" s="14"/>
      <c r="B151" s="13"/>
      <c r="C151" s="13"/>
      <c r="D151" s="13"/>
      <c r="E151" s="13"/>
      <c r="F151" s="13"/>
      <c r="G151" s="11"/>
      <c r="H151" s="6"/>
    </row>
    <row r="152">
      <c r="A152" s="14"/>
      <c r="B152" s="13"/>
      <c r="C152" s="13"/>
      <c r="D152" s="13"/>
      <c r="E152" s="13"/>
      <c r="F152" s="13"/>
      <c r="G152" s="11"/>
      <c r="H152" s="6"/>
    </row>
    <row r="153">
      <c r="A153" s="14"/>
      <c r="B153" s="13"/>
      <c r="C153" s="13"/>
      <c r="D153" s="13"/>
      <c r="E153" s="13"/>
      <c r="F153" s="13"/>
      <c r="G153" s="11"/>
      <c r="H153" s="6"/>
    </row>
    <row r="154">
      <c r="A154" s="14"/>
      <c r="B154" s="13"/>
      <c r="C154" s="13"/>
      <c r="D154" s="13"/>
      <c r="E154" s="13"/>
      <c r="F154" s="13"/>
      <c r="G154" s="11"/>
      <c r="H154" s="6"/>
    </row>
    <row r="155">
      <c r="A155" s="14"/>
      <c r="B155" s="13"/>
      <c r="C155" s="13"/>
      <c r="D155" s="13"/>
      <c r="E155" s="13"/>
      <c r="F155" s="13"/>
      <c r="G155" s="11"/>
      <c r="H155" s="6"/>
    </row>
    <row r="156">
      <c r="A156" s="14"/>
      <c r="B156" s="13"/>
      <c r="C156" s="13"/>
      <c r="D156" s="13"/>
      <c r="E156" s="13"/>
      <c r="F156" s="13"/>
      <c r="G156" s="11"/>
      <c r="H156" s="6"/>
    </row>
    <row r="157">
      <c r="A157" s="18"/>
      <c r="B157" s="13"/>
      <c r="C157" s="13"/>
      <c r="D157" s="13"/>
      <c r="E157" s="13"/>
      <c r="F157" s="13"/>
      <c r="G157" s="11"/>
      <c r="H157" s="6"/>
    </row>
    <row r="158">
      <c r="A158" s="18"/>
      <c r="B158" s="13"/>
      <c r="C158" s="13"/>
      <c r="D158" s="13"/>
      <c r="E158" s="13"/>
      <c r="F158" s="13"/>
      <c r="G158" s="11"/>
      <c r="H158" s="6"/>
    </row>
    <row r="159">
      <c r="A159" s="18"/>
      <c r="B159" s="13"/>
      <c r="C159" s="13"/>
      <c r="D159" s="13"/>
      <c r="E159" s="13"/>
      <c r="F159" s="13"/>
      <c r="G159" s="11"/>
      <c r="H159" s="6"/>
    </row>
    <row r="160">
      <c r="A160" s="14"/>
      <c r="B160" s="13"/>
      <c r="C160" s="13"/>
      <c r="D160" s="13"/>
      <c r="E160" s="13"/>
      <c r="F160" s="13"/>
      <c r="G160" s="11"/>
      <c r="H160" s="6"/>
    </row>
    <row r="161">
      <c r="A161" s="14"/>
      <c r="B161" s="13"/>
      <c r="C161" s="13"/>
      <c r="D161" s="13"/>
      <c r="E161" s="13"/>
      <c r="F161" s="13"/>
      <c r="G161" s="11"/>
      <c r="H161" s="6"/>
    </row>
    <row r="162">
      <c r="A162" s="14"/>
      <c r="B162" s="13"/>
      <c r="C162" s="13"/>
      <c r="D162" s="13"/>
      <c r="E162" s="13"/>
      <c r="F162" s="13"/>
      <c r="G162" s="11"/>
      <c r="H162" s="6"/>
    </row>
    <row r="163">
      <c r="A163" s="18"/>
      <c r="B163" s="13"/>
      <c r="C163" s="13"/>
      <c r="D163" s="13"/>
      <c r="E163" s="13"/>
      <c r="F163" s="13"/>
      <c r="G163" s="11"/>
      <c r="H163" s="6"/>
    </row>
    <row r="164">
      <c r="A164" s="14"/>
      <c r="B164" s="13"/>
      <c r="C164" s="13"/>
      <c r="D164" s="13"/>
      <c r="E164" s="13"/>
      <c r="F164" s="13"/>
      <c r="G164" s="11"/>
      <c r="H164" s="6"/>
    </row>
    <row r="165">
      <c r="A165" s="14"/>
      <c r="B165" s="13"/>
      <c r="C165" s="13"/>
      <c r="D165" s="13"/>
      <c r="E165" s="13"/>
      <c r="F165" s="13"/>
      <c r="G165" s="11"/>
      <c r="H165" s="6"/>
    </row>
    <row r="166">
      <c r="A166" s="18"/>
      <c r="B166" s="13"/>
      <c r="C166" s="13"/>
      <c r="D166" s="13"/>
      <c r="E166" s="13"/>
      <c r="F166" s="13"/>
      <c r="G166" s="11"/>
      <c r="H166" s="6"/>
    </row>
    <row r="167">
      <c r="A167" s="18"/>
      <c r="B167" s="13"/>
      <c r="C167" s="13"/>
      <c r="D167" s="13"/>
      <c r="E167" s="13"/>
      <c r="F167" s="13"/>
      <c r="G167" s="11"/>
      <c r="H167" s="6"/>
    </row>
    <row r="168">
      <c r="A168" s="14"/>
      <c r="B168" s="13"/>
      <c r="C168" s="13"/>
      <c r="D168" s="13"/>
      <c r="E168" s="13"/>
      <c r="F168" s="13"/>
      <c r="G168" s="11"/>
      <c r="H168" s="6"/>
    </row>
    <row r="169">
      <c r="A169" s="18"/>
      <c r="B169" s="13"/>
      <c r="C169" s="13"/>
      <c r="D169" s="13"/>
      <c r="E169" s="13"/>
      <c r="F169" s="13"/>
      <c r="G169" s="11"/>
      <c r="H169" s="6"/>
    </row>
    <row r="170">
      <c r="A170" s="18"/>
      <c r="B170" s="13"/>
      <c r="C170" s="13"/>
      <c r="D170" s="13"/>
      <c r="E170" s="13"/>
      <c r="F170" s="13"/>
      <c r="G170" s="11"/>
      <c r="H170" s="6"/>
    </row>
    <row r="171">
      <c r="A171" s="18"/>
      <c r="B171" s="13"/>
      <c r="C171" s="13"/>
      <c r="D171" s="13"/>
      <c r="E171" s="13"/>
      <c r="F171" s="13"/>
      <c r="G171" s="11"/>
      <c r="H171" s="6"/>
    </row>
    <row r="172">
      <c r="A172" s="18"/>
      <c r="B172" s="13"/>
      <c r="C172" s="13"/>
      <c r="D172" s="13"/>
      <c r="E172" s="13"/>
      <c r="F172" s="13"/>
      <c r="G172" s="11"/>
      <c r="H172" s="6"/>
    </row>
    <row r="173">
      <c r="A173" s="18"/>
      <c r="B173" s="13"/>
      <c r="C173" s="13"/>
      <c r="D173" s="13"/>
      <c r="E173" s="13"/>
      <c r="F173" s="13"/>
      <c r="G173" s="11"/>
      <c r="H173" s="6"/>
    </row>
    <row r="174">
      <c r="A174" s="18"/>
      <c r="B174" s="13"/>
      <c r="C174" s="13"/>
      <c r="D174" s="13"/>
      <c r="E174" s="13"/>
      <c r="F174" s="13"/>
      <c r="G174" s="11"/>
      <c r="H174" s="6"/>
    </row>
    <row r="175">
      <c r="A175" s="19"/>
      <c r="B175" s="13"/>
      <c r="C175" s="13"/>
      <c r="D175" s="13"/>
      <c r="E175" s="13"/>
      <c r="F175" s="13"/>
      <c r="G175" s="11"/>
      <c r="H175" s="6"/>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sheetData>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5.13"/>
  </cols>
  <sheetData>
    <row r="1"/>
    <row r="2">
      <c r="D2" s="39" t="str">
        <f>IFERROR(__xludf.DUMMYFUNCTION("QUERY(A:B,""select A,B  order by B desc "")"),"Customer Name")</f>
        <v>Customer Name</v>
      </c>
      <c r="E2" s="39" t="str">
        <f>IFERROR(__xludf.DUMMYFUNCTION("""COMPUTED_VALUE"""),"SUM of Sales USD")</f>
        <v>SUM of Sales USD</v>
      </c>
    </row>
    <row r="3">
      <c r="D3" s="39" t="str">
        <f>IFERROR(__xludf.DUMMYFUNCTION("""COMPUTED_VALUE"""),"Liebher")</f>
        <v>Liebher</v>
      </c>
      <c r="E3" s="81">
        <f>IFERROR(__xludf.DUMMYFUNCTION("""COMPUTED_VALUE"""),58440.0)</f>
        <v>58440</v>
      </c>
    </row>
    <row r="4">
      <c r="D4" s="39" t="str">
        <f>IFERROR(__xludf.DUMMYFUNCTION("""COMPUTED_VALUE"""),"Aida GmbH")</f>
        <v>Aida GmbH</v>
      </c>
      <c r="E4" s="81">
        <f>IFERROR(__xludf.DUMMYFUNCTION("""COMPUTED_VALUE"""),46100.0)</f>
        <v>46100</v>
      </c>
    </row>
    <row r="5">
      <c r="D5" s="39" t="str">
        <f>IFERROR(__xludf.DUMMYFUNCTION("""COMPUTED_VALUE"""),"Erma")</f>
        <v>Erma</v>
      </c>
      <c r="E5" s="81">
        <f>IFERROR(__xludf.DUMMYFUNCTION("""COMPUTED_VALUE"""),44340.0)</f>
        <v>44340</v>
      </c>
    </row>
    <row r="6">
      <c r="D6" s="39" t="str">
        <f>IFERROR(__xludf.DUMMYFUNCTION("""COMPUTED_VALUE"""),"Dellicia")</f>
        <v>Dellicia</v>
      </c>
      <c r="E6" s="81">
        <f>IFERROR(__xludf.DUMMYFUNCTION("""COMPUTED_VALUE"""),42860.0)</f>
        <v>42860</v>
      </c>
    </row>
    <row r="7">
      <c r="D7" s="39"/>
      <c r="E7" s="81">
        <f>IFERROR(__xludf.DUMMYFUNCTION("""COMPUTED_VALUE"""),0.0)</f>
        <v>0</v>
      </c>
    </row>
    <row r="8">
      <c r="D8" s="39"/>
      <c r="E8" s="81"/>
    </row>
    <row r="9">
      <c r="D9" s="39"/>
      <c r="E9" s="81"/>
    </row>
    <row r="10">
      <c r="D10" s="39"/>
      <c r="E10" s="81"/>
    </row>
    <row r="11">
      <c r="D11" s="39"/>
      <c r="E11" s="81"/>
    </row>
    <row r="12">
      <c r="D12" s="39"/>
      <c r="E12" s="81"/>
    </row>
    <row r="13">
      <c r="D13" s="39"/>
      <c r="E13" s="81"/>
    </row>
    <row r="14">
      <c r="D14" s="39"/>
      <c r="E14" s="81"/>
    </row>
    <row r="15">
      <c r="D15" s="39"/>
      <c r="E15" s="81"/>
    </row>
    <row r="16">
      <c r="D16" s="39"/>
      <c r="E16" s="81"/>
    </row>
    <row r="17">
      <c r="D17" s="39"/>
      <c r="E17" s="81"/>
    </row>
    <row r="18">
      <c r="D18" s="39"/>
      <c r="E18" s="81"/>
    </row>
    <row r="19">
      <c r="D19" s="39"/>
      <c r="E19" s="81"/>
    </row>
    <row r="20">
      <c r="D20" s="39"/>
      <c r="E20" s="81"/>
    </row>
    <row r="21">
      <c r="D21" s="39"/>
      <c r="E21" s="81"/>
    </row>
    <row r="22">
      <c r="D22" s="39"/>
      <c r="E22" s="81"/>
    </row>
    <row r="23">
      <c r="D23" s="39"/>
      <c r="E23" s="81"/>
    </row>
    <row r="24">
      <c r="D24" s="39"/>
      <c r="E24" s="81"/>
    </row>
    <row r="25">
      <c r="D25" s="39"/>
      <c r="E25" s="81"/>
    </row>
    <row r="26">
      <c r="D26" s="39"/>
      <c r="E26" s="81"/>
    </row>
    <row r="27">
      <c r="D27" s="39"/>
      <c r="E27" s="81"/>
    </row>
    <row r="28">
      <c r="D28" s="39"/>
      <c r="E28" s="81"/>
    </row>
    <row r="29">
      <c r="D29" s="39"/>
      <c r="E29" s="81"/>
    </row>
    <row r="30">
      <c r="D30" s="39"/>
      <c r="E30" s="81"/>
    </row>
    <row r="31">
      <c r="D31" s="39"/>
      <c r="E31" s="81"/>
    </row>
    <row r="32">
      <c r="D32" s="39"/>
      <c r="E32" s="81"/>
    </row>
    <row r="33">
      <c r="D33" s="39"/>
      <c r="E33" s="81"/>
    </row>
    <row r="34">
      <c r="D34" s="39"/>
      <c r="E34" s="81"/>
    </row>
    <row r="35">
      <c r="D35" s="39"/>
      <c r="E35" s="81"/>
    </row>
    <row r="36">
      <c r="D36" s="39"/>
      <c r="E36" s="81"/>
    </row>
    <row r="37">
      <c r="D37" s="39"/>
      <c r="E37" s="81"/>
    </row>
    <row r="38">
      <c r="D38" s="39"/>
      <c r="E38" s="81"/>
    </row>
    <row r="39">
      <c r="D39" s="39"/>
      <c r="E39" s="81"/>
    </row>
    <row r="40">
      <c r="D40" s="39"/>
      <c r="E40" s="81"/>
    </row>
    <row r="41">
      <c r="D41" s="39"/>
      <c r="E41" s="81"/>
    </row>
    <row r="42">
      <c r="D42" s="39"/>
      <c r="E42" s="81"/>
    </row>
    <row r="43">
      <c r="D43" s="39"/>
      <c r="E43" s="81"/>
    </row>
    <row r="44">
      <c r="D44" s="39"/>
      <c r="E44" s="81"/>
    </row>
    <row r="45">
      <c r="D45" s="39"/>
      <c r="E45" s="81"/>
    </row>
    <row r="46">
      <c r="D46" s="39"/>
      <c r="E46" s="81"/>
    </row>
    <row r="47">
      <c r="D47" s="39"/>
      <c r="E47" s="81"/>
    </row>
    <row r="48">
      <c r="D48" s="39"/>
      <c r="E48" s="81"/>
    </row>
    <row r="49">
      <c r="D49" s="39"/>
      <c r="E49" s="81"/>
    </row>
    <row r="50">
      <c r="D50" s="39"/>
      <c r="E50" s="81"/>
    </row>
    <row r="51">
      <c r="D51" s="39"/>
      <c r="E51" s="81"/>
    </row>
    <row r="52">
      <c r="D52" s="39"/>
      <c r="E52" s="81"/>
    </row>
    <row r="53">
      <c r="D53" s="39"/>
      <c r="E53" s="81"/>
    </row>
    <row r="54">
      <c r="D54" s="39"/>
      <c r="E54" s="81"/>
    </row>
    <row r="55">
      <c r="D55" s="39"/>
      <c r="E55" s="81"/>
    </row>
    <row r="56">
      <c r="D56" s="39"/>
      <c r="E56" s="81"/>
    </row>
    <row r="57">
      <c r="D57" s="39"/>
      <c r="E57" s="81"/>
    </row>
    <row r="58">
      <c r="D58" s="39"/>
      <c r="E58" s="81"/>
    </row>
    <row r="59">
      <c r="D59" s="39"/>
      <c r="E59" s="81"/>
    </row>
    <row r="60">
      <c r="D60" s="39"/>
      <c r="E60" s="81"/>
    </row>
    <row r="61">
      <c r="D61" s="39"/>
      <c r="E61" s="81"/>
    </row>
    <row r="62">
      <c r="D62" s="39"/>
      <c r="E62" s="81"/>
    </row>
    <row r="63">
      <c r="D63" s="39"/>
      <c r="E63" s="81"/>
    </row>
    <row r="64">
      <c r="D64" s="39"/>
      <c r="E64" s="81"/>
    </row>
    <row r="65">
      <c r="D65" s="39"/>
      <c r="E65" s="81"/>
    </row>
    <row r="66">
      <c r="D66" s="39"/>
      <c r="E66" s="81"/>
    </row>
    <row r="67">
      <c r="D67" s="39"/>
      <c r="E67" s="81"/>
    </row>
    <row r="68">
      <c r="D68" s="39"/>
      <c r="E68" s="81"/>
    </row>
    <row r="69">
      <c r="D69" s="39"/>
      <c r="E69" s="81"/>
    </row>
    <row r="70">
      <c r="D70" s="39"/>
      <c r="E70" s="81"/>
    </row>
    <row r="71">
      <c r="D71" s="39"/>
      <c r="E71" s="81"/>
    </row>
    <row r="72">
      <c r="D72" s="39"/>
      <c r="E72" s="81"/>
    </row>
    <row r="73">
      <c r="D73" s="39"/>
      <c r="E73" s="81"/>
    </row>
    <row r="74">
      <c r="D74" s="39"/>
      <c r="E74" s="81"/>
    </row>
    <row r="75">
      <c r="D75" s="39"/>
      <c r="E75" s="81"/>
    </row>
    <row r="76">
      <c r="D76" s="39"/>
      <c r="E76" s="81"/>
    </row>
    <row r="77">
      <c r="D77" s="39"/>
      <c r="E77" s="81"/>
    </row>
    <row r="78">
      <c r="D78" s="39"/>
      <c r="E78" s="81"/>
    </row>
    <row r="79">
      <c r="D79" s="39"/>
      <c r="E79" s="81"/>
    </row>
    <row r="80">
      <c r="D80" s="39"/>
      <c r="E80" s="81"/>
    </row>
    <row r="81">
      <c r="D81" s="39"/>
      <c r="E81" s="81"/>
    </row>
    <row r="82">
      <c r="D82" s="39"/>
      <c r="E82" s="81"/>
    </row>
    <row r="83">
      <c r="D83" s="39"/>
      <c r="E83" s="81"/>
    </row>
    <row r="84">
      <c r="D84" s="39"/>
      <c r="E84" s="81"/>
    </row>
    <row r="85">
      <c r="D85" s="39"/>
      <c r="E85" s="81"/>
    </row>
    <row r="86">
      <c r="D86" s="39"/>
      <c r="E86" s="81"/>
    </row>
    <row r="87">
      <c r="D87" s="39"/>
      <c r="E87" s="81"/>
    </row>
    <row r="88">
      <c r="D88" s="39"/>
      <c r="E88" s="81"/>
    </row>
    <row r="89">
      <c r="D89" s="39"/>
      <c r="E89" s="81"/>
    </row>
    <row r="90">
      <c r="D90" s="39"/>
      <c r="E90" s="81"/>
    </row>
    <row r="91">
      <c r="D91" s="39"/>
      <c r="E91" s="81"/>
    </row>
    <row r="92">
      <c r="D92" s="39"/>
      <c r="E92" s="81"/>
    </row>
    <row r="93">
      <c r="D93" s="39"/>
      <c r="E93" s="81"/>
    </row>
    <row r="94">
      <c r="D94" s="39"/>
      <c r="E94" s="81"/>
    </row>
    <row r="95">
      <c r="D95" s="39"/>
      <c r="E95" s="81"/>
    </row>
    <row r="96">
      <c r="D96" s="39"/>
      <c r="E96" s="81"/>
    </row>
    <row r="97">
      <c r="D97" s="39"/>
      <c r="E97" s="81"/>
    </row>
    <row r="98">
      <c r="D98" s="39"/>
      <c r="E98" s="81"/>
    </row>
    <row r="99">
      <c r="D99" s="39"/>
      <c r="E99" s="81"/>
    </row>
    <row r="100">
      <c r="D100" s="39"/>
      <c r="E100" s="81"/>
    </row>
    <row r="101">
      <c r="D101" s="39"/>
      <c r="E101" s="81"/>
    </row>
    <row r="102">
      <c r="D102" s="39"/>
      <c r="E102" s="81"/>
    </row>
    <row r="103">
      <c r="D103" s="39"/>
      <c r="E103" s="81"/>
    </row>
    <row r="104">
      <c r="D104" s="39"/>
      <c r="E104" s="81"/>
    </row>
    <row r="105">
      <c r="D105" s="39"/>
      <c r="E105" s="81"/>
    </row>
    <row r="106">
      <c r="D106" s="39"/>
      <c r="E106" s="81"/>
    </row>
    <row r="107">
      <c r="D107" s="39"/>
      <c r="E107" s="81"/>
    </row>
    <row r="108">
      <c r="D108" s="39"/>
      <c r="E108" s="81"/>
    </row>
    <row r="109">
      <c r="D109" s="39"/>
      <c r="E109" s="81"/>
    </row>
    <row r="110">
      <c r="D110" s="39"/>
      <c r="E110" s="81"/>
    </row>
    <row r="111">
      <c r="D111" s="39"/>
      <c r="E111" s="81"/>
    </row>
    <row r="112">
      <c r="D112" s="39"/>
      <c r="E112" s="81"/>
    </row>
    <row r="113">
      <c r="D113" s="39"/>
      <c r="E113" s="81"/>
    </row>
    <row r="114">
      <c r="D114" s="39"/>
      <c r="E114" s="81"/>
    </row>
    <row r="115">
      <c r="D115" s="39"/>
      <c r="E115" s="81"/>
    </row>
    <row r="116">
      <c r="D116" s="39"/>
      <c r="E116" s="81"/>
    </row>
    <row r="117">
      <c r="D117" s="39"/>
      <c r="E117" s="81"/>
    </row>
    <row r="118">
      <c r="D118" s="39"/>
      <c r="E118" s="81"/>
    </row>
    <row r="119">
      <c r="D119" s="39"/>
      <c r="E119" s="81"/>
    </row>
    <row r="120">
      <c r="D120" s="39"/>
      <c r="E120" s="81"/>
    </row>
    <row r="121">
      <c r="D121" s="39"/>
      <c r="E121" s="81"/>
    </row>
    <row r="122">
      <c r="D122" s="39"/>
      <c r="E122" s="81"/>
    </row>
    <row r="123">
      <c r="D123" s="39"/>
      <c r="E123" s="81"/>
    </row>
    <row r="124">
      <c r="D124" s="39"/>
      <c r="E124" s="81"/>
    </row>
    <row r="125">
      <c r="D125" s="39"/>
      <c r="E125" s="81"/>
    </row>
    <row r="126">
      <c r="D126" s="39"/>
      <c r="E126" s="81"/>
    </row>
    <row r="127">
      <c r="D127" s="39"/>
      <c r="E127" s="81"/>
    </row>
    <row r="128">
      <c r="D128" s="39"/>
      <c r="E128" s="81"/>
    </row>
    <row r="129">
      <c r="D129" s="39"/>
      <c r="E129" s="81"/>
    </row>
    <row r="130">
      <c r="D130" s="39"/>
      <c r="E130" s="81"/>
    </row>
    <row r="131">
      <c r="D131" s="39"/>
      <c r="E131" s="81"/>
    </row>
    <row r="132">
      <c r="D132" s="39"/>
      <c r="E132" s="81"/>
    </row>
    <row r="133">
      <c r="D133" s="39"/>
      <c r="E133" s="81"/>
    </row>
    <row r="134">
      <c r="D134" s="39"/>
      <c r="E134" s="81"/>
    </row>
    <row r="135">
      <c r="D135" s="39"/>
      <c r="E135" s="81"/>
    </row>
    <row r="136">
      <c r="D136" s="39"/>
      <c r="E136" s="81"/>
    </row>
    <row r="137">
      <c r="D137" s="39"/>
      <c r="E137" s="81"/>
    </row>
    <row r="138">
      <c r="D138" s="39"/>
      <c r="E138" s="81"/>
    </row>
    <row r="139">
      <c r="D139" s="39"/>
      <c r="E139" s="81"/>
    </row>
    <row r="140">
      <c r="D140" s="39"/>
      <c r="E140" s="81"/>
    </row>
    <row r="141">
      <c r="D141" s="39"/>
      <c r="E141" s="81"/>
    </row>
    <row r="142">
      <c r="D142" s="39"/>
      <c r="E142" s="81"/>
    </row>
    <row r="143">
      <c r="D143" s="39"/>
      <c r="E143" s="81"/>
    </row>
    <row r="144">
      <c r="D144" s="39"/>
      <c r="E144" s="81"/>
    </row>
    <row r="145">
      <c r="D145" s="39"/>
      <c r="E145" s="81"/>
    </row>
    <row r="146">
      <c r="D146" s="39"/>
      <c r="E146" s="81"/>
    </row>
    <row r="147">
      <c r="D147" s="39"/>
      <c r="E147" s="81"/>
    </row>
    <row r="148">
      <c r="D148" s="39"/>
      <c r="E148" s="81"/>
    </row>
    <row r="149">
      <c r="D149" s="39"/>
      <c r="E149" s="81"/>
    </row>
    <row r="150">
      <c r="D150" s="39"/>
      <c r="E150" s="81"/>
    </row>
    <row r="151">
      <c r="D151" s="39"/>
      <c r="E151" s="81"/>
    </row>
    <row r="152">
      <c r="D152" s="39"/>
      <c r="E152" s="81"/>
    </row>
    <row r="153">
      <c r="D153" s="39"/>
      <c r="E153" s="81"/>
    </row>
    <row r="154">
      <c r="D154" s="39"/>
      <c r="E154" s="81"/>
    </row>
    <row r="155">
      <c r="D155" s="39"/>
      <c r="E155" s="81"/>
    </row>
    <row r="156">
      <c r="D156" s="39"/>
      <c r="E156" s="81"/>
    </row>
    <row r="157">
      <c r="D157" s="39"/>
      <c r="E157" s="81"/>
    </row>
    <row r="158">
      <c r="D158" s="39"/>
      <c r="E158" s="81"/>
    </row>
    <row r="159">
      <c r="D159" s="39"/>
      <c r="E159" s="81"/>
    </row>
    <row r="160">
      <c r="D160" s="39"/>
      <c r="E160" s="81"/>
    </row>
    <row r="161">
      <c r="D161" s="39"/>
      <c r="E161" s="81"/>
    </row>
    <row r="162">
      <c r="D162" s="39"/>
      <c r="E162" s="81"/>
    </row>
    <row r="163">
      <c r="D163" s="39"/>
      <c r="E163" s="81"/>
    </row>
    <row r="164">
      <c r="D164" s="39"/>
      <c r="E164" s="81"/>
    </row>
    <row r="165">
      <c r="D165" s="39"/>
      <c r="E165" s="81"/>
    </row>
    <row r="166">
      <c r="D166" s="39"/>
      <c r="E166" s="81"/>
    </row>
    <row r="167">
      <c r="D167" s="39"/>
      <c r="E167" s="81"/>
    </row>
    <row r="168">
      <c r="D168" s="39"/>
      <c r="E168" s="81"/>
    </row>
    <row r="169">
      <c r="D169" s="39"/>
      <c r="E169" s="81"/>
    </row>
    <row r="170">
      <c r="D170" s="39"/>
      <c r="E170" s="81"/>
    </row>
    <row r="171">
      <c r="D171" s="39"/>
      <c r="E171" s="81"/>
    </row>
    <row r="172">
      <c r="D172" s="39"/>
      <c r="E172" s="81"/>
    </row>
    <row r="173">
      <c r="D173" s="39"/>
      <c r="E173" s="81"/>
    </row>
    <row r="174">
      <c r="D174" s="39"/>
      <c r="E174" s="81"/>
    </row>
    <row r="175">
      <c r="D175" s="39"/>
      <c r="E175" s="81"/>
    </row>
    <row r="176">
      <c r="D176" s="39"/>
      <c r="E176" s="81"/>
    </row>
    <row r="177">
      <c r="D177" s="39"/>
      <c r="E177" s="81"/>
    </row>
    <row r="178">
      <c r="D178" s="39"/>
      <c r="E178" s="81"/>
    </row>
    <row r="179">
      <c r="D179" s="39"/>
      <c r="E179" s="81"/>
    </row>
    <row r="180">
      <c r="D180" s="39"/>
      <c r="E180" s="81"/>
    </row>
    <row r="181">
      <c r="D181" s="39"/>
      <c r="E181" s="81"/>
    </row>
    <row r="182">
      <c r="D182" s="39"/>
      <c r="E182" s="81"/>
    </row>
    <row r="183">
      <c r="D183" s="39"/>
      <c r="E183" s="81"/>
    </row>
    <row r="184">
      <c r="D184" s="39"/>
      <c r="E184" s="81"/>
    </row>
    <row r="185">
      <c r="D185" s="39"/>
      <c r="E185" s="81"/>
    </row>
    <row r="186">
      <c r="D186" s="39"/>
      <c r="E186" s="81"/>
    </row>
    <row r="187">
      <c r="D187" s="39"/>
      <c r="E187" s="81"/>
    </row>
    <row r="188">
      <c r="D188" s="39"/>
      <c r="E188" s="81"/>
    </row>
    <row r="189">
      <c r="D189" s="39"/>
      <c r="E189" s="81"/>
    </row>
    <row r="190">
      <c r="D190" s="39"/>
      <c r="E190" s="81"/>
    </row>
    <row r="191">
      <c r="D191" s="39"/>
      <c r="E191" s="81"/>
    </row>
    <row r="192">
      <c r="D192" s="39"/>
      <c r="E192" s="81"/>
    </row>
    <row r="193">
      <c r="D193" s="39"/>
      <c r="E193" s="81"/>
    </row>
    <row r="194">
      <c r="D194" s="39"/>
      <c r="E194" s="81"/>
    </row>
    <row r="195">
      <c r="D195" s="39"/>
      <c r="E195" s="81"/>
    </row>
    <row r="196">
      <c r="D196" s="39"/>
      <c r="E196" s="81"/>
    </row>
    <row r="197">
      <c r="D197" s="39"/>
      <c r="E197" s="81"/>
    </row>
    <row r="198">
      <c r="D198" s="39"/>
      <c r="E198" s="81"/>
    </row>
    <row r="199">
      <c r="D199" s="39"/>
      <c r="E199" s="81"/>
    </row>
    <row r="200">
      <c r="D200" s="39"/>
      <c r="E200" s="81"/>
    </row>
    <row r="201">
      <c r="D201" s="39"/>
      <c r="E201" s="81"/>
    </row>
    <row r="202">
      <c r="D202" s="39"/>
      <c r="E202" s="81"/>
    </row>
    <row r="203">
      <c r="D203" s="39"/>
      <c r="E203" s="81"/>
    </row>
    <row r="204">
      <c r="D204" s="39"/>
      <c r="E204" s="81"/>
    </row>
    <row r="205">
      <c r="D205" s="39"/>
      <c r="E205" s="81"/>
    </row>
    <row r="206">
      <c r="D206" s="39"/>
      <c r="E206" s="81"/>
    </row>
    <row r="207">
      <c r="D207" s="39"/>
      <c r="E207" s="81"/>
    </row>
    <row r="208">
      <c r="D208" s="39"/>
      <c r="E208" s="81"/>
    </row>
    <row r="209">
      <c r="D209" s="39"/>
      <c r="E209" s="81"/>
    </row>
    <row r="210">
      <c r="D210" s="39"/>
      <c r="E210" s="81"/>
    </row>
    <row r="211">
      <c r="D211" s="39"/>
      <c r="E211" s="81"/>
    </row>
    <row r="212">
      <c r="D212" s="39"/>
      <c r="E212" s="81"/>
    </row>
    <row r="213">
      <c r="D213" s="39"/>
      <c r="E213" s="81"/>
    </row>
    <row r="214">
      <c r="D214" s="39"/>
      <c r="E214" s="81"/>
    </row>
    <row r="215">
      <c r="D215" s="39"/>
      <c r="E215" s="81"/>
    </row>
    <row r="216">
      <c r="D216" s="39"/>
      <c r="E216" s="81"/>
    </row>
    <row r="217">
      <c r="D217" s="39"/>
      <c r="E217" s="81"/>
    </row>
    <row r="218">
      <c r="D218" s="39"/>
      <c r="E218" s="81"/>
    </row>
    <row r="219">
      <c r="D219" s="39"/>
      <c r="E219" s="81"/>
    </row>
    <row r="220">
      <c r="D220" s="39"/>
      <c r="E220" s="81"/>
    </row>
    <row r="221">
      <c r="D221" s="39"/>
      <c r="E221" s="81"/>
    </row>
    <row r="222">
      <c r="D222" s="39"/>
      <c r="E222" s="81"/>
    </row>
    <row r="223">
      <c r="D223" s="39"/>
      <c r="E223" s="81"/>
    </row>
    <row r="224">
      <c r="D224" s="39"/>
      <c r="E224" s="81"/>
    </row>
    <row r="225">
      <c r="D225" s="39"/>
      <c r="E225" s="81"/>
    </row>
    <row r="226">
      <c r="D226" s="39"/>
      <c r="E226" s="81"/>
    </row>
    <row r="227">
      <c r="D227" s="39"/>
      <c r="E227" s="81"/>
    </row>
    <row r="228">
      <c r="D228" s="39"/>
      <c r="E228" s="81"/>
    </row>
    <row r="229">
      <c r="D229" s="39"/>
      <c r="E229" s="81"/>
    </row>
    <row r="230">
      <c r="D230" s="39"/>
      <c r="E230" s="81"/>
    </row>
    <row r="231">
      <c r="D231" s="39"/>
      <c r="E231" s="81"/>
    </row>
    <row r="232">
      <c r="D232" s="39"/>
      <c r="E232" s="81"/>
    </row>
    <row r="233">
      <c r="D233" s="39"/>
      <c r="E233" s="81"/>
    </row>
    <row r="234">
      <c r="D234" s="39"/>
      <c r="E234" s="81"/>
    </row>
    <row r="235">
      <c r="D235" s="39"/>
      <c r="E235" s="81"/>
    </row>
    <row r="236">
      <c r="D236" s="39"/>
      <c r="E236" s="81"/>
    </row>
    <row r="237">
      <c r="D237" s="39"/>
      <c r="E237" s="81"/>
    </row>
    <row r="238">
      <c r="D238" s="39"/>
      <c r="E238" s="81"/>
    </row>
    <row r="239">
      <c r="D239" s="39"/>
      <c r="E239" s="81"/>
    </row>
    <row r="240">
      <c r="D240" s="39"/>
      <c r="E240" s="81"/>
    </row>
    <row r="241">
      <c r="D241" s="39"/>
      <c r="E241" s="81"/>
    </row>
    <row r="242">
      <c r="D242" s="39"/>
      <c r="E242" s="81"/>
    </row>
    <row r="243">
      <c r="D243" s="39"/>
      <c r="E243" s="81"/>
    </row>
    <row r="244">
      <c r="D244" s="39"/>
      <c r="E244" s="81"/>
    </row>
    <row r="245">
      <c r="D245" s="39"/>
      <c r="E245" s="81"/>
    </row>
    <row r="246">
      <c r="D246" s="39"/>
      <c r="E246" s="81"/>
    </row>
    <row r="247">
      <c r="D247" s="39"/>
      <c r="E247" s="81"/>
    </row>
    <row r="248">
      <c r="D248" s="39"/>
      <c r="E248" s="81"/>
    </row>
    <row r="249">
      <c r="D249" s="39"/>
      <c r="E249" s="81"/>
    </row>
    <row r="250">
      <c r="D250" s="39"/>
      <c r="E250" s="81"/>
    </row>
    <row r="251">
      <c r="D251" s="39"/>
      <c r="E251" s="81"/>
    </row>
    <row r="252">
      <c r="D252" s="39"/>
      <c r="E252" s="81"/>
    </row>
    <row r="253">
      <c r="D253" s="39"/>
      <c r="E253" s="81"/>
    </row>
    <row r="254">
      <c r="D254" s="39"/>
      <c r="E254" s="81"/>
    </row>
    <row r="255">
      <c r="D255" s="39"/>
      <c r="E255" s="81"/>
    </row>
    <row r="256">
      <c r="D256" s="39"/>
      <c r="E256" s="81"/>
    </row>
    <row r="257">
      <c r="D257" s="39"/>
      <c r="E257" s="81"/>
    </row>
    <row r="258">
      <c r="D258" s="39"/>
      <c r="E258" s="81"/>
    </row>
    <row r="259">
      <c r="D259" s="39"/>
      <c r="E259" s="81"/>
    </row>
    <row r="260">
      <c r="D260" s="39"/>
      <c r="E260" s="81"/>
    </row>
    <row r="261">
      <c r="D261" s="39"/>
      <c r="E261" s="81"/>
    </row>
    <row r="262">
      <c r="D262" s="39"/>
      <c r="E262" s="81"/>
    </row>
    <row r="263">
      <c r="D263" s="39"/>
      <c r="E263" s="81"/>
    </row>
    <row r="264">
      <c r="D264" s="39"/>
      <c r="E264" s="81"/>
    </row>
    <row r="265">
      <c r="D265" s="39"/>
      <c r="E265" s="81"/>
    </row>
    <row r="266">
      <c r="D266" s="39"/>
      <c r="E266" s="81"/>
    </row>
    <row r="267">
      <c r="D267" s="39"/>
      <c r="E267" s="81"/>
    </row>
    <row r="268">
      <c r="D268" s="39"/>
      <c r="E268" s="81"/>
    </row>
    <row r="269">
      <c r="D269" s="39"/>
      <c r="E269" s="81"/>
    </row>
    <row r="270">
      <c r="D270" s="39"/>
      <c r="E270" s="81"/>
    </row>
    <row r="271">
      <c r="D271" s="39"/>
      <c r="E271" s="81"/>
    </row>
    <row r="272">
      <c r="D272" s="39"/>
      <c r="E272" s="81"/>
    </row>
    <row r="273">
      <c r="D273" s="39"/>
      <c r="E273" s="81"/>
    </row>
    <row r="274">
      <c r="D274" s="39"/>
      <c r="E274" s="81"/>
    </row>
    <row r="275">
      <c r="D275" s="39"/>
      <c r="E275" s="81"/>
    </row>
    <row r="276">
      <c r="D276" s="39"/>
      <c r="E276" s="81"/>
    </row>
    <row r="277">
      <c r="D277" s="39"/>
      <c r="E277" s="81"/>
    </row>
    <row r="278">
      <c r="D278" s="39"/>
      <c r="E278" s="81"/>
    </row>
    <row r="279">
      <c r="D279" s="39"/>
      <c r="E279" s="81"/>
    </row>
    <row r="280">
      <c r="D280" s="39"/>
      <c r="E280" s="81"/>
    </row>
    <row r="281">
      <c r="D281" s="39"/>
      <c r="E281" s="81"/>
    </row>
    <row r="282">
      <c r="D282" s="39"/>
      <c r="E282" s="81"/>
    </row>
    <row r="283">
      <c r="D283" s="39"/>
      <c r="E283" s="81"/>
    </row>
    <row r="284">
      <c r="D284" s="39"/>
      <c r="E284" s="81"/>
    </row>
    <row r="285">
      <c r="D285" s="39"/>
      <c r="E285" s="81"/>
    </row>
    <row r="286">
      <c r="D286" s="39"/>
      <c r="E286" s="81"/>
    </row>
    <row r="287">
      <c r="D287" s="39"/>
      <c r="E287" s="81"/>
    </row>
    <row r="288">
      <c r="D288" s="39"/>
      <c r="E288" s="81"/>
    </row>
    <row r="289">
      <c r="D289" s="39"/>
      <c r="E289" s="81"/>
    </row>
    <row r="290">
      <c r="D290" s="39"/>
      <c r="E290" s="81"/>
    </row>
    <row r="291">
      <c r="D291" s="39"/>
      <c r="E291" s="81"/>
    </row>
    <row r="292">
      <c r="D292" s="39"/>
      <c r="E292" s="81"/>
    </row>
    <row r="293">
      <c r="D293" s="39"/>
      <c r="E293" s="81"/>
    </row>
    <row r="294">
      <c r="D294" s="39"/>
      <c r="E294" s="81"/>
    </row>
    <row r="295">
      <c r="D295" s="39"/>
      <c r="E295" s="81"/>
    </row>
    <row r="296">
      <c r="D296" s="39"/>
      <c r="E296" s="81"/>
    </row>
    <row r="297">
      <c r="D297" s="39"/>
      <c r="E297" s="81"/>
    </row>
    <row r="298">
      <c r="D298" s="39"/>
      <c r="E298" s="81"/>
    </row>
    <row r="299">
      <c r="D299" s="39"/>
      <c r="E299" s="81"/>
    </row>
    <row r="300">
      <c r="D300" s="39"/>
      <c r="E300" s="81"/>
    </row>
    <row r="301">
      <c r="D301" s="39"/>
      <c r="E301" s="81"/>
    </row>
    <row r="302">
      <c r="D302" s="39"/>
      <c r="E302" s="81"/>
    </row>
    <row r="303">
      <c r="D303" s="39"/>
      <c r="E303" s="81"/>
    </row>
    <row r="304">
      <c r="D304" s="39"/>
      <c r="E304" s="81"/>
    </row>
    <row r="305">
      <c r="D305" s="39"/>
      <c r="E305" s="81"/>
    </row>
    <row r="306">
      <c r="D306" s="39"/>
      <c r="E306" s="81"/>
    </row>
    <row r="307">
      <c r="D307" s="39"/>
      <c r="E307" s="81"/>
    </row>
    <row r="308">
      <c r="D308" s="39"/>
      <c r="E308" s="81"/>
    </row>
    <row r="309">
      <c r="D309" s="39"/>
      <c r="E309" s="81"/>
    </row>
    <row r="310">
      <c r="D310" s="39"/>
      <c r="E310" s="81"/>
    </row>
    <row r="311">
      <c r="D311" s="39"/>
      <c r="E311" s="81"/>
    </row>
    <row r="312">
      <c r="D312" s="39"/>
      <c r="E312" s="81"/>
    </row>
    <row r="313">
      <c r="D313" s="39"/>
      <c r="E313" s="81"/>
    </row>
    <row r="314">
      <c r="D314" s="39"/>
      <c r="E314" s="81"/>
    </row>
    <row r="315">
      <c r="D315" s="39"/>
      <c r="E315" s="81"/>
    </row>
    <row r="316">
      <c r="D316" s="39"/>
      <c r="E316" s="81"/>
    </row>
    <row r="317">
      <c r="D317" s="39"/>
      <c r="E317" s="81"/>
    </row>
    <row r="318">
      <c r="D318" s="39"/>
      <c r="E318" s="81"/>
    </row>
    <row r="319">
      <c r="D319" s="39"/>
      <c r="E319" s="81"/>
    </row>
    <row r="320">
      <c r="D320" s="39"/>
      <c r="E320" s="81"/>
    </row>
    <row r="321">
      <c r="D321" s="39"/>
      <c r="E321" s="81"/>
    </row>
    <row r="322">
      <c r="D322" s="39"/>
      <c r="E322" s="81"/>
    </row>
    <row r="323">
      <c r="D323" s="39"/>
      <c r="E323" s="81"/>
    </row>
    <row r="324">
      <c r="D324" s="39"/>
      <c r="E324" s="81"/>
    </row>
    <row r="325">
      <c r="D325" s="39"/>
      <c r="E325" s="81"/>
    </row>
    <row r="326">
      <c r="D326" s="39"/>
      <c r="E326" s="81"/>
    </row>
    <row r="327">
      <c r="D327" s="39"/>
      <c r="E327" s="81"/>
    </row>
    <row r="328">
      <c r="D328" s="39"/>
      <c r="E328" s="81"/>
    </row>
    <row r="329">
      <c r="D329" s="39"/>
      <c r="E329" s="81"/>
    </row>
    <row r="330">
      <c r="D330" s="39"/>
      <c r="E330" s="81"/>
    </row>
    <row r="331">
      <c r="D331" s="39"/>
      <c r="E331" s="81"/>
    </row>
    <row r="332">
      <c r="D332" s="39"/>
      <c r="E332" s="81"/>
    </row>
    <row r="333">
      <c r="D333" s="39"/>
      <c r="E333" s="81"/>
    </row>
    <row r="334">
      <c r="D334" s="39"/>
      <c r="E334" s="81"/>
    </row>
    <row r="335">
      <c r="D335" s="39"/>
      <c r="E335" s="81"/>
    </row>
    <row r="336">
      <c r="D336" s="39"/>
      <c r="E336" s="81"/>
    </row>
    <row r="337">
      <c r="D337" s="39"/>
      <c r="E337" s="81"/>
    </row>
    <row r="338">
      <c r="D338" s="39"/>
      <c r="E338" s="81"/>
    </row>
    <row r="339">
      <c r="D339" s="39"/>
      <c r="E339" s="81"/>
    </row>
    <row r="340">
      <c r="D340" s="39"/>
      <c r="E340" s="81"/>
    </row>
    <row r="341">
      <c r="D341" s="39"/>
      <c r="E341" s="81"/>
    </row>
    <row r="342">
      <c r="D342" s="39"/>
      <c r="E342" s="81"/>
    </row>
    <row r="343">
      <c r="D343" s="39"/>
      <c r="E343" s="81"/>
    </row>
    <row r="344">
      <c r="D344" s="39"/>
      <c r="E344" s="81"/>
    </row>
    <row r="345">
      <c r="D345" s="39"/>
      <c r="E345" s="81"/>
    </row>
    <row r="346">
      <c r="D346" s="39"/>
      <c r="E346" s="81"/>
    </row>
    <row r="347">
      <c r="D347" s="39"/>
      <c r="E347" s="81"/>
    </row>
    <row r="348">
      <c r="D348" s="39"/>
      <c r="E348" s="81"/>
    </row>
    <row r="349">
      <c r="D349" s="39"/>
      <c r="E349" s="81"/>
    </row>
    <row r="350">
      <c r="D350" s="39"/>
      <c r="E350" s="81"/>
    </row>
    <row r="351">
      <c r="D351" s="39"/>
      <c r="E351" s="81"/>
    </row>
    <row r="352">
      <c r="D352" s="39"/>
      <c r="E352" s="81"/>
    </row>
    <row r="353">
      <c r="D353" s="39"/>
      <c r="E353" s="81"/>
    </row>
    <row r="354">
      <c r="D354" s="39"/>
      <c r="E354" s="81"/>
    </row>
    <row r="355">
      <c r="D355" s="39"/>
      <c r="E355" s="81"/>
    </row>
    <row r="356">
      <c r="D356" s="39"/>
      <c r="E356" s="81"/>
    </row>
    <row r="357">
      <c r="D357" s="39"/>
      <c r="E357" s="81"/>
    </row>
    <row r="358">
      <c r="D358" s="39"/>
      <c r="E358" s="81"/>
    </row>
    <row r="359">
      <c r="D359" s="39"/>
      <c r="E359" s="81"/>
    </row>
    <row r="360">
      <c r="D360" s="39"/>
      <c r="E360" s="81"/>
    </row>
    <row r="361">
      <c r="D361" s="39"/>
      <c r="E361" s="81"/>
    </row>
    <row r="362">
      <c r="D362" s="39"/>
      <c r="E362" s="81"/>
    </row>
    <row r="363">
      <c r="D363" s="39"/>
      <c r="E363" s="81"/>
    </row>
    <row r="364">
      <c r="D364" s="39"/>
      <c r="E364" s="81"/>
    </row>
    <row r="365">
      <c r="D365" s="39"/>
      <c r="E365" s="81"/>
    </row>
    <row r="366">
      <c r="D366" s="39"/>
      <c r="E366" s="81"/>
    </row>
    <row r="367">
      <c r="D367" s="39"/>
      <c r="E367" s="81"/>
    </row>
    <row r="368">
      <c r="D368" s="39"/>
      <c r="E368" s="81"/>
    </row>
    <row r="369">
      <c r="D369" s="39"/>
      <c r="E369" s="81"/>
    </row>
    <row r="370">
      <c r="D370" s="39"/>
      <c r="E370" s="81"/>
    </row>
    <row r="371">
      <c r="D371" s="39"/>
      <c r="E371" s="81"/>
    </row>
    <row r="372">
      <c r="D372" s="39"/>
      <c r="E372" s="81"/>
    </row>
    <row r="373">
      <c r="D373" s="39"/>
      <c r="E373" s="81"/>
    </row>
    <row r="374">
      <c r="D374" s="39"/>
      <c r="E374" s="81"/>
    </row>
    <row r="375">
      <c r="D375" s="39"/>
      <c r="E375" s="81"/>
    </row>
    <row r="376">
      <c r="D376" s="39"/>
      <c r="E376" s="81"/>
    </row>
    <row r="377">
      <c r="D377" s="39"/>
      <c r="E377" s="81"/>
    </row>
    <row r="378">
      <c r="D378" s="39"/>
      <c r="E378" s="81"/>
    </row>
    <row r="379">
      <c r="D379" s="39"/>
      <c r="E379" s="81"/>
    </row>
    <row r="380">
      <c r="D380" s="39"/>
      <c r="E380" s="81"/>
    </row>
    <row r="381">
      <c r="D381" s="39"/>
      <c r="E381" s="81"/>
    </row>
    <row r="382">
      <c r="D382" s="39"/>
      <c r="E382" s="81"/>
    </row>
    <row r="383">
      <c r="D383" s="39"/>
      <c r="E383" s="81"/>
    </row>
    <row r="384">
      <c r="D384" s="39"/>
      <c r="E384" s="81"/>
    </row>
    <row r="385">
      <c r="D385" s="39"/>
      <c r="E385" s="81"/>
    </row>
    <row r="386">
      <c r="D386" s="39"/>
      <c r="E386" s="81"/>
    </row>
    <row r="387">
      <c r="D387" s="39"/>
      <c r="E387" s="81"/>
    </row>
    <row r="388">
      <c r="D388" s="39"/>
      <c r="E388" s="81"/>
    </row>
    <row r="389">
      <c r="D389" s="39"/>
      <c r="E389" s="81"/>
    </row>
    <row r="390">
      <c r="D390" s="39"/>
      <c r="E390" s="81"/>
    </row>
    <row r="391">
      <c r="D391" s="39"/>
      <c r="E391" s="81"/>
    </row>
    <row r="392">
      <c r="D392" s="39"/>
      <c r="E392" s="81"/>
    </row>
    <row r="393">
      <c r="D393" s="39"/>
      <c r="E393" s="81"/>
    </row>
    <row r="394">
      <c r="D394" s="39"/>
      <c r="E394" s="81"/>
    </row>
    <row r="395">
      <c r="D395" s="39"/>
      <c r="E395" s="81"/>
    </row>
    <row r="396">
      <c r="D396" s="39"/>
      <c r="E396" s="81"/>
    </row>
    <row r="397">
      <c r="D397" s="39"/>
      <c r="E397" s="81"/>
    </row>
    <row r="398">
      <c r="D398" s="39"/>
      <c r="E398" s="81"/>
    </row>
    <row r="399">
      <c r="D399" s="39"/>
      <c r="E399" s="81"/>
    </row>
    <row r="400">
      <c r="D400" s="39"/>
      <c r="E400" s="81"/>
    </row>
    <row r="401">
      <c r="D401" s="39"/>
      <c r="E401" s="81"/>
    </row>
    <row r="402">
      <c r="D402" s="39"/>
      <c r="E402" s="81"/>
    </row>
    <row r="403">
      <c r="D403" s="39"/>
      <c r="E403" s="81"/>
    </row>
    <row r="404">
      <c r="D404" s="39"/>
      <c r="E404" s="81"/>
    </row>
    <row r="405">
      <c r="D405" s="39"/>
      <c r="E405" s="81"/>
    </row>
    <row r="406">
      <c r="D406" s="39"/>
      <c r="E406" s="81"/>
    </row>
    <row r="407">
      <c r="D407" s="39"/>
      <c r="E407" s="81"/>
    </row>
    <row r="408">
      <c r="D408" s="39"/>
      <c r="E408" s="81"/>
    </row>
    <row r="409">
      <c r="D409" s="39"/>
      <c r="E409" s="81"/>
    </row>
    <row r="410">
      <c r="D410" s="39"/>
      <c r="E410" s="81"/>
    </row>
    <row r="411">
      <c r="D411" s="39"/>
      <c r="E411" s="81"/>
    </row>
    <row r="412">
      <c r="D412" s="39"/>
      <c r="E412" s="81"/>
    </row>
    <row r="413">
      <c r="D413" s="39"/>
      <c r="E413" s="81"/>
    </row>
    <row r="414">
      <c r="D414" s="39"/>
      <c r="E414" s="81"/>
    </row>
    <row r="415">
      <c r="D415" s="39"/>
      <c r="E415" s="81"/>
    </row>
    <row r="416">
      <c r="D416" s="39"/>
      <c r="E416" s="81"/>
    </row>
    <row r="417">
      <c r="D417" s="39"/>
      <c r="E417" s="81"/>
    </row>
    <row r="418">
      <c r="D418" s="39"/>
      <c r="E418" s="81"/>
    </row>
    <row r="419">
      <c r="D419" s="39"/>
      <c r="E419" s="81"/>
    </row>
    <row r="420">
      <c r="D420" s="39"/>
      <c r="E420" s="81"/>
    </row>
    <row r="421">
      <c r="D421" s="39"/>
      <c r="E421" s="81"/>
    </row>
    <row r="422">
      <c r="D422" s="39"/>
      <c r="E422" s="81"/>
    </row>
    <row r="423">
      <c r="D423" s="39"/>
      <c r="E423" s="81"/>
    </row>
    <row r="424">
      <c r="D424" s="39"/>
      <c r="E424" s="81"/>
    </row>
    <row r="425">
      <c r="D425" s="39"/>
      <c r="E425" s="81"/>
    </row>
    <row r="426">
      <c r="D426" s="39"/>
      <c r="E426" s="81"/>
    </row>
    <row r="427">
      <c r="D427" s="39"/>
      <c r="E427" s="81"/>
    </row>
    <row r="428">
      <c r="D428" s="39"/>
      <c r="E428" s="81"/>
    </row>
    <row r="429">
      <c r="D429" s="39"/>
      <c r="E429" s="81"/>
    </row>
    <row r="430">
      <c r="D430" s="39"/>
      <c r="E430" s="81"/>
    </row>
    <row r="431">
      <c r="D431" s="39"/>
      <c r="E431" s="81"/>
    </row>
    <row r="432">
      <c r="D432" s="39"/>
      <c r="E432" s="81"/>
    </row>
    <row r="433">
      <c r="D433" s="39"/>
      <c r="E433" s="81"/>
    </row>
    <row r="434">
      <c r="D434" s="39"/>
      <c r="E434" s="81"/>
    </row>
    <row r="435">
      <c r="D435" s="39"/>
      <c r="E435" s="81"/>
    </row>
    <row r="436">
      <c r="D436" s="39"/>
      <c r="E436" s="81"/>
    </row>
    <row r="437">
      <c r="D437" s="39"/>
      <c r="E437" s="81"/>
    </row>
    <row r="438">
      <c r="D438" s="39"/>
      <c r="E438" s="81"/>
    </row>
    <row r="439">
      <c r="D439" s="39"/>
      <c r="E439" s="81"/>
    </row>
    <row r="440">
      <c r="D440" s="39"/>
      <c r="E440" s="81"/>
    </row>
    <row r="441">
      <c r="D441" s="39"/>
      <c r="E441" s="81"/>
    </row>
    <row r="442">
      <c r="D442" s="39"/>
      <c r="E442" s="81"/>
    </row>
    <row r="443">
      <c r="D443" s="39"/>
      <c r="E443" s="81"/>
    </row>
    <row r="444">
      <c r="D444" s="39"/>
      <c r="E444" s="81"/>
    </row>
    <row r="445">
      <c r="D445" s="39"/>
      <c r="E445" s="81"/>
    </row>
    <row r="446">
      <c r="D446" s="39"/>
      <c r="E446" s="81"/>
    </row>
    <row r="447">
      <c r="D447" s="39"/>
      <c r="E447" s="81"/>
    </row>
    <row r="448">
      <c r="D448" s="39"/>
      <c r="E448" s="81"/>
    </row>
    <row r="449">
      <c r="D449" s="39"/>
      <c r="E449" s="81"/>
    </row>
    <row r="450">
      <c r="D450" s="39"/>
      <c r="E450" s="81"/>
    </row>
    <row r="451">
      <c r="D451" s="39"/>
      <c r="E451" s="81"/>
    </row>
    <row r="452">
      <c r="D452" s="39"/>
      <c r="E452" s="81"/>
    </row>
    <row r="453">
      <c r="D453" s="39"/>
      <c r="E453" s="81"/>
    </row>
    <row r="454">
      <c r="D454" s="39"/>
      <c r="E454" s="81"/>
    </row>
    <row r="455">
      <c r="D455" s="39"/>
      <c r="E455" s="81"/>
    </row>
    <row r="456">
      <c r="D456" s="39"/>
      <c r="E456" s="81"/>
    </row>
    <row r="457">
      <c r="D457" s="39"/>
      <c r="E457" s="81"/>
    </row>
    <row r="458">
      <c r="D458" s="39"/>
      <c r="E458" s="81"/>
    </row>
    <row r="459">
      <c r="D459" s="39"/>
      <c r="E459" s="81"/>
    </row>
    <row r="460">
      <c r="D460" s="39"/>
      <c r="E460" s="81"/>
    </row>
    <row r="461">
      <c r="D461" s="39"/>
      <c r="E461" s="81"/>
    </row>
    <row r="462">
      <c r="D462" s="39"/>
      <c r="E462" s="81"/>
    </row>
    <row r="463">
      <c r="D463" s="39"/>
      <c r="E463" s="81"/>
    </row>
    <row r="464">
      <c r="D464" s="39"/>
      <c r="E464" s="81"/>
    </row>
    <row r="465">
      <c r="D465" s="39"/>
      <c r="E465" s="81"/>
    </row>
    <row r="466">
      <c r="D466" s="39"/>
      <c r="E466" s="81"/>
    </row>
    <row r="467">
      <c r="D467" s="39"/>
      <c r="E467" s="81"/>
    </row>
    <row r="468">
      <c r="D468" s="39"/>
      <c r="E468" s="81"/>
    </row>
    <row r="469">
      <c r="D469" s="39"/>
      <c r="E469" s="81"/>
    </row>
    <row r="470">
      <c r="D470" s="39"/>
      <c r="E470" s="81"/>
    </row>
    <row r="471">
      <c r="D471" s="39"/>
      <c r="E471" s="81"/>
    </row>
    <row r="472">
      <c r="D472" s="39"/>
      <c r="E472" s="81"/>
    </row>
    <row r="473">
      <c r="D473" s="39"/>
      <c r="E473" s="81"/>
    </row>
    <row r="474">
      <c r="D474" s="39"/>
      <c r="E474" s="81"/>
    </row>
    <row r="475">
      <c r="D475" s="39"/>
      <c r="E475" s="81"/>
    </row>
    <row r="476">
      <c r="D476" s="39"/>
      <c r="E476" s="81"/>
    </row>
    <row r="477">
      <c r="D477" s="39"/>
      <c r="E477" s="81"/>
    </row>
    <row r="478">
      <c r="D478" s="39"/>
      <c r="E478" s="81"/>
    </row>
    <row r="479">
      <c r="D479" s="39"/>
      <c r="E479" s="81"/>
    </row>
    <row r="480">
      <c r="D480" s="39"/>
      <c r="E480" s="81"/>
    </row>
    <row r="481">
      <c r="D481" s="39"/>
      <c r="E481" s="81"/>
    </row>
    <row r="482">
      <c r="D482" s="39"/>
      <c r="E482" s="81"/>
    </row>
    <row r="483">
      <c r="D483" s="39"/>
      <c r="E483" s="81"/>
    </row>
    <row r="484">
      <c r="D484" s="39"/>
      <c r="E484" s="81"/>
    </row>
    <row r="485">
      <c r="D485" s="39"/>
      <c r="E485" s="81"/>
    </row>
    <row r="486">
      <c r="D486" s="39"/>
      <c r="E486" s="81"/>
    </row>
    <row r="487">
      <c r="D487" s="39"/>
      <c r="E487" s="81"/>
    </row>
    <row r="488">
      <c r="D488" s="39"/>
      <c r="E488" s="81"/>
    </row>
    <row r="489">
      <c r="D489" s="39"/>
      <c r="E489" s="81"/>
    </row>
    <row r="490">
      <c r="D490" s="39"/>
      <c r="E490" s="81"/>
    </row>
    <row r="491">
      <c r="D491" s="39"/>
      <c r="E491" s="81"/>
    </row>
    <row r="492">
      <c r="D492" s="39"/>
      <c r="E492" s="81"/>
    </row>
    <row r="493">
      <c r="D493" s="39"/>
      <c r="E493" s="81"/>
    </row>
    <row r="494">
      <c r="D494" s="39"/>
      <c r="E494" s="81"/>
    </row>
    <row r="495">
      <c r="D495" s="39"/>
      <c r="E495" s="81"/>
    </row>
    <row r="496">
      <c r="D496" s="39"/>
      <c r="E496" s="81"/>
    </row>
    <row r="497">
      <c r="D497" s="39"/>
      <c r="E497" s="81"/>
    </row>
    <row r="498">
      <c r="D498" s="39"/>
      <c r="E498" s="81"/>
    </row>
    <row r="499">
      <c r="D499" s="39"/>
      <c r="E499" s="81"/>
    </row>
    <row r="500">
      <c r="D500" s="39"/>
      <c r="E500" s="81"/>
    </row>
    <row r="501">
      <c r="D501" s="39"/>
      <c r="E501" s="81"/>
    </row>
    <row r="502">
      <c r="D502" s="39"/>
      <c r="E502" s="81"/>
    </row>
    <row r="503">
      <c r="D503" s="39"/>
      <c r="E503" s="81"/>
    </row>
    <row r="504">
      <c r="D504" s="39"/>
      <c r="E504" s="81"/>
    </row>
    <row r="505">
      <c r="D505" s="39"/>
      <c r="E505" s="81"/>
    </row>
    <row r="506">
      <c r="D506" s="39"/>
      <c r="E506" s="81"/>
    </row>
    <row r="507">
      <c r="D507" s="39"/>
      <c r="E507" s="81"/>
    </row>
    <row r="508">
      <c r="D508" s="39"/>
      <c r="E508" s="81"/>
    </row>
    <row r="509">
      <c r="D509" s="39"/>
      <c r="E509" s="81"/>
    </row>
    <row r="510">
      <c r="D510" s="39"/>
      <c r="E510" s="81"/>
    </row>
    <row r="511">
      <c r="D511" s="39"/>
      <c r="E511" s="81"/>
    </row>
    <row r="512">
      <c r="D512" s="39"/>
      <c r="E512" s="81"/>
    </row>
    <row r="513">
      <c r="D513" s="39"/>
      <c r="E513" s="81"/>
    </row>
    <row r="514">
      <c r="D514" s="39"/>
      <c r="E514" s="81"/>
    </row>
    <row r="515">
      <c r="D515" s="39"/>
      <c r="E515" s="81"/>
    </row>
    <row r="516">
      <c r="D516" s="39"/>
      <c r="E516" s="81"/>
    </row>
    <row r="517">
      <c r="D517" s="39"/>
      <c r="E517" s="81"/>
    </row>
    <row r="518">
      <c r="D518" s="39"/>
      <c r="E518" s="81"/>
    </row>
    <row r="519">
      <c r="D519" s="39"/>
      <c r="E519" s="81"/>
    </row>
    <row r="520">
      <c r="D520" s="39"/>
      <c r="E520" s="81"/>
    </row>
    <row r="521">
      <c r="D521" s="39"/>
      <c r="E521" s="81"/>
    </row>
    <row r="522">
      <c r="D522" s="39"/>
      <c r="E522" s="81"/>
    </row>
    <row r="523">
      <c r="D523" s="39"/>
      <c r="E523" s="81"/>
    </row>
    <row r="524">
      <c r="D524" s="39"/>
      <c r="E524" s="81"/>
    </row>
    <row r="525">
      <c r="D525" s="39"/>
      <c r="E525" s="81"/>
    </row>
    <row r="526">
      <c r="D526" s="39"/>
      <c r="E526" s="81"/>
    </row>
    <row r="527">
      <c r="D527" s="39"/>
      <c r="E527" s="81"/>
    </row>
    <row r="528">
      <c r="D528" s="39"/>
      <c r="E528" s="81"/>
    </row>
    <row r="529">
      <c r="D529" s="39"/>
      <c r="E529" s="81"/>
    </row>
    <row r="530">
      <c r="D530" s="39"/>
      <c r="E530" s="81"/>
    </row>
    <row r="531">
      <c r="D531" s="39"/>
      <c r="E531" s="81"/>
    </row>
    <row r="532">
      <c r="D532" s="39"/>
      <c r="E532" s="81"/>
    </row>
    <row r="533">
      <c r="D533" s="39"/>
      <c r="E533" s="81"/>
    </row>
    <row r="534">
      <c r="D534" s="39"/>
      <c r="E534" s="81"/>
    </row>
    <row r="535">
      <c r="D535" s="39"/>
      <c r="E535" s="81"/>
    </row>
    <row r="536">
      <c r="D536" s="39"/>
      <c r="E536" s="81"/>
    </row>
    <row r="537">
      <c r="D537" s="39"/>
      <c r="E537" s="81"/>
    </row>
    <row r="538">
      <c r="D538" s="39"/>
      <c r="E538" s="81"/>
    </row>
    <row r="539">
      <c r="D539" s="39"/>
      <c r="E539" s="81"/>
    </row>
    <row r="540">
      <c r="D540" s="39"/>
      <c r="E540" s="81"/>
    </row>
    <row r="541">
      <c r="D541" s="39"/>
      <c r="E541" s="81"/>
    </row>
    <row r="542">
      <c r="D542" s="39"/>
      <c r="E542" s="81"/>
    </row>
    <row r="543">
      <c r="D543" s="39"/>
      <c r="E543" s="81"/>
    </row>
    <row r="544">
      <c r="D544" s="39"/>
      <c r="E544" s="81"/>
    </row>
    <row r="545">
      <c r="D545" s="39"/>
      <c r="E545" s="81"/>
    </row>
    <row r="546">
      <c r="D546" s="39"/>
      <c r="E546" s="81"/>
    </row>
    <row r="547">
      <c r="D547" s="39"/>
      <c r="E547" s="81"/>
    </row>
    <row r="548">
      <c r="D548" s="39"/>
      <c r="E548" s="81"/>
    </row>
    <row r="549">
      <c r="D549" s="39"/>
      <c r="E549" s="81"/>
    </row>
    <row r="550">
      <c r="D550" s="39"/>
      <c r="E550" s="81"/>
    </row>
    <row r="551">
      <c r="D551" s="39"/>
      <c r="E551" s="81"/>
    </row>
    <row r="552">
      <c r="D552" s="39"/>
      <c r="E552" s="81"/>
    </row>
    <row r="553">
      <c r="D553" s="39"/>
      <c r="E553" s="81"/>
    </row>
    <row r="554">
      <c r="D554" s="39"/>
      <c r="E554" s="81"/>
    </row>
    <row r="555">
      <c r="D555" s="39"/>
      <c r="E555" s="81"/>
    </row>
    <row r="556">
      <c r="D556" s="39"/>
      <c r="E556" s="81"/>
    </row>
    <row r="557">
      <c r="D557" s="39"/>
      <c r="E557" s="81"/>
    </row>
    <row r="558">
      <c r="D558" s="39"/>
      <c r="E558" s="81"/>
    </row>
    <row r="559">
      <c r="D559" s="39"/>
      <c r="E559" s="81"/>
    </row>
    <row r="560">
      <c r="D560" s="39"/>
      <c r="E560" s="81"/>
    </row>
    <row r="561">
      <c r="D561" s="39"/>
      <c r="E561" s="81"/>
    </row>
    <row r="562">
      <c r="D562" s="39"/>
      <c r="E562" s="81"/>
    </row>
    <row r="563">
      <c r="D563" s="39"/>
      <c r="E563" s="81"/>
    </row>
    <row r="564">
      <c r="D564" s="39"/>
      <c r="E564" s="81"/>
    </row>
    <row r="565">
      <c r="D565" s="39"/>
      <c r="E565" s="81"/>
    </row>
    <row r="566">
      <c r="D566" s="39"/>
      <c r="E566" s="81"/>
    </row>
    <row r="567">
      <c r="D567" s="39"/>
      <c r="E567" s="81"/>
    </row>
    <row r="568">
      <c r="D568" s="39"/>
      <c r="E568" s="81"/>
    </row>
    <row r="569">
      <c r="D569" s="39"/>
      <c r="E569" s="81"/>
    </row>
    <row r="570">
      <c r="D570" s="39"/>
      <c r="E570" s="81"/>
    </row>
    <row r="571">
      <c r="D571" s="39"/>
      <c r="E571" s="81"/>
    </row>
    <row r="572">
      <c r="D572" s="39"/>
      <c r="E572" s="81"/>
    </row>
    <row r="573">
      <c r="D573" s="39"/>
      <c r="E573" s="81"/>
    </row>
    <row r="574">
      <c r="D574" s="39"/>
      <c r="E574" s="81"/>
    </row>
    <row r="575">
      <c r="D575" s="39"/>
      <c r="E575" s="81"/>
    </row>
    <row r="576">
      <c r="D576" s="39"/>
      <c r="E576" s="81"/>
    </row>
    <row r="577">
      <c r="D577" s="39"/>
      <c r="E577" s="81"/>
    </row>
    <row r="578">
      <c r="D578" s="39"/>
      <c r="E578" s="81"/>
    </row>
    <row r="579">
      <c r="D579" s="39"/>
      <c r="E579" s="81"/>
    </row>
    <row r="580">
      <c r="D580" s="39"/>
      <c r="E580" s="81"/>
    </row>
    <row r="581">
      <c r="D581" s="39"/>
      <c r="E581" s="81"/>
    </row>
    <row r="582">
      <c r="D582" s="39"/>
      <c r="E582" s="81"/>
    </row>
    <row r="583">
      <c r="D583" s="39"/>
      <c r="E583" s="81"/>
    </row>
    <row r="584">
      <c r="D584" s="39"/>
      <c r="E584" s="81"/>
    </row>
    <row r="585">
      <c r="D585" s="39"/>
      <c r="E585" s="81"/>
    </row>
    <row r="586">
      <c r="D586" s="39"/>
      <c r="E586" s="81"/>
    </row>
    <row r="587">
      <c r="D587" s="39"/>
      <c r="E587" s="81"/>
    </row>
    <row r="588">
      <c r="D588" s="39"/>
      <c r="E588" s="81"/>
    </row>
    <row r="589">
      <c r="D589" s="39"/>
      <c r="E589" s="81"/>
    </row>
    <row r="590">
      <c r="D590" s="39"/>
      <c r="E590" s="81"/>
    </row>
    <row r="591">
      <c r="D591" s="39"/>
      <c r="E591" s="81"/>
    </row>
    <row r="592">
      <c r="D592" s="39"/>
      <c r="E592" s="81"/>
    </row>
    <row r="593">
      <c r="D593" s="39"/>
      <c r="E593" s="81"/>
    </row>
    <row r="594">
      <c r="D594" s="39"/>
      <c r="E594" s="81"/>
    </row>
    <row r="595">
      <c r="D595" s="39"/>
      <c r="E595" s="81"/>
    </row>
    <row r="596">
      <c r="D596" s="39"/>
      <c r="E596" s="81"/>
    </row>
    <row r="597">
      <c r="D597" s="39"/>
      <c r="E597" s="81"/>
    </row>
    <row r="598">
      <c r="D598" s="39"/>
      <c r="E598" s="81"/>
    </row>
    <row r="599">
      <c r="D599" s="39"/>
      <c r="E599" s="81"/>
    </row>
    <row r="600">
      <c r="D600" s="39"/>
      <c r="E600" s="81"/>
    </row>
    <row r="601">
      <c r="D601" s="39"/>
      <c r="E601" s="81"/>
    </row>
    <row r="602">
      <c r="D602" s="39"/>
      <c r="E602" s="81"/>
    </row>
    <row r="603">
      <c r="D603" s="39"/>
      <c r="E603" s="81"/>
    </row>
    <row r="604">
      <c r="D604" s="39"/>
      <c r="E604" s="81"/>
    </row>
    <row r="605">
      <c r="D605" s="39"/>
      <c r="E605" s="81"/>
    </row>
    <row r="606">
      <c r="D606" s="39"/>
      <c r="E606" s="81"/>
    </row>
    <row r="607">
      <c r="D607" s="39"/>
      <c r="E607" s="81"/>
    </row>
    <row r="608">
      <c r="D608" s="39"/>
      <c r="E608" s="81"/>
    </row>
    <row r="609">
      <c r="D609" s="39"/>
      <c r="E609" s="81"/>
    </row>
    <row r="610">
      <c r="D610" s="39"/>
      <c r="E610" s="81"/>
    </row>
    <row r="611">
      <c r="D611" s="39"/>
      <c r="E611" s="81"/>
    </row>
    <row r="612">
      <c r="D612" s="39"/>
      <c r="E612" s="81"/>
    </row>
    <row r="613">
      <c r="D613" s="39"/>
      <c r="E613" s="81"/>
    </row>
    <row r="614">
      <c r="D614" s="39"/>
      <c r="E614" s="81"/>
    </row>
    <row r="615">
      <c r="D615" s="39"/>
      <c r="E615" s="81"/>
    </row>
    <row r="616">
      <c r="D616" s="39"/>
      <c r="E616" s="81"/>
    </row>
    <row r="617">
      <c r="D617" s="39"/>
      <c r="E617" s="81"/>
    </row>
    <row r="618">
      <c r="D618" s="39"/>
      <c r="E618" s="81"/>
    </row>
    <row r="619">
      <c r="D619" s="39"/>
      <c r="E619" s="81"/>
    </row>
    <row r="620">
      <c r="D620" s="39"/>
      <c r="E620" s="81"/>
    </row>
    <row r="621">
      <c r="D621" s="39"/>
      <c r="E621" s="81"/>
    </row>
    <row r="622">
      <c r="D622" s="39"/>
      <c r="E622" s="81"/>
    </row>
    <row r="623">
      <c r="D623" s="39"/>
      <c r="E623" s="81"/>
    </row>
    <row r="624">
      <c r="D624" s="39"/>
      <c r="E624" s="81"/>
    </row>
    <row r="625">
      <c r="D625" s="39"/>
      <c r="E625" s="81"/>
    </row>
    <row r="626">
      <c r="D626" s="39"/>
      <c r="E626" s="81"/>
    </row>
    <row r="627">
      <c r="D627" s="39"/>
      <c r="E627" s="81"/>
    </row>
    <row r="628">
      <c r="D628" s="39"/>
      <c r="E628" s="81"/>
    </row>
    <row r="629">
      <c r="D629" s="39"/>
      <c r="E629" s="81"/>
    </row>
    <row r="630">
      <c r="D630" s="39"/>
      <c r="E630" s="81"/>
    </row>
    <row r="631">
      <c r="D631" s="39"/>
      <c r="E631" s="81"/>
    </row>
    <row r="632">
      <c r="D632" s="39"/>
      <c r="E632" s="81"/>
    </row>
    <row r="633">
      <c r="D633" s="39"/>
      <c r="E633" s="81"/>
    </row>
    <row r="634">
      <c r="D634" s="39"/>
      <c r="E634" s="81"/>
    </row>
    <row r="635">
      <c r="D635" s="39"/>
      <c r="E635" s="81"/>
    </row>
    <row r="636">
      <c r="D636" s="39"/>
      <c r="E636" s="81"/>
    </row>
    <row r="637">
      <c r="D637" s="39"/>
      <c r="E637" s="81"/>
    </row>
    <row r="638">
      <c r="D638" s="39"/>
      <c r="E638" s="81"/>
    </row>
    <row r="639">
      <c r="D639" s="39"/>
      <c r="E639" s="81"/>
    </row>
    <row r="640">
      <c r="D640" s="39"/>
      <c r="E640" s="81"/>
    </row>
    <row r="641">
      <c r="D641" s="39"/>
      <c r="E641" s="81"/>
    </row>
    <row r="642">
      <c r="D642" s="39"/>
      <c r="E642" s="81"/>
    </row>
    <row r="643">
      <c r="D643" s="39"/>
      <c r="E643" s="81"/>
    </row>
    <row r="644">
      <c r="D644" s="39"/>
      <c r="E644" s="81"/>
    </row>
    <row r="645">
      <c r="D645" s="39"/>
      <c r="E645" s="81"/>
    </row>
    <row r="646">
      <c r="D646" s="39"/>
      <c r="E646" s="81"/>
    </row>
    <row r="647">
      <c r="D647" s="39"/>
      <c r="E647" s="81"/>
    </row>
    <row r="648">
      <c r="D648" s="39"/>
      <c r="E648" s="81"/>
    </row>
    <row r="649">
      <c r="D649" s="39"/>
      <c r="E649" s="81"/>
    </row>
    <row r="650">
      <c r="D650" s="39"/>
      <c r="E650" s="81"/>
    </row>
    <row r="651">
      <c r="D651" s="39"/>
      <c r="E651" s="81"/>
    </row>
    <row r="652">
      <c r="D652" s="39"/>
      <c r="E652" s="81"/>
    </row>
    <row r="653">
      <c r="D653" s="39"/>
      <c r="E653" s="81"/>
    </row>
    <row r="654">
      <c r="D654" s="39"/>
      <c r="E654" s="81"/>
    </row>
    <row r="655">
      <c r="D655" s="39"/>
      <c r="E655" s="81"/>
    </row>
    <row r="656">
      <c r="D656" s="39"/>
      <c r="E656" s="81"/>
    </row>
    <row r="657">
      <c r="D657" s="39"/>
      <c r="E657" s="81"/>
    </row>
    <row r="658">
      <c r="D658" s="39"/>
      <c r="E658" s="81"/>
    </row>
    <row r="659">
      <c r="D659" s="39"/>
      <c r="E659" s="81"/>
    </row>
    <row r="660">
      <c r="D660" s="39"/>
      <c r="E660" s="81"/>
    </row>
    <row r="661">
      <c r="D661" s="39"/>
      <c r="E661" s="81"/>
    </row>
    <row r="662">
      <c r="D662" s="39"/>
      <c r="E662" s="81"/>
    </row>
    <row r="663">
      <c r="D663" s="39"/>
      <c r="E663" s="81"/>
    </row>
    <row r="664">
      <c r="D664" s="39"/>
      <c r="E664" s="81"/>
    </row>
    <row r="665">
      <c r="D665" s="39"/>
      <c r="E665" s="81"/>
    </row>
    <row r="666">
      <c r="D666" s="39"/>
      <c r="E666" s="81"/>
    </row>
    <row r="667">
      <c r="D667" s="39"/>
      <c r="E667" s="81"/>
    </row>
    <row r="668">
      <c r="D668" s="39"/>
      <c r="E668" s="81"/>
    </row>
    <row r="669">
      <c r="D669" s="39"/>
      <c r="E669" s="81"/>
    </row>
    <row r="670">
      <c r="D670" s="39"/>
      <c r="E670" s="81"/>
    </row>
    <row r="671">
      <c r="D671" s="39"/>
      <c r="E671" s="81"/>
    </row>
    <row r="672">
      <c r="D672" s="39"/>
      <c r="E672" s="81"/>
    </row>
    <row r="673">
      <c r="D673" s="39"/>
      <c r="E673" s="81"/>
    </row>
    <row r="674">
      <c r="D674" s="39"/>
      <c r="E674" s="81"/>
    </row>
    <row r="675">
      <c r="D675" s="39"/>
      <c r="E675" s="81"/>
    </row>
    <row r="676">
      <c r="D676" s="39"/>
      <c r="E676" s="81"/>
    </row>
    <row r="677">
      <c r="D677" s="39"/>
      <c r="E677" s="81"/>
    </row>
    <row r="678">
      <c r="D678" s="39"/>
      <c r="E678" s="81"/>
    </row>
    <row r="679">
      <c r="D679" s="39"/>
      <c r="E679" s="81"/>
    </row>
    <row r="680">
      <c r="D680" s="39"/>
      <c r="E680" s="81"/>
    </row>
    <row r="681">
      <c r="D681" s="39"/>
      <c r="E681" s="81"/>
    </row>
    <row r="682">
      <c r="D682" s="39"/>
      <c r="E682" s="81"/>
    </row>
    <row r="683">
      <c r="D683" s="39"/>
      <c r="E683" s="81"/>
    </row>
    <row r="684">
      <c r="D684" s="39"/>
      <c r="E684" s="81"/>
    </row>
    <row r="685">
      <c r="D685" s="39"/>
      <c r="E685" s="81"/>
    </row>
    <row r="686">
      <c r="D686" s="39"/>
      <c r="E686" s="81"/>
    </row>
    <row r="687">
      <c r="D687" s="39"/>
      <c r="E687" s="81"/>
    </row>
    <row r="688">
      <c r="D688" s="39"/>
      <c r="E688" s="81"/>
    </row>
    <row r="689">
      <c r="D689" s="39"/>
      <c r="E689" s="81"/>
    </row>
    <row r="690">
      <c r="D690" s="39"/>
      <c r="E690" s="81"/>
    </row>
    <row r="691">
      <c r="D691" s="39"/>
      <c r="E691" s="81"/>
    </row>
    <row r="692">
      <c r="D692" s="39"/>
      <c r="E692" s="81"/>
    </row>
    <row r="693">
      <c r="D693" s="39"/>
      <c r="E693" s="81"/>
    </row>
    <row r="694">
      <c r="D694" s="39"/>
      <c r="E694" s="81"/>
    </row>
    <row r="695">
      <c r="D695" s="39"/>
      <c r="E695" s="81"/>
    </row>
    <row r="696">
      <c r="D696" s="39"/>
      <c r="E696" s="81"/>
    </row>
    <row r="697">
      <c r="D697" s="39"/>
      <c r="E697" s="81"/>
    </row>
    <row r="698">
      <c r="D698" s="39"/>
      <c r="E698" s="81"/>
    </row>
    <row r="699">
      <c r="D699" s="39"/>
      <c r="E699" s="81"/>
    </row>
    <row r="700">
      <c r="D700" s="39"/>
      <c r="E700" s="81"/>
    </row>
    <row r="701">
      <c r="D701" s="39"/>
      <c r="E701" s="81"/>
    </row>
    <row r="702">
      <c r="D702" s="39"/>
      <c r="E702" s="81"/>
    </row>
    <row r="703">
      <c r="D703" s="39"/>
      <c r="E703" s="81"/>
    </row>
    <row r="704">
      <c r="D704" s="39"/>
      <c r="E704" s="81"/>
    </row>
    <row r="705">
      <c r="D705" s="39"/>
      <c r="E705" s="81"/>
    </row>
    <row r="706">
      <c r="D706" s="39"/>
      <c r="E706" s="81"/>
    </row>
    <row r="707">
      <c r="D707" s="39"/>
      <c r="E707" s="81"/>
    </row>
    <row r="708">
      <c r="D708" s="39"/>
      <c r="E708" s="81"/>
    </row>
    <row r="709">
      <c r="D709" s="39"/>
      <c r="E709" s="81"/>
    </row>
    <row r="710">
      <c r="D710" s="39"/>
      <c r="E710" s="81"/>
    </row>
    <row r="711">
      <c r="D711" s="39"/>
      <c r="E711" s="81"/>
    </row>
    <row r="712">
      <c r="D712" s="39"/>
      <c r="E712" s="81"/>
    </row>
    <row r="713">
      <c r="D713" s="39"/>
      <c r="E713" s="81"/>
    </row>
    <row r="714">
      <c r="D714" s="39"/>
      <c r="E714" s="81"/>
    </row>
    <row r="715">
      <c r="D715" s="39"/>
      <c r="E715" s="81"/>
    </row>
    <row r="716">
      <c r="D716" s="39"/>
      <c r="E716" s="81"/>
    </row>
    <row r="717">
      <c r="D717" s="39"/>
      <c r="E717" s="81"/>
    </row>
    <row r="718">
      <c r="D718" s="39"/>
      <c r="E718" s="81"/>
    </row>
    <row r="719">
      <c r="D719" s="39"/>
      <c r="E719" s="81"/>
    </row>
    <row r="720">
      <c r="D720" s="39"/>
      <c r="E720" s="81"/>
    </row>
    <row r="721">
      <c r="D721" s="39"/>
      <c r="E721" s="81"/>
    </row>
    <row r="722">
      <c r="D722" s="39"/>
      <c r="E722" s="81"/>
    </row>
    <row r="723">
      <c r="D723" s="39"/>
      <c r="E723" s="81"/>
    </row>
    <row r="724">
      <c r="D724" s="39"/>
      <c r="E724" s="81"/>
    </row>
    <row r="725">
      <c r="D725" s="39"/>
      <c r="E725" s="81"/>
    </row>
    <row r="726">
      <c r="D726" s="39"/>
      <c r="E726" s="81"/>
    </row>
    <row r="727">
      <c r="D727" s="39"/>
      <c r="E727" s="81"/>
    </row>
    <row r="728">
      <c r="D728" s="39"/>
      <c r="E728" s="81"/>
    </row>
    <row r="729">
      <c r="D729" s="39"/>
      <c r="E729" s="81"/>
    </row>
    <row r="730">
      <c r="D730" s="39"/>
      <c r="E730" s="81"/>
    </row>
    <row r="731">
      <c r="D731" s="39"/>
      <c r="E731" s="81"/>
    </row>
    <row r="732">
      <c r="D732" s="39"/>
      <c r="E732" s="81"/>
    </row>
    <row r="733">
      <c r="D733" s="39"/>
      <c r="E733" s="81"/>
    </row>
    <row r="734">
      <c r="D734" s="39"/>
      <c r="E734" s="81"/>
    </row>
    <row r="735">
      <c r="D735" s="39"/>
      <c r="E735" s="81"/>
    </row>
    <row r="736">
      <c r="D736" s="39"/>
      <c r="E736" s="81"/>
    </row>
    <row r="737">
      <c r="D737" s="39"/>
      <c r="E737" s="81"/>
    </row>
    <row r="738">
      <c r="D738" s="39"/>
      <c r="E738" s="81"/>
    </row>
    <row r="739">
      <c r="D739" s="39"/>
      <c r="E739" s="81"/>
    </row>
    <row r="740">
      <c r="D740" s="39"/>
      <c r="E740" s="81"/>
    </row>
    <row r="741">
      <c r="D741" s="39"/>
      <c r="E741" s="81"/>
    </row>
    <row r="742">
      <c r="D742" s="39"/>
      <c r="E742" s="81"/>
    </row>
    <row r="743">
      <c r="D743" s="39"/>
      <c r="E743" s="81"/>
    </row>
    <row r="744">
      <c r="D744" s="39"/>
      <c r="E744" s="81"/>
    </row>
    <row r="745">
      <c r="D745" s="39"/>
      <c r="E745" s="81"/>
    </row>
    <row r="746">
      <c r="D746" s="39"/>
      <c r="E746" s="81"/>
    </row>
    <row r="747">
      <c r="D747" s="39"/>
      <c r="E747" s="81"/>
    </row>
    <row r="748">
      <c r="D748" s="39"/>
      <c r="E748" s="81"/>
    </row>
    <row r="749">
      <c r="D749" s="39"/>
      <c r="E749" s="81"/>
    </row>
    <row r="750">
      <c r="D750" s="39"/>
      <c r="E750" s="81"/>
    </row>
    <row r="751">
      <c r="D751" s="39"/>
      <c r="E751" s="81"/>
    </row>
    <row r="752">
      <c r="D752" s="39"/>
      <c r="E752" s="81"/>
    </row>
    <row r="753">
      <c r="D753" s="39"/>
      <c r="E753" s="81"/>
    </row>
    <row r="754">
      <c r="D754" s="39"/>
      <c r="E754" s="81"/>
    </row>
    <row r="755">
      <c r="D755" s="39"/>
      <c r="E755" s="81"/>
    </row>
    <row r="756">
      <c r="D756" s="39"/>
      <c r="E756" s="81"/>
    </row>
    <row r="757">
      <c r="D757" s="39"/>
      <c r="E757" s="81"/>
    </row>
    <row r="758">
      <c r="D758" s="39"/>
      <c r="E758" s="81"/>
    </row>
    <row r="759">
      <c r="D759" s="39"/>
      <c r="E759" s="81"/>
    </row>
    <row r="760">
      <c r="D760" s="39"/>
      <c r="E760" s="81"/>
    </row>
    <row r="761">
      <c r="D761" s="39"/>
      <c r="E761" s="81"/>
    </row>
    <row r="762">
      <c r="D762" s="39"/>
      <c r="E762" s="81"/>
    </row>
    <row r="763">
      <c r="D763" s="39"/>
      <c r="E763" s="81"/>
    </row>
    <row r="764">
      <c r="D764" s="39"/>
      <c r="E764" s="81"/>
    </row>
    <row r="765">
      <c r="D765" s="39"/>
      <c r="E765" s="81"/>
    </row>
    <row r="766">
      <c r="D766" s="39"/>
      <c r="E766" s="81"/>
    </row>
    <row r="767">
      <c r="D767" s="39"/>
      <c r="E767" s="81"/>
    </row>
    <row r="768">
      <c r="D768" s="39"/>
      <c r="E768" s="81"/>
    </row>
    <row r="769">
      <c r="D769" s="39"/>
      <c r="E769" s="81"/>
    </row>
    <row r="770">
      <c r="D770" s="39"/>
      <c r="E770" s="81"/>
    </row>
    <row r="771">
      <c r="D771" s="39"/>
      <c r="E771" s="81"/>
    </row>
    <row r="772">
      <c r="D772" s="39"/>
      <c r="E772" s="81"/>
    </row>
    <row r="773">
      <c r="D773" s="39"/>
      <c r="E773" s="81"/>
    </row>
    <row r="774">
      <c r="D774" s="39"/>
      <c r="E774" s="81"/>
    </row>
    <row r="775">
      <c r="D775" s="39"/>
      <c r="E775" s="81"/>
    </row>
    <row r="776">
      <c r="D776" s="39"/>
      <c r="E776" s="81"/>
    </row>
    <row r="777">
      <c r="D777" s="39"/>
      <c r="E777" s="81"/>
    </row>
    <row r="778">
      <c r="D778" s="39"/>
      <c r="E778" s="81"/>
    </row>
    <row r="779">
      <c r="D779" s="39"/>
      <c r="E779" s="81"/>
    </row>
    <row r="780">
      <c r="D780" s="39"/>
      <c r="E780" s="81"/>
    </row>
    <row r="781">
      <c r="D781" s="39"/>
      <c r="E781" s="81"/>
    </row>
    <row r="782">
      <c r="D782" s="39"/>
      <c r="E782" s="81"/>
    </row>
    <row r="783">
      <c r="D783" s="39"/>
      <c r="E783" s="81"/>
    </row>
    <row r="784">
      <c r="D784" s="39"/>
      <c r="E784" s="81"/>
    </row>
    <row r="785">
      <c r="D785" s="39"/>
      <c r="E785" s="81"/>
    </row>
    <row r="786">
      <c r="D786" s="39"/>
      <c r="E786" s="81"/>
    </row>
    <row r="787">
      <c r="D787" s="39"/>
      <c r="E787" s="81"/>
    </row>
    <row r="788">
      <c r="D788" s="39"/>
      <c r="E788" s="81"/>
    </row>
    <row r="789">
      <c r="D789" s="39"/>
      <c r="E789" s="81"/>
    </row>
    <row r="790">
      <c r="D790" s="39"/>
      <c r="E790" s="81"/>
    </row>
    <row r="791">
      <c r="D791" s="39"/>
      <c r="E791" s="81"/>
    </row>
    <row r="792">
      <c r="D792" s="39"/>
      <c r="E792" s="81"/>
    </row>
    <row r="793">
      <c r="D793" s="39"/>
      <c r="E793" s="81"/>
    </row>
    <row r="794">
      <c r="D794" s="39"/>
      <c r="E794" s="81"/>
    </row>
    <row r="795">
      <c r="D795" s="39"/>
      <c r="E795" s="81"/>
    </row>
    <row r="796">
      <c r="D796" s="39"/>
      <c r="E796" s="81"/>
    </row>
    <row r="797">
      <c r="D797" s="39"/>
      <c r="E797" s="81"/>
    </row>
    <row r="798">
      <c r="D798" s="39"/>
      <c r="E798" s="81"/>
    </row>
    <row r="799">
      <c r="D799" s="39"/>
      <c r="E799" s="81"/>
    </row>
    <row r="800">
      <c r="D800" s="39"/>
      <c r="E800" s="81"/>
    </row>
    <row r="801">
      <c r="D801" s="39"/>
      <c r="E801" s="81"/>
    </row>
    <row r="802">
      <c r="D802" s="39"/>
      <c r="E802" s="81"/>
    </row>
    <row r="803">
      <c r="D803" s="39"/>
      <c r="E803" s="81"/>
    </row>
    <row r="804">
      <c r="D804" s="39"/>
      <c r="E804" s="81"/>
    </row>
    <row r="805">
      <c r="D805" s="39"/>
      <c r="E805" s="81"/>
    </row>
    <row r="806">
      <c r="D806" s="39"/>
      <c r="E806" s="81"/>
    </row>
    <row r="807">
      <c r="D807" s="39"/>
      <c r="E807" s="81"/>
    </row>
    <row r="808">
      <c r="D808" s="39"/>
      <c r="E808" s="81"/>
    </row>
    <row r="809">
      <c r="D809" s="39"/>
      <c r="E809" s="81"/>
    </row>
    <row r="810">
      <c r="D810" s="39"/>
      <c r="E810" s="81"/>
    </row>
    <row r="811">
      <c r="D811" s="39"/>
      <c r="E811" s="81"/>
    </row>
    <row r="812">
      <c r="D812" s="39"/>
      <c r="E812" s="81"/>
    </row>
    <row r="813">
      <c r="D813" s="39"/>
      <c r="E813" s="81"/>
    </row>
    <row r="814">
      <c r="D814" s="39"/>
      <c r="E814" s="81"/>
    </row>
    <row r="815">
      <c r="D815" s="39"/>
      <c r="E815" s="81"/>
    </row>
    <row r="816">
      <c r="D816" s="39"/>
      <c r="E816" s="81"/>
    </row>
    <row r="817">
      <c r="D817" s="39"/>
      <c r="E817" s="81"/>
    </row>
    <row r="818">
      <c r="D818" s="39"/>
      <c r="E818" s="81"/>
    </row>
    <row r="819">
      <c r="D819" s="39"/>
      <c r="E819" s="81"/>
    </row>
    <row r="820">
      <c r="D820" s="39"/>
      <c r="E820" s="81"/>
    </row>
    <row r="821">
      <c r="D821" s="39"/>
      <c r="E821" s="81"/>
    </row>
    <row r="822">
      <c r="D822" s="39"/>
      <c r="E822" s="81"/>
    </row>
    <row r="823">
      <c r="D823" s="39"/>
      <c r="E823" s="81"/>
    </row>
    <row r="824">
      <c r="D824" s="39"/>
      <c r="E824" s="81"/>
    </row>
    <row r="825">
      <c r="D825" s="39"/>
      <c r="E825" s="81"/>
    </row>
    <row r="826">
      <c r="D826" s="39"/>
      <c r="E826" s="81"/>
    </row>
    <row r="827">
      <c r="D827" s="39"/>
      <c r="E827" s="81"/>
    </row>
    <row r="828">
      <c r="D828" s="39"/>
      <c r="E828" s="81"/>
    </row>
    <row r="829">
      <c r="D829" s="39"/>
      <c r="E829" s="81"/>
    </row>
    <row r="830">
      <c r="D830" s="39"/>
      <c r="E830" s="81"/>
    </row>
    <row r="831">
      <c r="D831" s="39"/>
      <c r="E831" s="81"/>
    </row>
    <row r="832">
      <c r="D832" s="39"/>
      <c r="E832" s="81"/>
    </row>
    <row r="833">
      <c r="D833" s="39"/>
      <c r="E833" s="81"/>
    </row>
    <row r="834">
      <c r="D834" s="39"/>
      <c r="E834" s="81"/>
    </row>
    <row r="835">
      <c r="D835" s="39"/>
      <c r="E835" s="81"/>
    </row>
    <row r="836">
      <c r="D836" s="39"/>
      <c r="E836" s="81"/>
    </row>
    <row r="837">
      <c r="D837" s="39"/>
      <c r="E837" s="81"/>
    </row>
    <row r="838">
      <c r="D838" s="39"/>
      <c r="E838" s="81"/>
    </row>
    <row r="839">
      <c r="D839" s="39"/>
      <c r="E839" s="81"/>
    </row>
    <row r="840">
      <c r="D840" s="39"/>
      <c r="E840" s="81"/>
    </row>
    <row r="841">
      <c r="D841" s="39"/>
      <c r="E841" s="81"/>
    </row>
    <row r="842">
      <c r="D842" s="39"/>
      <c r="E842" s="81"/>
    </row>
    <row r="843">
      <c r="D843" s="39"/>
      <c r="E843" s="81"/>
    </row>
    <row r="844">
      <c r="D844" s="39"/>
      <c r="E844" s="81"/>
    </row>
    <row r="845">
      <c r="D845" s="39"/>
      <c r="E845" s="81"/>
    </row>
    <row r="846">
      <c r="D846" s="39"/>
      <c r="E846" s="81"/>
    </row>
    <row r="847">
      <c r="D847" s="39"/>
      <c r="E847" s="81"/>
    </row>
    <row r="848">
      <c r="D848" s="39"/>
      <c r="E848" s="81"/>
    </row>
    <row r="849">
      <c r="D849" s="39"/>
      <c r="E849" s="81"/>
    </row>
    <row r="850">
      <c r="D850" s="39"/>
      <c r="E850" s="81"/>
    </row>
    <row r="851">
      <c r="D851" s="39"/>
      <c r="E851" s="81"/>
    </row>
    <row r="852">
      <c r="D852" s="39"/>
      <c r="E852" s="81"/>
    </row>
    <row r="853">
      <c r="D853" s="39"/>
      <c r="E853" s="81"/>
    </row>
    <row r="854">
      <c r="D854" s="39"/>
      <c r="E854" s="81"/>
    </row>
    <row r="855">
      <c r="D855" s="39"/>
      <c r="E855" s="81"/>
    </row>
    <row r="856">
      <c r="D856" s="39"/>
      <c r="E856" s="81"/>
    </row>
    <row r="857">
      <c r="D857" s="39"/>
      <c r="E857" s="81"/>
    </row>
    <row r="858">
      <c r="D858" s="39"/>
      <c r="E858" s="81"/>
    </row>
    <row r="859">
      <c r="D859" s="39"/>
      <c r="E859" s="81"/>
    </row>
    <row r="860">
      <c r="D860" s="39"/>
      <c r="E860" s="81"/>
    </row>
    <row r="861">
      <c r="D861" s="39"/>
      <c r="E861" s="81"/>
    </row>
    <row r="862">
      <c r="D862" s="39"/>
      <c r="E862" s="81"/>
    </row>
    <row r="863">
      <c r="D863" s="39"/>
      <c r="E863" s="81"/>
    </row>
    <row r="864">
      <c r="D864" s="39"/>
      <c r="E864" s="81"/>
    </row>
    <row r="865">
      <c r="D865" s="39"/>
      <c r="E865" s="81"/>
    </row>
    <row r="866">
      <c r="D866" s="39"/>
      <c r="E866" s="81"/>
    </row>
    <row r="867">
      <c r="D867" s="39"/>
      <c r="E867" s="81"/>
    </row>
    <row r="868">
      <c r="D868" s="39"/>
      <c r="E868" s="81"/>
    </row>
    <row r="869">
      <c r="D869" s="39"/>
      <c r="E869" s="81"/>
    </row>
    <row r="870">
      <c r="D870" s="39"/>
      <c r="E870" s="81"/>
    </row>
    <row r="871">
      <c r="D871" s="39"/>
      <c r="E871" s="81"/>
    </row>
    <row r="872">
      <c r="D872" s="39"/>
      <c r="E872" s="81"/>
    </row>
    <row r="873">
      <c r="D873" s="39"/>
      <c r="E873" s="81"/>
    </row>
    <row r="874">
      <c r="D874" s="39"/>
      <c r="E874" s="81"/>
    </row>
    <row r="875">
      <c r="D875" s="39"/>
      <c r="E875" s="81"/>
    </row>
    <row r="876">
      <c r="D876" s="39"/>
      <c r="E876" s="81"/>
    </row>
    <row r="877">
      <c r="D877" s="39"/>
      <c r="E877" s="81"/>
    </row>
    <row r="878">
      <c r="D878" s="39"/>
      <c r="E878" s="81"/>
    </row>
    <row r="879">
      <c r="D879" s="39"/>
      <c r="E879" s="81"/>
    </row>
    <row r="880">
      <c r="D880" s="39"/>
      <c r="E880" s="81"/>
    </row>
    <row r="881">
      <c r="D881" s="39"/>
      <c r="E881" s="81"/>
    </row>
    <row r="882">
      <c r="D882" s="39"/>
      <c r="E882" s="81"/>
    </row>
    <row r="883">
      <c r="D883" s="39"/>
      <c r="E883" s="81"/>
    </row>
    <row r="884">
      <c r="D884" s="39"/>
      <c r="E884" s="81"/>
    </row>
    <row r="885">
      <c r="D885" s="39"/>
      <c r="E885" s="81"/>
    </row>
    <row r="886">
      <c r="D886" s="39"/>
      <c r="E886" s="81"/>
    </row>
    <row r="887">
      <c r="D887" s="39"/>
      <c r="E887" s="81"/>
    </row>
    <row r="888">
      <c r="D888" s="39"/>
      <c r="E888" s="81"/>
    </row>
    <row r="889">
      <c r="D889" s="39"/>
      <c r="E889" s="81"/>
    </row>
    <row r="890">
      <c r="D890" s="39"/>
      <c r="E890" s="81"/>
    </row>
    <row r="891">
      <c r="D891" s="39"/>
      <c r="E891" s="81"/>
    </row>
    <row r="892">
      <c r="D892" s="39"/>
      <c r="E892" s="81"/>
    </row>
    <row r="893">
      <c r="D893" s="39"/>
      <c r="E893" s="81"/>
    </row>
    <row r="894">
      <c r="D894" s="39"/>
      <c r="E894" s="81"/>
    </row>
    <row r="895">
      <c r="D895" s="39"/>
      <c r="E895" s="81"/>
    </row>
    <row r="896">
      <c r="D896" s="39"/>
      <c r="E896" s="81"/>
    </row>
    <row r="897">
      <c r="D897" s="39"/>
      <c r="E897" s="81"/>
    </row>
    <row r="898">
      <c r="D898" s="39"/>
      <c r="E898" s="81"/>
    </row>
    <row r="899">
      <c r="D899" s="39"/>
      <c r="E899" s="81"/>
    </row>
    <row r="900">
      <c r="D900" s="39"/>
      <c r="E900" s="81"/>
    </row>
    <row r="901">
      <c r="D901" s="39"/>
      <c r="E901" s="81"/>
    </row>
    <row r="902">
      <c r="D902" s="39"/>
      <c r="E902" s="81"/>
    </row>
    <row r="903">
      <c r="D903" s="39"/>
      <c r="E903" s="81"/>
    </row>
    <row r="904">
      <c r="D904" s="39"/>
      <c r="E904" s="81"/>
    </row>
    <row r="905">
      <c r="D905" s="39"/>
      <c r="E905" s="81"/>
    </row>
    <row r="906">
      <c r="D906" s="39"/>
      <c r="E906" s="81"/>
    </row>
    <row r="907">
      <c r="D907" s="39"/>
      <c r="E907" s="81"/>
    </row>
    <row r="908">
      <c r="D908" s="39"/>
      <c r="E908" s="81"/>
    </row>
    <row r="909">
      <c r="D909" s="39"/>
      <c r="E909" s="81"/>
    </row>
    <row r="910">
      <c r="D910" s="39"/>
      <c r="E910" s="81"/>
    </row>
    <row r="911">
      <c r="D911" s="39"/>
      <c r="E911" s="81"/>
    </row>
    <row r="912">
      <c r="D912" s="39"/>
      <c r="E912" s="81"/>
    </row>
    <row r="913">
      <c r="D913" s="39"/>
      <c r="E913" s="81"/>
    </row>
    <row r="914">
      <c r="D914" s="39"/>
      <c r="E914" s="81"/>
    </row>
    <row r="915">
      <c r="D915" s="39"/>
      <c r="E915" s="81"/>
    </row>
    <row r="916">
      <c r="D916" s="39"/>
      <c r="E916" s="81"/>
    </row>
    <row r="917">
      <c r="D917" s="39"/>
      <c r="E917" s="81"/>
    </row>
    <row r="918">
      <c r="D918" s="39"/>
      <c r="E918" s="81"/>
    </row>
    <row r="919">
      <c r="D919" s="39"/>
      <c r="E919" s="81"/>
    </row>
    <row r="920">
      <c r="D920" s="39"/>
      <c r="E920" s="81"/>
    </row>
    <row r="921">
      <c r="D921" s="39"/>
      <c r="E921" s="81"/>
    </row>
    <row r="922">
      <c r="D922" s="39"/>
      <c r="E922" s="81"/>
    </row>
    <row r="923">
      <c r="D923" s="39"/>
      <c r="E923" s="81"/>
    </row>
    <row r="924">
      <c r="D924" s="39"/>
      <c r="E924" s="81"/>
    </row>
    <row r="925">
      <c r="D925" s="39"/>
      <c r="E925" s="81"/>
    </row>
    <row r="926">
      <c r="D926" s="39"/>
      <c r="E926" s="81"/>
    </row>
    <row r="927">
      <c r="D927" s="39"/>
      <c r="E927" s="81"/>
    </row>
    <row r="928">
      <c r="D928" s="39"/>
      <c r="E928" s="81"/>
    </row>
    <row r="929">
      <c r="D929" s="39"/>
      <c r="E929" s="81"/>
    </row>
    <row r="930">
      <c r="D930" s="39"/>
      <c r="E930" s="81"/>
    </row>
    <row r="931">
      <c r="D931" s="39"/>
      <c r="E931" s="81"/>
    </row>
    <row r="932">
      <c r="D932" s="39"/>
      <c r="E932" s="81"/>
    </row>
    <row r="933">
      <c r="D933" s="39"/>
      <c r="E933" s="81"/>
    </row>
    <row r="934">
      <c r="D934" s="39"/>
      <c r="E934" s="81"/>
    </row>
    <row r="935">
      <c r="D935" s="39"/>
      <c r="E935" s="81"/>
    </row>
    <row r="936">
      <c r="D936" s="39"/>
      <c r="E936" s="81"/>
    </row>
    <row r="937">
      <c r="D937" s="39"/>
      <c r="E937" s="81"/>
    </row>
    <row r="938">
      <c r="D938" s="39"/>
      <c r="E938" s="81"/>
    </row>
    <row r="939">
      <c r="D939" s="39"/>
      <c r="E939" s="81"/>
    </row>
    <row r="940">
      <c r="D940" s="39"/>
      <c r="E940" s="81"/>
    </row>
    <row r="941">
      <c r="D941" s="39"/>
      <c r="E941" s="81"/>
    </row>
    <row r="942">
      <c r="D942" s="39"/>
      <c r="E942" s="81"/>
    </row>
    <row r="943">
      <c r="D943" s="39"/>
      <c r="E943" s="81"/>
    </row>
    <row r="944">
      <c r="D944" s="39"/>
      <c r="E944" s="81"/>
    </row>
    <row r="945">
      <c r="D945" s="39"/>
      <c r="E945" s="81"/>
    </row>
    <row r="946">
      <c r="D946" s="39"/>
      <c r="E946" s="81"/>
    </row>
    <row r="947">
      <c r="D947" s="39"/>
      <c r="E947" s="81"/>
    </row>
    <row r="948">
      <c r="D948" s="39"/>
      <c r="E948" s="81"/>
    </row>
    <row r="949">
      <c r="D949" s="39"/>
      <c r="E949" s="81"/>
    </row>
    <row r="950">
      <c r="D950" s="39"/>
      <c r="E950" s="81"/>
    </row>
    <row r="951">
      <c r="D951" s="39"/>
      <c r="E951" s="81"/>
    </row>
    <row r="952">
      <c r="D952" s="39"/>
      <c r="E952" s="81"/>
    </row>
    <row r="953">
      <c r="D953" s="39"/>
      <c r="E953" s="81"/>
    </row>
    <row r="954">
      <c r="D954" s="39"/>
      <c r="E954" s="81"/>
    </row>
    <row r="955">
      <c r="D955" s="39"/>
      <c r="E955" s="81"/>
    </row>
    <row r="956">
      <c r="D956" s="39"/>
      <c r="E956" s="81"/>
    </row>
    <row r="957">
      <c r="D957" s="39"/>
      <c r="E957" s="81"/>
    </row>
    <row r="958">
      <c r="D958" s="39"/>
      <c r="E958" s="81"/>
    </row>
    <row r="959">
      <c r="D959" s="39"/>
      <c r="E959" s="81"/>
    </row>
    <row r="960">
      <c r="D960" s="39"/>
      <c r="E960" s="81"/>
    </row>
    <row r="961">
      <c r="D961" s="39"/>
      <c r="E961" s="81"/>
    </row>
    <row r="962">
      <c r="D962" s="39"/>
      <c r="E962" s="81"/>
    </row>
    <row r="963">
      <c r="D963" s="39"/>
      <c r="E963" s="81"/>
    </row>
    <row r="964">
      <c r="D964" s="39"/>
      <c r="E964" s="81"/>
    </row>
    <row r="965">
      <c r="D965" s="39"/>
      <c r="E965" s="81"/>
    </row>
    <row r="966">
      <c r="D966" s="39"/>
      <c r="E966" s="81"/>
    </row>
    <row r="967">
      <c r="D967" s="39"/>
      <c r="E967" s="81"/>
    </row>
    <row r="968">
      <c r="D968" s="39"/>
      <c r="E968" s="81"/>
    </row>
    <row r="969">
      <c r="D969" s="39"/>
      <c r="E969" s="81"/>
    </row>
    <row r="970">
      <c r="D970" s="39"/>
      <c r="E970" s="81"/>
    </row>
    <row r="971">
      <c r="D971" s="39"/>
      <c r="E971" s="81"/>
    </row>
    <row r="972">
      <c r="D972" s="39"/>
      <c r="E972" s="81"/>
    </row>
    <row r="973">
      <c r="D973" s="39"/>
      <c r="E973" s="81"/>
    </row>
    <row r="974">
      <c r="D974" s="39"/>
      <c r="E974" s="81"/>
    </row>
    <row r="975">
      <c r="D975" s="39"/>
      <c r="E975" s="81"/>
    </row>
    <row r="976">
      <c r="D976" s="39"/>
      <c r="E976" s="81"/>
    </row>
    <row r="977">
      <c r="D977" s="39"/>
      <c r="E977" s="81"/>
    </row>
    <row r="978">
      <c r="D978" s="39"/>
      <c r="E978" s="81"/>
    </row>
    <row r="979">
      <c r="D979" s="39"/>
      <c r="E979" s="81"/>
    </row>
    <row r="980">
      <c r="D980" s="39"/>
      <c r="E980" s="81"/>
    </row>
    <row r="981">
      <c r="D981" s="39"/>
      <c r="E981" s="81"/>
    </row>
    <row r="982">
      <c r="D982" s="39"/>
      <c r="E982" s="81"/>
    </row>
    <row r="983">
      <c r="D983" s="39"/>
      <c r="E983" s="81"/>
    </row>
    <row r="984">
      <c r="D984" s="39"/>
      <c r="E984" s="81"/>
    </row>
    <row r="985">
      <c r="D985" s="39"/>
      <c r="E985" s="81"/>
    </row>
    <row r="986">
      <c r="D986" s="39"/>
      <c r="E986" s="81"/>
    </row>
    <row r="987">
      <c r="D987" s="39"/>
      <c r="E987" s="81"/>
    </row>
    <row r="988">
      <c r="D988" s="39"/>
      <c r="E988" s="81"/>
    </row>
    <row r="989">
      <c r="D989" s="39"/>
      <c r="E989" s="81"/>
    </row>
    <row r="990">
      <c r="D990" s="39"/>
      <c r="E990" s="81"/>
    </row>
    <row r="991">
      <c r="D991" s="39"/>
      <c r="E991" s="81"/>
    </row>
    <row r="992">
      <c r="D992" s="39"/>
      <c r="E992" s="81"/>
    </row>
    <row r="993">
      <c r="D993" s="39"/>
      <c r="E993" s="81"/>
    </row>
    <row r="994">
      <c r="D994" s="39"/>
      <c r="E994" s="81"/>
    </row>
    <row r="995">
      <c r="D995" s="39"/>
      <c r="E995" s="81"/>
    </row>
    <row r="996">
      <c r="D996" s="39"/>
      <c r="E996" s="81"/>
    </row>
    <row r="997">
      <c r="D997" s="39"/>
      <c r="E997" s="81"/>
    </row>
    <row r="998">
      <c r="D998" s="39"/>
      <c r="E998" s="81"/>
    </row>
    <row r="999">
      <c r="D999" s="39"/>
      <c r="E999" s="81"/>
    </row>
    <row r="1000">
      <c r="D1000" s="39"/>
      <c r="E1000" s="81"/>
    </row>
  </sheetData>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1.38"/>
  </cols>
  <sheetData>
    <row r="1"/>
    <row r="2">
      <c r="E2" s="39">
        <f> LARGE(B:B,1)</f>
        <v>2330</v>
      </c>
    </row>
    <row r="3"/>
    <row r="4"/>
    <row r="5">
      <c r="E5" s="39" t="str">
        <f>IFERROR(__xludf.DUMMYFUNCTION("Query(A:C,""select A, C order by C desc limit 3"")"),"Product Description")</f>
        <v>Product Description</v>
      </c>
      <c r="F5" s="39" t="str">
        <f>IFERROR(__xludf.DUMMYFUNCTION("""COMPUTED_VALUE"""),"SUM of Sales USD")</f>
        <v>SUM of Sales USD</v>
      </c>
    </row>
    <row r="6">
      <c r="E6" s="39" t="str">
        <f>IFERROR(__xludf.DUMMYFUNCTION("""COMPUTED_VALUE"""),"Smartphone case diamond")</f>
        <v>Smartphone case diamond</v>
      </c>
      <c r="F6" s="81">
        <f>IFERROR(__xludf.DUMMYFUNCTION("""COMPUTED_VALUE"""),41560.0)</f>
        <v>41560</v>
      </c>
    </row>
    <row r="7">
      <c r="E7" s="39" t="str">
        <f>IFERROR(__xludf.DUMMYFUNCTION("""COMPUTED_VALUE"""),"Laptop bag red")</f>
        <v>Laptop bag red</v>
      </c>
      <c r="F7" s="81">
        <f>IFERROR(__xludf.DUMMYFUNCTION("""COMPUTED_VALUE"""),33170.0)</f>
        <v>33170</v>
      </c>
    </row>
    <row r="8">
      <c r="E8" s="39" t="str">
        <f>IFERROR(__xludf.DUMMYFUNCTION("""COMPUTED_VALUE"""),"Women type T simple black")</f>
        <v>Women type T simple black</v>
      </c>
      <c r="F8" s="81">
        <f>IFERROR(__xludf.DUMMYFUNCTION("""COMPUTED_VALUE"""),27960.0)</f>
        <v>27960</v>
      </c>
    </row>
    <row r="9"/>
    <row r="10"/>
    <row r="11"/>
    <row r="12"/>
    <row r="13"/>
    <row r="14"/>
    <row r="15"/>
    <row r="16"/>
    <row r="17"/>
  </sheetData>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5"/>
    <col customWidth="1" min="3" max="3" width="14.75"/>
    <col customWidth="1" min="4" max="4" width="18.63"/>
    <col customWidth="1" min="6" max="6" width="19.0"/>
    <col customWidth="1" min="10" max="10" width="21.25"/>
    <col customWidth="1" min="11" max="11" width="134.0"/>
  </cols>
  <sheetData>
    <row r="1">
      <c r="A1" s="20"/>
      <c r="B1" s="20"/>
      <c r="C1" s="20"/>
      <c r="D1" s="20"/>
      <c r="E1" s="20"/>
      <c r="F1" s="20"/>
      <c r="G1" s="20"/>
      <c r="H1" s="20"/>
      <c r="I1" s="20"/>
      <c r="J1" s="20"/>
      <c r="K1" s="21"/>
      <c r="L1" s="13"/>
      <c r="M1" s="13"/>
      <c r="N1" s="13"/>
      <c r="O1" s="13"/>
    </row>
    <row r="2">
      <c r="A2" s="22" t="s">
        <v>87</v>
      </c>
      <c r="B2" s="23"/>
      <c r="C2" s="23"/>
      <c r="D2" s="23"/>
      <c r="E2" s="23"/>
      <c r="F2" s="23"/>
      <c r="G2" s="23"/>
      <c r="H2" s="23"/>
      <c r="I2" s="23"/>
      <c r="J2" s="24"/>
      <c r="K2" s="21"/>
      <c r="L2" s="13"/>
      <c r="M2" s="13"/>
      <c r="N2" s="13"/>
      <c r="O2" s="13"/>
    </row>
    <row r="3">
      <c r="A3" s="22" t="s">
        <v>88</v>
      </c>
      <c r="B3" s="23"/>
      <c r="C3" s="23"/>
      <c r="D3" s="23"/>
      <c r="E3" s="23"/>
      <c r="F3" s="23"/>
      <c r="G3" s="23"/>
      <c r="H3" s="23"/>
      <c r="I3" s="23"/>
      <c r="J3" s="24"/>
      <c r="K3" s="21"/>
      <c r="L3" s="13"/>
      <c r="M3" s="13"/>
      <c r="N3" s="13"/>
      <c r="O3" s="13"/>
    </row>
    <row r="4">
      <c r="A4" s="20"/>
      <c r="B4" s="20"/>
      <c r="C4" s="20"/>
      <c r="D4" s="20"/>
      <c r="E4" s="20"/>
      <c r="F4" s="20"/>
      <c r="G4" s="20"/>
      <c r="H4" s="20"/>
      <c r="I4" s="20"/>
      <c r="J4" s="20"/>
      <c r="K4" s="21"/>
      <c r="L4" s="13"/>
      <c r="M4" s="13"/>
      <c r="N4" s="13"/>
      <c r="O4" s="13"/>
    </row>
    <row r="5">
      <c r="A5" s="25" t="s">
        <v>0</v>
      </c>
      <c r="B5" s="25" t="s">
        <v>89</v>
      </c>
      <c r="C5" s="25" t="s">
        <v>90</v>
      </c>
      <c r="D5" s="25" t="s">
        <v>91</v>
      </c>
      <c r="E5" s="25" t="s">
        <v>92</v>
      </c>
      <c r="F5" s="25" t="s">
        <v>93</v>
      </c>
      <c r="G5" s="25" t="s">
        <v>94</v>
      </c>
      <c r="H5" s="25" t="s">
        <v>95</v>
      </c>
      <c r="I5" s="25" t="s">
        <v>96</v>
      </c>
      <c r="J5" s="25" t="s">
        <v>97</v>
      </c>
      <c r="K5" s="21"/>
      <c r="L5" s="13"/>
      <c r="M5" s="13"/>
      <c r="N5" s="13"/>
      <c r="O5" s="13"/>
    </row>
    <row r="6">
      <c r="A6" s="5" t="s">
        <v>5</v>
      </c>
      <c r="B6" s="5">
        <v>27.0</v>
      </c>
      <c r="C6" s="5">
        <v>9.0</v>
      </c>
      <c r="D6" s="5">
        <v>32.0</v>
      </c>
      <c r="E6" s="5">
        <v>6.0</v>
      </c>
      <c r="F6" s="5">
        <v>56.0</v>
      </c>
      <c r="G6" s="5">
        <v>39.0</v>
      </c>
      <c r="H6" s="5">
        <v>55.0</v>
      </c>
      <c r="I6" s="4" t="str">
        <f t="shared" ref="I6:I178" si="1">if(H:H&gt;40,"pass","fail")</f>
        <v>pass</v>
      </c>
      <c r="J6" s="26" t="str">
        <f t="shared" ref="J6:J178" si="2">IF(H6:H1004=MAX($H$6:$H1004), "topper", IF(H6:H1004=MIN($H$6:$H1004), "lower", ""))</f>
        <v/>
      </c>
      <c r="K6" s="27"/>
      <c r="L6" s="28"/>
      <c r="M6" s="13"/>
      <c r="N6" s="13"/>
      <c r="O6" s="13"/>
    </row>
    <row r="7">
      <c r="A7" s="5" t="s">
        <v>10</v>
      </c>
      <c r="B7" s="5">
        <v>14.0</v>
      </c>
      <c r="C7" s="5">
        <v>5.0</v>
      </c>
      <c r="D7" s="5">
        <v>48.0</v>
      </c>
      <c r="E7" s="5">
        <v>10.0</v>
      </c>
      <c r="F7" s="5">
        <v>49.0</v>
      </c>
      <c r="G7" s="5">
        <v>34.0</v>
      </c>
      <c r="H7" s="5">
        <v>49.0</v>
      </c>
      <c r="I7" s="4" t="str">
        <f t="shared" si="1"/>
        <v>pass</v>
      </c>
      <c r="J7" s="26" t="str">
        <f t="shared" si="2"/>
        <v/>
      </c>
      <c r="K7" s="27"/>
      <c r="M7" s="13"/>
      <c r="N7" s="13"/>
      <c r="O7" s="13"/>
    </row>
    <row r="8">
      <c r="A8" s="5" t="s">
        <v>14</v>
      </c>
      <c r="B8" s="5">
        <v>23.0</v>
      </c>
      <c r="C8" s="5">
        <v>8.0</v>
      </c>
      <c r="D8" s="5">
        <v>99.0</v>
      </c>
      <c r="E8" s="5">
        <v>20.0</v>
      </c>
      <c r="F8" s="5">
        <v>36.0</v>
      </c>
      <c r="G8" s="5">
        <v>25.0</v>
      </c>
      <c r="H8" s="5">
        <v>53.0</v>
      </c>
      <c r="I8" s="4" t="str">
        <f t="shared" si="1"/>
        <v>pass</v>
      </c>
      <c r="J8" s="26" t="str">
        <f t="shared" si="2"/>
        <v/>
      </c>
      <c r="K8" s="13"/>
      <c r="L8" s="13"/>
      <c r="M8" s="13"/>
      <c r="N8" s="13"/>
      <c r="O8" s="13"/>
    </row>
    <row r="9">
      <c r="A9" s="5" t="s">
        <v>17</v>
      </c>
      <c r="B9" s="5">
        <v>30.0</v>
      </c>
      <c r="C9" s="5">
        <v>10.0</v>
      </c>
      <c r="D9" s="5">
        <v>84.0</v>
      </c>
      <c r="E9" s="5">
        <v>17.0</v>
      </c>
      <c r="F9" s="5">
        <v>85.0</v>
      </c>
      <c r="G9" s="5">
        <v>60.0</v>
      </c>
      <c r="H9" s="5">
        <v>86.0</v>
      </c>
      <c r="I9" s="4" t="str">
        <f t="shared" si="1"/>
        <v>pass</v>
      </c>
      <c r="J9" s="26" t="str">
        <f t="shared" si="2"/>
        <v/>
      </c>
      <c r="K9" s="13"/>
      <c r="L9" s="13"/>
      <c r="M9" s="13"/>
      <c r="N9" s="13"/>
      <c r="O9" s="13"/>
    </row>
    <row r="10">
      <c r="A10" s="5" t="s">
        <v>20</v>
      </c>
      <c r="B10" s="5">
        <v>22.0</v>
      </c>
      <c r="C10" s="5">
        <v>7.0</v>
      </c>
      <c r="D10" s="5">
        <v>89.0</v>
      </c>
      <c r="E10" s="5">
        <v>18.0</v>
      </c>
      <c r="F10" s="5">
        <v>48.0</v>
      </c>
      <c r="G10" s="5">
        <v>34.0</v>
      </c>
      <c r="H10" s="5">
        <v>59.0</v>
      </c>
      <c r="I10" s="4" t="str">
        <f t="shared" si="1"/>
        <v>pass</v>
      </c>
      <c r="J10" s="26" t="str">
        <f t="shared" si="2"/>
        <v/>
      </c>
      <c r="K10" s="13"/>
      <c r="L10" s="13"/>
      <c r="M10" s="13"/>
      <c r="N10" s="13"/>
      <c r="O10" s="13"/>
    </row>
    <row r="11">
      <c r="A11" s="5" t="s">
        <v>22</v>
      </c>
      <c r="B11" s="5">
        <v>12.0</v>
      </c>
      <c r="C11" s="5">
        <v>4.0</v>
      </c>
      <c r="D11" s="5">
        <v>71.0</v>
      </c>
      <c r="E11" s="5">
        <v>14.0</v>
      </c>
      <c r="F11" s="5">
        <v>83.0</v>
      </c>
      <c r="G11" s="5">
        <v>58.0</v>
      </c>
      <c r="H11" s="5">
        <v>76.0</v>
      </c>
      <c r="I11" s="4" t="str">
        <f t="shared" si="1"/>
        <v>pass</v>
      </c>
      <c r="J11" s="26" t="str">
        <f t="shared" si="2"/>
        <v/>
      </c>
      <c r="K11" s="13"/>
      <c r="L11" s="13"/>
      <c r="M11" s="13"/>
      <c r="N11" s="13"/>
      <c r="O11" s="13"/>
    </row>
    <row r="12">
      <c r="A12" s="5" t="s">
        <v>23</v>
      </c>
      <c r="B12" s="5">
        <v>26.0</v>
      </c>
      <c r="C12" s="5">
        <v>9.0</v>
      </c>
      <c r="D12" s="5">
        <v>82.0</v>
      </c>
      <c r="E12" s="5">
        <v>16.0</v>
      </c>
      <c r="F12" s="5">
        <v>96.0</v>
      </c>
      <c r="G12" s="5">
        <v>67.0</v>
      </c>
      <c r="H12" s="5">
        <v>92.0</v>
      </c>
      <c r="I12" s="4" t="str">
        <f t="shared" si="1"/>
        <v>pass</v>
      </c>
      <c r="J12" s="26" t="str">
        <f t="shared" si="2"/>
        <v/>
      </c>
      <c r="K12" s="13"/>
      <c r="L12" s="13"/>
      <c r="M12" s="13"/>
      <c r="N12" s="13"/>
      <c r="O12" s="13"/>
    </row>
    <row r="13">
      <c r="A13" s="5" t="s">
        <v>25</v>
      </c>
      <c r="B13" s="5">
        <v>26.0</v>
      </c>
      <c r="C13" s="5">
        <v>9.0</v>
      </c>
      <c r="D13" s="5">
        <v>35.0</v>
      </c>
      <c r="E13" s="5">
        <v>7.0</v>
      </c>
      <c r="F13" s="5">
        <v>85.0</v>
      </c>
      <c r="G13" s="5">
        <v>60.0</v>
      </c>
      <c r="H13" s="5">
        <v>75.0</v>
      </c>
      <c r="I13" s="4" t="str">
        <f t="shared" si="1"/>
        <v>pass</v>
      </c>
      <c r="J13" s="26" t="str">
        <f t="shared" si="2"/>
        <v/>
      </c>
      <c r="K13" s="13"/>
      <c r="L13" s="13"/>
      <c r="M13" s="13"/>
      <c r="N13" s="13"/>
      <c r="O13" s="13"/>
    </row>
    <row r="14">
      <c r="A14" s="5" t="s">
        <v>27</v>
      </c>
      <c r="B14" s="5">
        <v>21.0</v>
      </c>
      <c r="C14" s="5">
        <v>7.0</v>
      </c>
      <c r="D14" s="5">
        <v>60.0</v>
      </c>
      <c r="E14" s="5">
        <v>12.0</v>
      </c>
      <c r="F14" s="5">
        <v>96.0</v>
      </c>
      <c r="G14" s="5">
        <v>67.0</v>
      </c>
      <c r="H14" s="5">
        <v>86.0</v>
      </c>
      <c r="I14" s="4" t="str">
        <f t="shared" si="1"/>
        <v>pass</v>
      </c>
      <c r="J14" s="26" t="str">
        <f t="shared" si="2"/>
        <v/>
      </c>
      <c r="K14" s="13"/>
      <c r="L14" s="13"/>
      <c r="M14" s="13"/>
      <c r="N14" s="13"/>
      <c r="O14" s="13"/>
    </row>
    <row r="15">
      <c r="A15" s="5" t="s">
        <v>30</v>
      </c>
      <c r="B15" s="5">
        <v>24.0</v>
      </c>
      <c r="C15" s="5">
        <v>8.0</v>
      </c>
      <c r="D15" s="5">
        <v>50.0</v>
      </c>
      <c r="E15" s="5">
        <v>10.0</v>
      </c>
      <c r="F15" s="5">
        <v>31.0</v>
      </c>
      <c r="G15" s="5">
        <v>22.0</v>
      </c>
      <c r="H15" s="5">
        <v>40.0</v>
      </c>
      <c r="I15" s="4" t="str">
        <f t="shared" si="1"/>
        <v>fail</v>
      </c>
      <c r="J15" s="26" t="str">
        <f t="shared" si="2"/>
        <v/>
      </c>
      <c r="K15" s="13"/>
      <c r="L15" s="13"/>
      <c r="M15" s="13"/>
      <c r="N15" s="13"/>
      <c r="O15" s="13"/>
    </row>
    <row r="16">
      <c r="A16" s="5" t="s">
        <v>31</v>
      </c>
      <c r="B16" s="5">
        <v>13.0</v>
      </c>
      <c r="C16" s="5">
        <v>4.0</v>
      </c>
      <c r="D16" s="5">
        <v>97.0</v>
      </c>
      <c r="E16" s="5">
        <v>19.0</v>
      </c>
      <c r="F16" s="5">
        <v>46.0</v>
      </c>
      <c r="G16" s="5">
        <v>32.0</v>
      </c>
      <c r="H16" s="5">
        <v>56.0</v>
      </c>
      <c r="I16" s="4" t="str">
        <f t="shared" si="1"/>
        <v>pass</v>
      </c>
      <c r="J16" s="26" t="str">
        <f t="shared" si="2"/>
        <v/>
      </c>
      <c r="K16" s="13"/>
      <c r="L16" s="13"/>
      <c r="M16" s="13"/>
      <c r="N16" s="13"/>
      <c r="O16" s="13"/>
    </row>
    <row r="17">
      <c r="A17" s="5" t="s">
        <v>33</v>
      </c>
      <c r="B17" s="5">
        <v>13.0</v>
      </c>
      <c r="C17" s="5">
        <v>4.0</v>
      </c>
      <c r="D17" s="5">
        <v>58.0</v>
      </c>
      <c r="E17" s="5">
        <v>12.0</v>
      </c>
      <c r="F17" s="5">
        <v>65.0</v>
      </c>
      <c r="G17" s="5">
        <v>46.0</v>
      </c>
      <c r="H17" s="5">
        <v>61.0</v>
      </c>
      <c r="I17" s="4" t="str">
        <f t="shared" si="1"/>
        <v>pass</v>
      </c>
      <c r="J17" s="26" t="str">
        <f t="shared" si="2"/>
        <v/>
      </c>
      <c r="K17" s="13"/>
      <c r="L17" s="13"/>
      <c r="M17" s="13"/>
      <c r="N17" s="13"/>
      <c r="O17" s="13"/>
    </row>
    <row r="18">
      <c r="A18" s="5" t="s">
        <v>34</v>
      </c>
      <c r="B18" s="5">
        <v>19.0</v>
      </c>
      <c r="C18" s="5">
        <v>6.0</v>
      </c>
      <c r="D18" s="5">
        <v>31.0</v>
      </c>
      <c r="E18" s="5">
        <v>6.0</v>
      </c>
      <c r="F18" s="5">
        <v>72.0</v>
      </c>
      <c r="G18" s="5">
        <v>50.0</v>
      </c>
      <c r="H18" s="5">
        <v>63.0</v>
      </c>
      <c r="I18" s="4" t="str">
        <f t="shared" si="1"/>
        <v>pass</v>
      </c>
      <c r="J18" s="26" t="str">
        <f t="shared" si="2"/>
        <v/>
      </c>
      <c r="K18" s="13"/>
      <c r="L18" s="13"/>
      <c r="M18" s="13"/>
      <c r="N18" s="13"/>
      <c r="O18" s="13"/>
    </row>
    <row r="19">
      <c r="A19" s="5" t="s">
        <v>35</v>
      </c>
      <c r="B19" s="5">
        <v>25.0</v>
      </c>
      <c r="C19" s="5">
        <v>8.0</v>
      </c>
      <c r="D19" s="5">
        <v>64.0</v>
      </c>
      <c r="E19" s="5">
        <v>13.0</v>
      </c>
      <c r="F19" s="5">
        <v>70.0</v>
      </c>
      <c r="G19" s="5">
        <v>49.0</v>
      </c>
      <c r="H19" s="5">
        <v>70.0</v>
      </c>
      <c r="I19" s="4" t="str">
        <f t="shared" si="1"/>
        <v>pass</v>
      </c>
      <c r="J19" s="26" t="str">
        <f t="shared" si="2"/>
        <v/>
      </c>
      <c r="K19" s="13"/>
      <c r="L19" s="13"/>
      <c r="M19" s="13"/>
      <c r="N19" s="13"/>
      <c r="O19" s="13"/>
    </row>
    <row r="20">
      <c r="A20" s="5" t="s">
        <v>37</v>
      </c>
      <c r="B20" s="5">
        <v>27.0</v>
      </c>
      <c r="C20" s="5">
        <v>9.0</v>
      </c>
      <c r="D20" s="5">
        <v>87.0</v>
      </c>
      <c r="E20" s="5">
        <v>17.0</v>
      </c>
      <c r="F20" s="5">
        <v>98.0</v>
      </c>
      <c r="G20" s="5">
        <v>69.0</v>
      </c>
      <c r="H20" s="5">
        <v>95.0</v>
      </c>
      <c r="I20" s="4" t="str">
        <f t="shared" si="1"/>
        <v>pass</v>
      </c>
      <c r="J20" s="26" t="str">
        <f t="shared" si="2"/>
        <v/>
      </c>
      <c r="K20" s="13"/>
      <c r="L20" s="13"/>
      <c r="M20" s="13"/>
      <c r="N20" s="13"/>
      <c r="O20" s="13"/>
    </row>
    <row r="21">
      <c r="A21" s="5" t="s">
        <v>38</v>
      </c>
      <c r="B21" s="5">
        <v>7.0</v>
      </c>
      <c r="C21" s="5">
        <v>2.0</v>
      </c>
      <c r="D21" s="5">
        <v>77.0</v>
      </c>
      <c r="E21" s="5">
        <v>15.0</v>
      </c>
      <c r="F21" s="5">
        <v>79.0</v>
      </c>
      <c r="G21" s="5">
        <v>55.0</v>
      </c>
      <c r="H21" s="5">
        <v>73.0</v>
      </c>
      <c r="I21" s="4" t="str">
        <f t="shared" si="1"/>
        <v>pass</v>
      </c>
      <c r="J21" s="26" t="str">
        <f t="shared" si="2"/>
        <v/>
      </c>
      <c r="K21" s="13"/>
      <c r="L21" s="13"/>
      <c r="M21" s="13"/>
      <c r="N21" s="13"/>
      <c r="O21" s="13"/>
    </row>
    <row r="22">
      <c r="A22" s="5" t="s">
        <v>39</v>
      </c>
      <c r="B22" s="5">
        <v>19.0</v>
      </c>
      <c r="C22" s="5">
        <v>6.0</v>
      </c>
      <c r="D22" s="5">
        <v>65.0</v>
      </c>
      <c r="E22" s="5">
        <v>13.0</v>
      </c>
      <c r="F22" s="5">
        <v>85.0</v>
      </c>
      <c r="G22" s="5">
        <v>60.0</v>
      </c>
      <c r="H22" s="5">
        <v>79.0</v>
      </c>
      <c r="I22" s="4" t="str">
        <f t="shared" si="1"/>
        <v>pass</v>
      </c>
      <c r="J22" s="26" t="str">
        <f t="shared" si="2"/>
        <v/>
      </c>
      <c r="K22" s="13"/>
      <c r="L22" s="13"/>
      <c r="M22" s="13"/>
      <c r="N22" s="13"/>
      <c r="O22" s="13"/>
    </row>
    <row r="23">
      <c r="A23" s="5" t="s">
        <v>40</v>
      </c>
      <c r="B23" s="5">
        <v>15.0</v>
      </c>
      <c r="C23" s="5">
        <v>5.0</v>
      </c>
      <c r="D23" s="5">
        <v>89.0</v>
      </c>
      <c r="E23" s="5">
        <v>18.0</v>
      </c>
      <c r="F23" s="5">
        <v>73.0</v>
      </c>
      <c r="G23" s="5">
        <v>51.0</v>
      </c>
      <c r="H23" s="5">
        <v>74.0</v>
      </c>
      <c r="I23" s="4" t="str">
        <f t="shared" si="1"/>
        <v>pass</v>
      </c>
      <c r="J23" s="26" t="str">
        <f t="shared" si="2"/>
        <v/>
      </c>
      <c r="K23" s="13"/>
      <c r="L23" s="13"/>
      <c r="M23" s="13"/>
      <c r="N23" s="13"/>
      <c r="O23" s="13"/>
    </row>
    <row r="24">
      <c r="A24" s="5" t="s">
        <v>42</v>
      </c>
      <c r="B24" s="5">
        <v>16.0</v>
      </c>
      <c r="C24" s="5">
        <v>5.0</v>
      </c>
      <c r="D24" s="5">
        <v>42.0</v>
      </c>
      <c r="E24" s="5">
        <v>8.0</v>
      </c>
      <c r="F24" s="5">
        <v>29.0</v>
      </c>
      <c r="G24" s="5">
        <v>20.0</v>
      </c>
      <c r="H24" s="5">
        <v>34.0</v>
      </c>
      <c r="I24" s="4" t="str">
        <f t="shared" si="1"/>
        <v>fail</v>
      </c>
      <c r="J24" s="26" t="str">
        <f t="shared" si="2"/>
        <v/>
      </c>
      <c r="K24" s="13"/>
      <c r="L24" s="13"/>
      <c r="M24" s="13"/>
      <c r="N24" s="13"/>
      <c r="O24" s="13"/>
    </row>
    <row r="25">
      <c r="A25" s="5" t="s">
        <v>43</v>
      </c>
      <c r="B25" s="5">
        <v>20.0</v>
      </c>
      <c r="C25" s="5">
        <v>7.0</v>
      </c>
      <c r="D25" s="5">
        <v>24.0</v>
      </c>
      <c r="E25" s="5">
        <v>5.0</v>
      </c>
      <c r="F25" s="5">
        <v>23.0</v>
      </c>
      <c r="G25" s="5">
        <v>16.0</v>
      </c>
      <c r="H25" s="5">
        <v>28.0</v>
      </c>
      <c r="I25" s="4" t="str">
        <f t="shared" si="1"/>
        <v>fail</v>
      </c>
      <c r="J25" s="26" t="str">
        <f t="shared" si="2"/>
        <v>lower</v>
      </c>
      <c r="K25" s="13"/>
      <c r="L25" s="13"/>
      <c r="M25" s="13"/>
      <c r="N25" s="13"/>
      <c r="O25" s="13"/>
    </row>
    <row r="26">
      <c r="A26" s="5" t="s">
        <v>44</v>
      </c>
      <c r="B26" s="5">
        <v>25.0</v>
      </c>
      <c r="C26" s="5">
        <v>8.0</v>
      </c>
      <c r="D26" s="5">
        <v>35.0</v>
      </c>
      <c r="E26" s="5">
        <v>7.0</v>
      </c>
      <c r="F26" s="5">
        <v>61.0</v>
      </c>
      <c r="G26" s="5">
        <v>43.0</v>
      </c>
      <c r="H26" s="5">
        <v>58.0</v>
      </c>
      <c r="I26" s="4" t="str">
        <f t="shared" si="1"/>
        <v>pass</v>
      </c>
      <c r="J26" s="26" t="str">
        <f t="shared" si="2"/>
        <v/>
      </c>
      <c r="K26" s="13"/>
      <c r="L26" s="13"/>
      <c r="M26" s="13"/>
      <c r="N26" s="13"/>
      <c r="O26" s="13"/>
    </row>
    <row r="27">
      <c r="A27" s="5" t="s">
        <v>45</v>
      </c>
      <c r="B27" s="5">
        <v>12.0</v>
      </c>
      <c r="C27" s="5">
        <v>4.0</v>
      </c>
      <c r="D27" s="5">
        <v>27.0</v>
      </c>
      <c r="E27" s="5">
        <v>5.0</v>
      </c>
      <c r="F27" s="5">
        <v>39.0</v>
      </c>
      <c r="G27" s="5">
        <v>27.0</v>
      </c>
      <c r="H27" s="5">
        <v>37.0</v>
      </c>
      <c r="I27" s="4" t="str">
        <f t="shared" si="1"/>
        <v>fail</v>
      </c>
      <c r="J27" s="26" t="str">
        <f t="shared" si="2"/>
        <v/>
      </c>
      <c r="K27" s="13"/>
      <c r="L27" s="13"/>
      <c r="M27" s="13"/>
      <c r="N27" s="13"/>
      <c r="O27" s="13"/>
    </row>
    <row r="28">
      <c r="A28" s="5" t="s">
        <v>46</v>
      </c>
      <c r="B28" s="5">
        <v>28.0</v>
      </c>
      <c r="C28" s="5">
        <v>9.0</v>
      </c>
      <c r="D28" s="5">
        <v>58.0</v>
      </c>
      <c r="E28" s="5">
        <v>12.0</v>
      </c>
      <c r="F28" s="5">
        <v>75.0</v>
      </c>
      <c r="G28" s="5">
        <v>53.0</v>
      </c>
      <c r="H28" s="5">
        <v>73.0</v>
      </c>
      <c r="I28" s="4" t="str">
        <f t="shared" si="1"/>
        <v>pass</v>
      </c>
      <c r="J28" s="26" t="str">
        <f t="shared" si="2"/>
        <v/>
      </c>
      <c r="K28" s="13"/>
      <c r="L28" s="13"/>
      <c r="M28" s="13"/>
      <c r="N28" s="13"/>
      <c r="O28" s="13"/>
    </row>
    <row r="29">
      <c r="A29" s="5" t="s">
        <v>47</v>
      </c>
      <c r="B29" s="5">
        <v>12.0</v>
      </c>
      <c r="C29" s="5">
        <v>4.0</v>
      </c>
      <c r="D29" s="5">
        <v>85.0</v>
      </c>
      <c r="E29" s="5">
        <v>17.0</v>
      </c>
      <c r="F29" s="5">
        <v>43.0</v>
      </c>
      <c r="G29" s="5">
        <v>30.0</v>
      </c>
      <c r="H29" s="5">
        <v>51.0</v>
      </c>
      <c r="I29" s="4" t="str">
        <f t="shared" si="1"/>
        <v>pass</v>
      </c>
      <c r="J29" s="26" t="str">
        <f t="shared" si="2"/>
        <v/>
      </c>
      <c r="K29" s="13"/>
      <c r="L29" s="13"/>
      <c r="M29" s="13"/>
      <c r="N29" s="13"/>
      <c r="O29" s="13"/>
    </row>
    <row r="30">
      <c r="A30" s="5" t="s">
        <v>48</v>
      </c>
      <c r="B30" s="5">
        <v>7.0</v>
      </c>
      <c r="C30" s="5">
        <v>2.0</v>
      </c>
      <c r="D30" s="5">
        <v>84.0</v>
      </c>
      <c r="E30" s="5">
        <v>17.0</v>
      </c>
      <c r="F30" s="5">
        <v>95.0</v>
      </c>
      <c r="G30" s="5">
        <v>67.0</v>
      </c>
      <c r="H30" s="5">
        <v>86.0</v>
      </c>
      <c r="I30" s="4" t="str">
        <f t="shared" si="1"/>
        <v>pass</v>
      </c>
      <c r="J30" s="26" t="str">
        <f t="shared" si="2"/>
        <v/>
      </c>
      <c r="K30" s="13"/>
      <c r="L30" s="13"/>
      <c r="M30" s="13"/>
      <c r="N30" s="13"/>
      <c r="O30" s="13"/>
    </row>
    <row r="31">
      <c r="A31" s="5" t="s">
        <v>49</v>
      </c>
      <c r="B31" s="5">
        <v>8.0</v>
      </c>
      <c r="C31" s="5">
        <v>3.0</v>
      </c>
      <c r="D31" s="5">
        <v>32.0</v>
      </c>
      <c r="E31" s="5">
        <v>6.0</v>
      </c>
      <c r="F31" s="5">
        <v>50.0</v>
      </c>
      <c r="G31" s="5">
        <v>35.0</v>
      </c>
      <c r="H31" s="5">
        <v>44.0</v>
      </c>
      <c r="I31" s="4" t="str">
        <f t="shared" si="1"/>
        <v>pass</v>
      </c>
      <c r="J31" s="26" t="str">
        <f t="shared" si="2"/>
        <v/>
      </c>
      <c r="K31" s="13"/>
      <c r="L31" s="13"/>
      <c r="M31" s="13"/>
      <c r="N31" s="13"/>
      <c r="O31" s="13"/>
    </row>
    <row r="32">
      <c r="A32" s="5" t="s">
        <v>50</v>
      </c>
      <c r="B32" s="5">
        <v>21.0</v>
      </c>
      <c r="C32" s="5">
        <v>7.0</v>
      </c>
      <c r="D32" s="5">
        <v>97.0</v>
      </c>
      <c r="E32" s="5">
        <v>19.0</v>
      </c>
      <c r="F32" s="5">
        <v>97.0</v>
      </c>
      <c r="G32" s="5">
        <v>68.0</v>
      </c>
      <c r="H32" s="5">
        <v>94.0</v>
      </c>
      <c r="I32" s="4" t="str">
        <f t="shared" si="1"/>
        <v>pass</v>
      </c>
      <c r="J32" s="26" t="str">
        <f t="shared" si="2"/>
        <v/>
      </c>
      <c r="K32" s="13"/>
      <c r="L32" s="13"/>
      <c r="M32" s="13"/>
      <c r="N32" s="13"/>
      <c r="O32" s="13"/>
    </row>
    <row r="33">
      <c r="A33" s="5" t="s">
        <v>51</v>
      </c>
      <c r="B33" s="5">
        <v>24.0</v>
      </c>
      <c r="C33" s="5">
        <v>8.0</v>
      </c>
      <c r="D33" s="5">
        <v>57.0</v>
      </c>
      <c r="E33" s="5">
        <v>11.0</v>
      </c>
      <c r="F33" s="5">
        <v>68.0</v>
      </c>
      <c r="G33" s="5">
        <v>48.0</v>
      </c>
      <c r="H33" s="5">
        <v>67.0</v>
      </c>
      <c r="I33" s="4" t="str">
        <f t="shared" si="1"/>
        <v>pass</v>
      </c>
      <c r="J33" s="26" t="str">
        <f t="shared" si="2"/>
        <v/>
      </c>
      <c r="K33" s="13"/>
      <c r="L33" s="13"/>
      <c r="M33" s="13"/>
      <c r="N33" s="13"/>
      <c r="O33" s="13"/>
    </row>
    <row r="34">
      <c r="A34" s="5" t="s">
        <v>52</v>
      </c>
      <c r="B34" s="5">
        <v>22.0</v>
      </c>
      <c r="C34" s="5">
        <v>7.0</v>
      </c>
      <c r="D34" s="5">
        <v>26.0</v>
      </c>
      <c r="E34" s="5">
        <v>5.0</v>
      </c>
      <c r="F34" s="5">
        <v>22.0</v>
      </c>
      <c r="G34" s="5">
        <v>15.0</v>
      </c>
      <c r="H34" s="5">
        <v>28.0</v>
      </c>
      <c r="I34" s="4" t="str">
        <f t="shared" si="1"/>
        <v>fail</v>
      </c>
      <c r="J34" s="26" t="str">
        <f t="shared" si="2"/>
        <v>lower</v>
      </c>
      <c r="K34" s="13"/>
      <c r="L34" s="13"/>
      <c r="M34" s="13"/>
      <c r="N34" s="13"/>
      <c r="O34" s="13"/>
    </row>
    <row r="35">
      <c r="A35" s="5" t="s">
        <v>53</v>
      </c>
      <c r="B35" s="5">
        <v>30.0</v>
      </c>
      <c r="C35" s="5">
        <v>10.0</v>
      </c>
      <c r="D35" s="5">
        <v>37.0</v>
      </c>
      <c r="E35" s="5">
        <v>7.0</v>
      </c>
      <c r="F35" s="5">
        <v>62.0</v>
      </c>
      <c r="G35" s="5">
        <v>43.0</v>
      </c>
      <c r="H35" s="5">
        <v>61.0</v>
      </c>
      <c r="I35" s="4" t="str">
        <f t="shared" si="1"/>
        <v>pass</v>
      </c>
      <c r="J35" s="26" t="str">
        <f t="shared" si="2"/>
        <v/>
      </c>
      <c r="K35" s="13"/>
      <c r="L35" s="13"/>
      <c r="M35" s="13"/>
      <c r="N35" s="13"/>
      <c r="O35" s="13"/>
    </row>
    <row r="36">
      <c r="A36" s="5" t="s">
        <v>54</v>
      </c>
      <c r="B36" s="5">
        <v>20.0</v>
      </c>
      <c r="C36" s="5">
        <v>7.0</v>
      </c>
      <c r="D36" s="5">
        <v>48.0</v>
      </c>
      <c r="E36" s="5">
        <v>10.0</v>
      </c>
      <c r="F36" s="5">
        <v>95.0</v>
      </c>
      <c r="G36" s="5">
        <v>67.0</v>
      </c>
      <c r="H36" s="5">
        <v>83.0</v>
      </c>
      <c r="I36" s="4" t="str">
        <f t="shared" si="1"/>
        <v>pass</v>
      </c>
      <c r="J36" s="26" t="str">
        <f t="shared" si="2"/>
        <v/>
      </c>
      <c r="K36" s="13"/>
      <c r="L36" s="13"/>
      <c r="M36" s="13"/>
      <c r="N36" s="13"/>
      <c r="O36" s="13"/>
    </row>
    <row r="37">
      <c r="A37" s="5" t="s">
        <v>55</v>
      </c>
      <c r="B37" s="5">
        <v>21.0</v>
      </c>
      <c r="C37" s="5">
        <v>7.0</v>
      </c>
      <c r="D37" s="5">
        <v>91.0</v>
      </c>
      <c r="E37" s="5">
        <v>18.0</v>
      </c>
      <c r="F37" s="5">
        <v>44.0</v>
      </c>
      <c r="G37" s="5">
        <v>31.0</v>
      </c>
      <c r="H37" s="5">
        <v>56.0</v>
      </c>
      <c r="I37" s="4" t="str">
        <f t="shared" si="1"/>
        <v>pass</v>
      </c>
      <c r="J37" s="26" t="str">
        <f t="shared" si="2"/>
        <v/>
      </c>
      <c r="K37" s="13"/>
      <c r="L37" s="13"/>
      <c r="M37" s="13"/>
      <c r="N37" s="13"/>
      <c r="O37" s="13"/>
    </row>
    <row r="38">
      <c r="A38" s="5" t="s">
        <v>56</v>
      </c>
      <c r="B38" s="5">
        <v>7.0</v>
      </c>
      <c r="C38" s="5">
        <v>2.0</v>
      </c>
      <c r="D38" s="5">
        <v>91.0</v>
      </c>
      <c r="E38" s="5">
        <v>18.0</v>
      </c>
      <c r="F38" s="5">
        <v>89.0</v>
      </c>
      <c r="G38" s="5">
        <v>62.0</v>
      </c>
      <c r="H38" s="5">
        <v>83.0</v>
      </c>
      <c r="I38" s="4" t="str">
        <f t="shared" si="1"/>
        <v>pass</v>
      </c>
      <c r="J38" s="26" t="str">
        <f t="shared" si="2"/>
        <v/>
      </c>
      <c r="K38" s="13"/>
      <c r="L38" s="13"/>
      <c r="M38" s="13"/>
      <c r="N38" s="13"/>
      <c r="O38" s="13"/>
    </row>
    <row r="39">
      <c r="A39" s="5" t="s">
        <v>57</v>
      </c>
      <c r="B39" s="5">
        <v>7.0</v>
      </c>
      <c r="C39" s="5">
        <v>2.0</v>
      </c>
      <c r="D39" s="5">
        <v>60.0</v>
      </c>
      <c r="E39" s="5">
        <v>12.0</v>
      </c>
      <c r="F39" s="5">
        <v>91.0</v>
      </c>
      <c r="G39" s="5">
        <v>64.0</v>
      </c>
      <c r="H39" s="5">
        <v>78.0</v>
      </c>
      <c r="I39" s="4" t="str">
        <f t="shared" si="1"/>
        <v>pass</v>
      </c>
      <c r="J39" s="26" t="str">
        <f t="shared" si="2"/>
        <v/>
      </c>
      <c r="K39" s="13"/>
      <c r="L39" s="13"/>
      <c r="M39" s="13"/>
      <c r="N39" s="13"/>
      <c r="O39" s="13"/>
    </row>
    <row r="40">
      <c r="A40" s="5" t="s">
        <v>58</v>
      </c>
      <c r="B40" s="5">
        <v>16.0</v>
      </c>
      <c r="C40" s="5">
        <v>5.0</v>
      </c>
      <c r="D40" s="5">
        <v>37.0</v>
      </c>
      <c r="E40" s="5">
        <v>7.0</v>
      </c>
      <c r="F40" s="5">
        <v>32.0</v>
      </c>
      <c r="G40" s="5">
        <v>22.0</v>
      </c>
      <c r="H40" s="5">
        <v>35.0</v>
      </c>
      <c r="I40" s="4" t="str">
        <f t="shared" si="1"/>
        <v>fail</v>
      </c>
      <c r="J40" s="26" t="str">
        <f t="shared" si="2"/>
        <v/>
      </c>
      <c r="K40" s="13"/>
      <c r="L40" s="13"/>
      <c r="M40" s="13"/>
      <c r="N40" s="13"/>
      <c r="O40" s="13"/>
    </row>
    <row r="41">
      <c r="A41" s="5" t="s">
        <v>59</v>
      </c>
      <c r="B41" s="5">
        <v>19.0</v>
      </c>
      <c r="C41" s="5">
        <v>6.0</v>
      </c>
      <c r="D41" s="5">
        <v>94.0</v>
      </c>
      <c r="E41" s="5">
        <v>19.0</v>
      </c>
      <c r="F41" s="5">
        <v>50.0</v>
      </c>
      <c r="G41" s="5">
        <v>35.0</v>
      </c>
      <c r="H41" s="5">
        <v>60.0</v>
      </c>
      <c r="I41" s="4" t="str">
        <f t="shared" si="1"/>
        <v>pass</v>
      </c>
      <c r="J41" s="26" t="str">
        <f t="shared" si="2"/>
        <v/>
      </c>
      <c r="K41" s="13"/>
      <c r="L41" s="13"/>
      <c r="M41" s="13"/>
      <c r="N41" s="13"/>
      <c r="O41" s="13"/>
    </row>
    <row r="42">
      <c r="A42" s="5" t="s">
        <v>60</v>
      </c>
      <c r="B42" s="5">
        <v>28.0</v>
      </c>
      <c r="C42" s="5">
        <v>9.0</v>
      </c>
      <c r="D42" s="5">
        <v>77.0</v>
      </c>
      <c r="E42" s="5">
        <v>15.0</v>
      </c>
      <c r="F42" s="5">
        <v>70.0</v>
      </c>
      <c r="G42" s="5">
        <v>49.0</v>
      </c>
      <c r="H42" s="5">
        <v>74.0</v>
      </c>
      <c r="I42" s="4" t="str">
        <f t="shared" si="1"/>
        <v>pass</v>
      </c>
      <c r="J42" s="26" t="str">
        <f t="shared" si="2"/>
        <v/>
      </c>
      <c r="K42" s="13"/>
      <c r="L42" s="13"/>
      <c r="M42" s="13"/>
      <c r="N42" s="13"/>
      <c r="O42" s="13"/>
    </row>
    <row r="43">
      <c r="A43" s="5" t="s">
        <v>61</v>
      </c>
      <c r="B43" s="5">
        <v>25.0</v>
      </c>
      <c r="C43" s="5">
        <v>8.0</v>
      </c>
      <c r="D43" s="5">
        <v>62.0</v>
      </c>
      <c r="E43" s="5">
        <v>12.0</v>
      </c>
      <c r="F43" s="5">
        <v>69.0</v>
      </c>
      <c r="G43" s="5">
        <v>48.0</v>
      </c>
      <c r="H43" s="5">
        <v>69.0</v>
      </c>
      <c r="I43" s="4" t="str">
        <f t="shared" si="1"/>
        <v>pass</v>
      </c>
      <c r="J43" s="26" t="str">
        <f t="shared" si="2"/>
        <v/>
      </c>
      <c r="K43" s="13"/>
      <c r="L43" s="13"/>
      <c r="M43" s="13"/>
      <c r="N43" s="13"/>
      <c r="O43" s="13"/>
    </row>
    <row r="44">
      <c r="A44" s="5" t="s">
        <v>62</v>
      </c>
      <c r="B44" s="5">
        <v>19.0</v>
      </c>
      <c r="C44" s="5">
        <v>6.0</v>
      </c>
      <c r="D44" s="5">
        <v>52.0</v>
      </c>
      <c r="E44" s="5">
        <v>10.0</v>
      </c>
      <c r="F44" s="5">
        <v>91.0</v>
      </c>
      <c r="G44" s="5">
        <v>64.0</v>
      </c>
      <c r="H44" s="5">
        <v>80.0</v>
      </c>
      <c r="I44" s="4" t="str">
        <f t="shared" si="1"/>
        <v>pass</v>
      </c>
      <c r="J44" s="26" t="str">
        <f t="shared" si="2"/>
        <v/>
      </c>
      <c r="K44" s="13"/>
      <c r="L44" s="13"/>
      <c r="M44" s="13"/>
      <c r="N44" s="13"/>
      <c r="O44" s="13"/>
    </row>
    <row r="45">
      <c r="A45" s="5" t="s">
        <v>63</v>
      </c>
      <c r="B45" s="5">
        <v>14.0</v>
      </c>
      <c r="C45" s="5">
        <v>5.0</v>
      </c>
      <c r="D45" s="5">
        <v>74.0</v>
      </c>
      <c r="E45" s="5">
        <v>15.0</v>
      </c>
      <c r="F45" s="5">
        <v>65.0</v>
      </c>
      <c r="G45" s="5">
        <v>46.0</v>
      </c>
      <c r="H45" s="5">
        <v>65.0</v>
      </c>
      <c r="I45" s="4" t="str">
        <f t="shared" si="1"/>
        <v>pass</v>
      </c>
      <c r="J45" s="26" t="str">
        <f t="shared" si="2"/>
        <v/>
      </c>
      <c r="K45" s="13"/>
      <c r="L45" s="13"/>
      <c r="M45" s="13"/>
      <c r="N45" s="13"/>
      <c r="O45" s="13"/>
    </row>
    <row r="46">
      <c r="A46" s="5" t="s">
        <v>64</v>
      </c>
      <c r="B46" s="5">
        <v>30.0</v>
      </c>
      <c r="C46" s="5">
        <v>10.0</v>
      </c>
      <c r="D46" s="5">
        <v>50.0</v>
      </c>
      <c r="E46" s="5">
        <v>10.0</v>
      </c>
      <c r="F46" s="5">
        <v>68.0</v>
      </c>
      <c r="G46" s="5">
        <v>48.0</v>
      </c>
      <c r="H46" s="5">
        <v>68.0</v>
      </c>
      <c r="I46" s="4" t="str">
        <f t="shared" si="1"/>
        <v>pass</v>
      </c>
      <c r="J46" s="26" t="str">
        <f t="shared" si="2"/>
        <v/>
      </c>
      <c r="K46" s="13"/>
      <c r="L46" s="13"/>
      <c r="M46" s="13"/>
      <c r="N46" s="13"/>
      <c r="O46" s="13"/>
    </row>
    <row r="47">
      <c r="A47" s="5" t="s">
        <v>65</v>
      </c>
      <c r="B47" s="5">
        <v>29.0</v>
      </c>
      <c r="C47" s="5">
        <v>10.0</v>
      </c>
      <c r="D47" s="5">
        <v>78.0</v>
      </c>
      <c r="E47" s="5">
        <v>16.0</v>
      </c>
      <c r="F47" s="5">
        <v>26.0</v>
      </c>
      <c r="G47" s="5">
        <v>18.0</v>
      </c>
      <c r="H47" s="5">
        <v>43.0</v>
      </c>
      <c r="I47" s="4" t="str">
        <f t="shared" si="1"/>
        <v>pass</v>
      </c>
      <c r="J47" s="26" t="str">
        <f t="shared" si="2"/>
        <v/>
      </c>
      <c r="K47" s="13"/>
      <c r="L47" s="13"/>
      <c r="M47" s="13"/>
      <c r="N47" s="13"/>
      <c r="O47" s="13"/>
    </row>
    <row r="48">
      <c r="A48" s="5" t="s">
        <v>66</v>
      </c>
      <c r="B48" s="5">
        <v>28.0</v>
      </c>
      <c r="C48" s="5">
        <v>9.0</v>
      </c>
      <c r="D48" s="5">
        <v>96.0</v>
      </c>
      <c r="E48" s="5">
        <v>19.0</v>
      </c>
      <c r="F48" s="5">
        <v>99.0</v>
      </c>
      <c r="G48" s="5">
        <v>69.0</v>
      </c>
      <c r="H48" s="5">
        <v>98.0</v>
      </c>
      <c r="I48" s="4" t="str">
        <f t="shared" si="1"/>
        <v>pass</v>
      </c>
      <c r="J48" s="26" t="str">
        <f t="shared" si="2"/>
        <v>topper</v>
      </c>
      <c r="K48" s="13"/>
      <c r="L48" s="13"/>
      <c r="M48" s="13"/>
      <c r="N48" s="13"/>
      <c r="O48" s="13"/>
    </row>
    <row r="49">
      <c r="A49" s="5" t="s">
        <v>67</v>
      </c>
      <c r="B49" s="5">
        <v>10.0</v>
      </c>
      <c r="C49" s="5">
        <v>3.0</v>
      </c>
      <c r="D49" s="5">
        <v>28.0</v>
      </c>
      <c r="E49" s="5">
        <v>6.0</v>
      </c>
      <c r="F49" s="5">
        <v>76.0</v>
      </c>
      <c r="G49" s="5">
        <v>53.0</v>
      </c>
      <c r="H49" s="5">
        <v>62.0</v>
      </c>
      <c r="I49" s="4" t="str">
        <f t="shared" si="1"/>
        <v>pass</v>
      </c>
      <c r="J49" s="26" t="str">
        <f t="shared" si="2"/>
        <v/>
      </c>
      <c r="K49" s="13"/>
      <c r="L49" s="13"/>
      <c r="M49" s="13"/>
      <c r="N49" s="13"/>
      <c r="O49" s="13"/>
    </row>
    <row r="50">
      <c r="A50" s="5" t="s">
        <v>68</v>
      </c>
      <c r="B50" s="5">
        <v>20.0</v>
      </c>
      <c r="C50" s="5">
        <v>7.0</v>
      </c>
      <c r="D50" s="5">
        <v>51.0</v>
      </c>
      <c r="E50" s="5">
        <v>10.0</v>
      </c>
      <c r="F50" s="5">
        <v>65.0</v>
      </c>
      <c r="G50" s="5">
        <v>46.0</v>
      </c>
      <c r="H50" s="5">
        <v>62.0</v>
      </c>
      <c r="I50" s="4" t="str">
        <f t="shared" si="1"/>
        <v>pass</v>
      </c>
      <c r="J50" s="26" t="str">
        <f t="shared" si="2"/>
        <v/>
      </c>
      <c r="K50" s="13"/>
      <c r="L50" s="13"/>
      <c r="M50" s="13"/>
      <c r="N50" s="13"/>
      <c r="O50" s="13"/>
    </row>
    <row r="51">
      <c r="A51" s="5" t="s">
        <v>69</v>
      </c>
      <c r="B51" s="5">
        <v>25.0</v>
      </c>
      <c r="C51" s="5">
        <v>8.0</v>
      </c>
      <c r="D51" s="5">
        <v>35.0</v>
      </c>
      <c r="E51" s="5">
        <v>7.0</v>
      </c>
      <c r="F51" s="5">
        <v>34.0</v>
      </c>
      <c r="G51" s="5">
        <v>24.0</v>
      </c>
      <c r="H51" s="5">
        <v>39.0</v>
      </c>
      <c r="I51" s="4" t="str">
        <f t="shared" si="1"/>
        <v>fail</v>
      </c>
      <c r="J51" s="26" t="str">
        <f t="shared" si="2"/>
        <v/>
      </c>
      <c r="K51" s="13"/>
      <c r="L51" s="13"/>
      <c r="M51" s="13"/>
      <c r="N51" s="13"/>
      <c r="O51" s="13"/>
    </row>
    <row r="52">
      <c r="A52" s="5" t="s">
        <v>70</v>
      </c>
      <c r="B52" s="5">
        <v>17.0</v>
      </c>
      <c r="C52" s="5">
        <v>6.0</v>
      </c>
      <c r="D52" s="5">
        <v>59.0</v>
      </c>
      <c r="E52" s="5">
        <v>12.0</v>
      </c>
      <c r="F52" s="5">
        <v>37.0</v>
      </c>
      <c r="G52" s="5">
        <v>26.0</v>
      </c>
      <c r="H52" s="5">
        <v>43.0</v>
      </c>
      <c r="I52" s="4" t="str">
        <f t="shared" si="1"/>
        <v>pass</v>
      </c>
      <c r="J52" s="26" t="str">
        <f t="shared" si="2"/>
        <v/>
      </c>
      <c r="K52" s="13"/>
      <c r="L52" s="13"/>
      <c r="M52" s="13"/>
      <c r="N52" s="13"/>
      <c r="O52" s="13"/>
    </row>
    <row r="53">
      <c r="A53" s="5" t="s">
        <v>71</v>
      </c>
      <c r="B53" s="5">
        <v>25.0</v>
      </c>
      <c r="C53" s="5">
        <v>8.0</v>
      </c>
      <c r="D53" s="5">
        <v>76.0</v>
      </c>
      <c r="E53" s="5">
        <v>15.0</v>
      </c>
      <c r="F53" s="5">
        <v>43.0</v>
      </c>
      <c r="G53" s="5">
        <v>30.0</v>
      </c>
      <c r="H53" s="5">
        <v>54.0</v>
      </c>
      <c r="I53" s="4" t="str">
        <f t="shared" si="1"/>
        <v>pass</v>
      </c>
      <c r="J53" s="26" t="str">
        <f t="shared" si="2"/>
        <v/>
      </c>
      <c r="K53" s="13"/>
      <c r="L53" s="13"/>
      <c r="M53" s="13"/>
      <c r="N53" s="13"/>
      <c r="O53" s="13"/>
    </row>
    <row r="54">
      <c r="A54" s="5" t="s">
        <v>72</v>
      </c>
      <c r="B54" s="5">
        <v>30.0</v>
      </c>
      <c r="C54" s="5">
        <v>10.0</v>
      </c>
      <c r="D54" s="5">
        <v>40.0</v>
      </c>
      <c r="E54" s="5">
        <v>8.0</v>
      </c>
      <c r="F54" s="5">
        <v>81.0</v>
      </c>
      <c r="G54" s="5">
        <v>57.0</v>
      </c>
      <c r="H54" s="5">
        <v>75.0</v>
      </c>
      <c r="I54" s="4" t="str">
        <f t="shared" si="1"/>
        <v>pass</v>
      </c>
      <c r="J54" s="26" t="str">
        <f t="shared" si="2"/>
        <v/>
      </c>
      <c r="K54" s="13"/>
      <c r="L54" s="13"/>
      <c r="M54" s="13"/>
      <c r="N54" s="13"/>
      <c r="O54" s="13"/>
    </row>
    <row r="55">
      <c r="A55" s="5" t="s">
        <v>73</v>
      </c>
      <c r="B55" s="5">
        <v>12.0</v>
      </c>
      <c r="C55" s="5">
        <v>4.0</v>
      </c>
      <c r="D55" s="5">
        <v>85.0</v>
      </c>
      <c r="E55" s="5">
        <v>17.0</v>
      </c>
      <c r="F55" s="5">
        <v>88.0</v>
      </c>
      <c r="G55" s="5">
        <v>62.0</v>
      </c>
      <c r="H55" s="5">
        <v>83.0</v>
      </c>
      <c r="I55" s="4" t="str">
        <f t="shared" si="1"/>
        <v>pass</v>
      </c>
      <c r="J55" s="26" t="str">
        <f t="shared" si="2"/>
        <v/>
      </c>
      <c r="K55" s="13"/>
      <c r="L55" s="13"/>
      <c r="M55" s="13"/>
      <c r="N55" s="13"/>
      <c r="O55" s="13"/>
    </row>
    <row r="56">
      <c r="A56" s="5" t="s">
        <v>74</v>
      </c>
      <c r="B56" s="5">
        <v>9.0</v>
      </c>
      <c r="C56" s="5">
        <v>3.0</v>
      </c>
      <c r="D56" s="5">
        <v>98.0</v>
      </c>
      <c r="E56" s="5">
        <v>20.0</v>
      </c>
      <c r="F56" s="5">
        <v>78.0</v>
      </c>
      <c r="G56" s="5">
        <v>55.0</v>
      </c>
      <c r="H56" s="5">
        <v>77.0</v>
      </c>
      <c r="I56" s="4" t="str">
        <f t="shared" si="1"/>
        <v>pass</v>
      </c>
      <c r="J56" s="26" t="str">
        <f t="shared" si="2"/>
        <v/>
      </c>
      <c r="K56" s="13"/>
      <c r="L56" s="13"/>
      <c r="M56" s="13"/>
      <c r="N56" s="13"/>
      <c r="O56" s="13"/>
    </row>
    <row r="57">
      <c r="A57" s="5" t="s">
        <v>75</v>
      </c>
      <c r="B57" s="5">
        <v>18.0</v>
      </c>
      <c r="C57" s="5">
        <v>6.0</v>
      </c>
      <c r="D57" s="5">
        <v>33.0</v>
      </c>
      <c r="E57" s="5">
        <v>7.0</v>
      </c>
      <c r="F57" s="5">
        <v>22.0</v>
      </c>
      <c r="G57" s="5">
        <v>15.0</v>
      </c>
      <c r="H57" s="5">
        <v>28.0</v>
      </c>
      <c r="I57" s="4" t="str">
        <f t="shared" si="1"/>
        <v>fail</v>
      </c>
      <c r="J57" s="26" t="str">
        <f t="shared" si="2"/>
        <v>lower</v>
      </c>
      <c r="K57" s="13"/>
      <c r="L57" s="13"/>
      <c r="M57" s="13"/>
      <c r="N57" s="13"/>
      <c r="O57" s="13"/>
    </row>
    <row r="58">
      <c r="A58" s="5" t="s">
        <v>76</v>
      </c>
      <c r="B58" s="5">
        <v>17.0</v>
      </c>
      <c r="C58" s="5">
        <v>6.0</v>
      </c>
      <c r="D58" s="5">
        <v>39.0</v>
      </c>
      <c r="E58" s="5">
        <v>8.0</v>
      </c>
      <c r="F58" s="5">
        <v>71.0</v>
      </c>
      <c r="G58" s="5">
        <v>50.0</v>
      </c>
      <c r="H58" s="5">
        <v>63.0</v>
      </c>
      <c r="I58" s="4" t="str">
        <f t="shared" si="1"/>
        <v>pass</v>
      </c>
      <c r="J58" s="26" t="str">
        <f t="shared" si="2"/>
        <v/>
      </c>
      <c r="K58" s="13"/>
      <c r="L58" s="13"/>
      <c r="M58" s="13"/>
      <c r="N58" s="13"/>
      <c r="O58" s="13"/>
    </row>
    <row r="59">
      <c r="A59" s="5" t="s">
        <v>77</v>
      </c>
      <c r="B59" s="5">
        <v>20.0</v>
      </c>
      <c r="C59" s="5">
        <v>7.0</v>
      </c>
      <c r="D59" s="5">
        <v>96.0</v>
      </c>
      <c r="E59" s="5">
        <v>19.0</v>
      </c>
      <c r="F59" s="5">
        <v>53.0</v>
      </c>
      <c r="G59" s="5">
        <v>37.0</v>
      </c>
      <c r="H59" s="5">
        <v>63.0</v>
      </c>
      <c r="I59" s="4" t="str">
        <f t="shared" si="1"/>
        <v>pass</v>
      </c>
      <c r="J59" s="26" t="str">
        <f t="shared" si="2"/>
        <v/>
      </c>
      <c r="K59" s="13"/>
      <c r="L59" s="13"/>
      <c r="M59" s="13"/>
      <c r="N59" s="13"/>
      <c r="O59" s="13"/>
    </row>
    <row r="60">
      <c r="A60" s="12" t="s">
        <v>78</v>
      </c>
      <c r="B60" s="5">
        <v>26.0</v>
      </c>
      <c r="C60" s="5">
        <v>9.0</v>
      </c>
      <c r="D60" s="5">
        <v>72.0</v>
      </c>
      <c r="E60" s="5">
        <v>14.0</v>
      </c>
      <c r="F60" s="5">
        <v>69.0</v>
      </c>
      <c r="G60" s="5">
        <v>48.0</v>
      </c>
      <c r="H60" s="5">
        <v>71.0</v>
      </c>
      <c r="I60" s="4" t="str">
        <f t="shared" si="1"/>
        <v>pass</v>
      </c>
      <c r="J60" s="26" t="str">
        <f t="shared" si="2"/>
        <v/>
      </c>
      <c r="K60" s="13"/>
      <c r="L60" s="13"/>
      <c r="M60" s="13"/>
      <c r="N60" s="13"/>
      <c r="O60" s="13"/>
    </row>
    <row r="61">
      <c r="A61" s="5" t="s">
        <v>79</v>
      </c>
      <c r="B61" s="5">
        <v>23.0</v>
      </c>
      <c r="C61" s="5">
        <v>8.0</v>
      </c>
      <c r="D61" s="5">
        <v>67.0</v>
      </c>
      <c r="E61" s="5">
        <v>13.0</v>
      </c>
      <c r="F61" s="5">
        <v>71.0</v>
      </c>
      <c r="G61" s="5">
        <v>50.0</v>
      </c>
      <c r="H61" s="5">
        <v>71.0</v>
      </c>
      <c r="I61" s="4" t="str">
        <f t="shared" si="1"/>
        <v>pass</v>
      </c>
      <c r="J61" s="26" t="str">
        <f t="shared" si="2"/>
        <v/>
      </c>
      <c r="K61" s="13"/>
      <c r="L61" s="13"/>
      <c r="M61" s="13"/>
      <c r="N61" s="13"/>
      <c r="O61" s="13"/>
    </row>
    <row r="62">
      <c r="A62" s="5" t="s">
        <v>80</v>
      </c>
      <c r="B62" s="5">
        <v>13.0</v>
      </c>
      <c r="C62" s="5">
        <v>4.0</v>
      </c>
      <c r="D62" s="5">
        <v>91.0</v>
      </c>
      <c r="E62" s="5">
        <v>18.0</v>
      </c>
      <c r="F62" s="5">
        <v>81.0</v>
      </c>
      <c r="G62" s="5">
        <v>57.0</v>
      </c>
      <c r="H62" s="5">
        <v>79.0</v>
      </c>
      <c r="I62" s="4" t="str">
        <f t="shared" si="1"/>
        <v>pass</v>
      </c>
      <c r="J62" s="26" t="str">
        <f t="shared" si="2"/>
        <v/>
      </c>
      <c r="K62" s="13"/>
      <c r="L62" s="13"/>
      <c r="M62" s="13"/>
      <c r="N62" s="13"/>
      <c r="O62" s="13"/>
    </row>
    <row r="63">
      <c r="A63" s="5" t="s">
        <v>81</v>
      </c>
      <c r="B63" s="5">
        <v>12.0</v>
      </c>
      <c r="C63" s="5">
        <v>4.0</v>
      </c>
      <c r="D63" s="5">
        <v>100.0</v>
      </c>
      <c r="E63" s="5">
        <v>20.0</v>
      </c>
      <c r="F63" s="5">
        <v>100.0</v>
      </c>
      <c r="G63" s="5">
        <v>70.0</v>
      </c>
      <c r="H63" s="5">
        <v>94.0</v>
      </c>
      <c r="I63" s="4" t="str">
        <f t="shared" si="1"/>
        <v>pass</v>
      </c>
      <c r="J63" s="26" t="str">
        <f t="shared" si="2"/>
        <v/>
      </c>
      <c r="K63" s="13"/>
      <c r="L63" s="13"/>
      <c r="M63" s="13"/>
      <c r="N63" s="13"/>
      <c r="O63" s="13"/>
    </row>
    <row r="64">
      <c r="A64" s="5" t="s">
        <v>82</v>
      </c>
      <c r="B64" s="5">
        <v>19.0</v>
      </c>
      <c r="C64" s="5">
        <v>6.0</v>
      </c>
      <c r="D64" s="5">
        <v>48.0</v>
      </c>
      <c r="E64" s="5">
        <v>10.0</v>
      </c>
      <c r="F64" s="5">
        <v>47.0</v>
      </c>
      <c r="G64" s="5">
        <v>33.0</v>
      </c>
      <c r="H64" s="5">
        <v>49.0</v>
      </c>
      <c r="I64" s="4" t="str">
        <f t="shared" si="1"/>
        <v>pass</v>
      </c>
      <c r="J64" s="26" t="str">
        <f t="shared" si="2"/>
        <v/>
      </c>
      <c r="K64" s="13"/>
      <c r="L64" s="13"/>
      <c r="M64" s="13"/>
      <c r="N64" s="13"/>
      <c r="O64" s="13"/>
    </row>
    <row r="65">
      <c r="A65" s="5" t="s">
        <v>83</v>
      </c>
      <c r="B65" s="5">
        <v>25.0</v>
      </c>
      <c r="C65" s="5">
        <v>8.0</v>
      </c>
      <c r="D65" s="5">
        <v>100.0</v>
      </c>
      <c r="E65" s="5">
        <v>20.0</v>
      </c>
      <c r="F65" s="5">
        <v>30.0</v>
      </c>
      <c r="G65" s="5">
        <v>21.0</v>
      </c>
      <c r="H65" s="5">
        <v>49.0</v>
      </c>
      <c r="I65" s="4" t="str">
        <f t="shared" si="1"/>
        <v>pass</v>
      </c>
      <c r="J65" s="26" t="str">
        <f t="shared" si="2"/>
        <v/>
      </c>
      <c r="K65" s="13"/>
      <c r="L65" s="13"/>
      <c r="M65" s="13"/>
      <c r="N65" s="13"/>
      <c r="O65" s="13"/>
    </row>
    <row r="66">
      <c r="A66" s="5" t="s">
        <v>84</v>
      </c>
      <c r="B66" s="5">
        <v>11.0</v>
      </c>
      <c r="C66" s="5">
        <v>4.0</v>
      </c>
      <c r="D66" s="5">
        <v>57.0</v>
      </c>
      <c r="E66" s="5">
        <v>11.0</v>
      </c>
      <c r="F66" s="5">
        <v>58.0</v>
      </c>
      <c r="G66" s="5">
        <v>41.0</v>
      </c>
      <c r="H66" s="5">
        <v>56.0</v>
      </c>
      <c r="I66" s="4" t="str">
        <f t="shared" si="1"/>
        <v>pass</v>
      </c>
      <c r="J66" s="26" t="str">
        <f t="shared" si="2"/>
        <v/>
      </c>
      <c r="K66" s="13"/>
      <c r="L66" s="13"/>
      <c r="M66" s="13"/>
      <c r="N66" s="13"/>
      <c r="O66" s="13"/>
    </row>
    <row r="67">
      <c r="A67" s="5" t="s">
        <v>85</v>
      </c>
      <c r="B67" s="5">
        <v>19.0</v>
      </c>
      <c r="C67" s="5">
        <v>6.0</v>
      </c>
      <c r="D67" s="5">
        <v>91.0</v>
      </c>
      <c r="E67" s="5">
        <v>18.0</v>
      </c>
      <c r="F67" s="5">
        <v>79.0</v>
      </c>
      <c r="G67" s="5">
        <v>55.0</v>
      </c>
      <c r="H67" s="5">
        <v>80.0</v>
      </c>
      <c r="I67" s="4" t="str">
        <f t="shared" si="1"/>
        <v>pass</v>
      </c>
      <c r="J67" s="26" t="str">
        <f t="shared" si="2"/>
        <v/>
      </c>
      <c r="K67" s="13"/>
      <c r="L67" s="13"/>
      <c r="M67" s="13"/>
      <c r="N67" s="13"/>
      <c r="O67" s="13"/>
    </row>
    <row r="68">
      <c r="A68" s="5" t="s">
        <v>86</v>
      </c>
      <c r="B68" s="5">
        <v>22.0</v>
      </c>
      <c r="C68" s="5">
        <v>7.0</v>
      </c>
      <c r="D68" s="5">
        <v>87.0</v>
      </c>
      <c r="E68" s="5">
        <v>17.0</v>
      </c>
      <c r="F68" s="5">
        <v>58.0</v>
      </c>
      <c r="G68" s="5">
        <v>41.0</v>
      </c>
      <c r="H68" s="5">
        <v>65.0</v>
      </c>
      <c r="I68" s="4" t="str">
        <f t="shared" si="1"/>
        <v>pass</v>
      </c>
      <c r="J68" s="26" t="str">
        <f t="shared" si="2"/>
        <v/>
      </c>
      <c r="K68" s="13"/>
      <c r="L68" s="13"/>
      <c r="M68" s="13"/>
      <c r="N68" s="13"/>
      <c r="O68" s="13"/>
    </row>
    <row r="69">
      <c r="A69" s="5" t="s">
        <v>98</v>
      </c>
      <c r="B69" s="5">
        <v>15.0</v>
      </c>
      <c r="C69" s="5">
        <v>5.0</v>
      </c>
      <c r="D69" s="5">
        <v>54.0</v>
      </c>
      <c r="E69" s="5">
        <v>11.0</v>
      </c>
      <c r="F69" s="5">
        <v>82.0</v>
      </c>
      <c r="G69" s="5">
        <v>57.0</v>
      </c>
      <c r="H69" s="5">
        <v>73.0</v>
      </c>
      <c r="I69" s="4" t="str">
        <f t="shared" si="1"/>
        <v>pass</v>
      </c>
      <c r="J69" s="26" t="str">
        <f t="shared" si="2"/>
        <v/>
      </c>
      <c r="K69" s="13"/>
      <c r="L69" s="13"/>
      <c r="M69" s="13"/>
      <c r="N69" s="13"/>
      <c r="O69" s="13"/>
    </row>
    <row r="70">
      <c r="A70" s="5" t="s">
        <v>99</v>
      </c>
      <c r="B70" s="5">
        <v>14.0</v>
      </c>
      <c r="C70" s="5">
        <v>5.0</v>
      </c>
      <c r="D70" s="5">
        <v>98.0</v>
      </c>
      <c r="E70" s="5">
        <v>20.0</v>
      </c>
      <c r="F70" s="5">
        <v>45.0</v>
      </c>
      <c r="G70" s="5">
        <v>32.0</v>
      </c>
      <c r="H70" s="5">
        <v>56.0</v>
      </c>
      <c r="I70" s="4" t="str">
        <f t="shared" si="1"/>
        <v>pass</v>
      </c>
      <c r="J70" s="26" t="str">
        <f t="shared" si="2"/>
        <v/>
      </c>
      <c r="K70" s="13"/>
      <c r="L70" s="13"/>
      <c r="M70" s="13"/>
      <c r="N70" s="13"/>
      <c r="O70" s="13"/>
    </row>
    <row r="71">
      <c r="A71" s="5" t="s">
        <v>100</v>
      </c>
      <c r="B71" s="5">
        <v>10.0</v>
      </c>
      <c r="C71" s="5">
        <v>3.0</v>
      </c>
      <c r="D71" s="5">
        <v>52.0</v>
      </c>
      <c r="E71" s="5">
        <v>10.0</v>
      </c>
      <c r="F71" s="5">
        <v>26.0</v>
      </c>
      <c r="G71" s="5">
        <v>18.0</v>
      </c>
      <c r="H71" s="5">
        <v>32.0</v>
      </c>
      <c r="I71" s="4" t="str">
        <f t="shared" si="1"/>
        <v>fail</v>
      </c>
      <c r="J71" s="26" t="str">
        <f t="shared" si="2"/>
        <v/>
      </c>
      <c r="K71" s="13"/>
      <c r="L71" s="13"/>
      <c r="M71" s="13"/>
      <c r="N71" s="13"/>
      <c r="O71" s="13"/>
    </row>
    <row r="72">
      <c r="A72" s="5" t="s">
        <v>101</v>
      </c>
      <c r="B72" s="5">
        <v>12.0</v>
      </c>
      <c r="C72" s="5">
        <v>4.0</v>
      </c>
      <c r="D72" s="5">
        <v>93.0</v>
      </c>
      <c r="E72" s="5">
        <v>19.0</v>
      </c>
      <c r="F72" s="5">
        <v>23.0</v>
      </c>
      <c r="G72" s="5">
        <v>16.0</v>
      </c>
      <c r="H72" s="5">
        <v>39.0</v>
      </c>
      <c r="I72" s="4" t="str">
        <f t="shared" si="1"/>
        <v>fail</v>
      </c>
      <c r="J72" s="26" t="str">
        <f t="shared" si="2"/>
        <v/>
      </c>
      <c r="K72" s="13"/>
      <c r="L72" s="13"/>
      <c r="M72" s="13"/>
      <c r="N72" s="13"/>
      <c r="O72" s="13"/>
    </row>
    <row r="73">
      <c r="A73" s="5" t="s">
        <v>102</v>
      </c>
      <c r="B73" s="5">
        <v>13.0</v>
      </c>
      <c r="C73" s="5">
        <v>4.0</v>
      </c>
      <c r="D73" s="5">
        <v>29.0</v>
      </c>
      <c r="E73" s="5">
        <v>6.0</v>
      </c>
      <c r="F73" s="5">
        <v>92.0</v>
      </c>
      <c r="G73" s="5">
        <v>64.0</v>
      </c>
      <c r="H73" s="5">
        <v>75.0</v>
      </c>
      <c r="I73" s="4" t="str">
        <f t="shared" si="1"/>
        <v>pass</v>
      </c>
      <c r="J73" s="26" t="str">
        <f t="shared" si="2"/>
        <v/>
      </c>
      <c r="K73" s="13"/>
      <c r="L73" s="13"/>
      <c r="M73" s="13"/>
      <c r="N73" s="13"/>
      <c r="O73" s="13"/>
    </row>
    <row r="74">
      <c r="A74" s="29" t="s">
        <v>103</v>
      </c>
      <c r="B74" s="5">
        <v>12.0</v>
      </c>
      <c r="C74" s="5">
        <v>4.0</v>
      </c>
      <c r="D74" s="5">
        <v>72.0</v>
      </c>
      <c r="E74" s="5">
        <v>14.0</v>
      </c>
      <c r="F74" s="5">
        <v>100.0</v>
      </c>
      <c r="G74" s="5">
        <v>70.0</v>
      </c>
      <c r="H74" s="5">
        <v>88.0</v>
      </c>
      <c r="I74" s="4" t="str">
        <f t="shared" si="1"/>
        <v>pass</v>
      </c>
      <c r="J74" s="26" t="str">
        <f t="shared" si="2"/>
        <v/>
      </c>
      <c r="K74" s="13"/>
      <c r="L74" s="13"/>
      <c r="M74" s="13"/>
      <c r="N74" s="13"/>
      <c r="O74" s="13"/>
    </row>
    <row r="75">
      <c r="A75" s="5" t="s">
        <v>104</v>
      </c>
      <c r="B75" s="5">
        <v>29.0</v>
      </c>
      <c r="C75" s="5">
        <v>10.0</v>
      </c>
      <c r="D75" s="5">
        <v>72.0</v>
      </c>
      <c r="E75" s="5">
        <v>14.0</v>
      </c>
      <c r="F75" s="5">
        <v>72.0</v>
      </c>
      <c r="G75" s="5">
        <v>50.0</v>
      </c>
      <c r="H75" s="5">
        <v>74.0</v>
      </c>
      <c r="I75" s="4" t="str">
        <f t="shared" si="1"/>
        <v>pass</v>
      </c>
      <c r="J75" s="26" t="str">
        <f t="shared" si="2"/>
        <v/>
      </c>
      <c r="K75" s="13"/>
      <c r="L75" s="13"/>
      <c r="M75" s="13"/>
      <c r="N75" s="13"/>
      <c r="O75" s="13"/>
    </row>
    <row r="76">
      <c r="A76" s="5" t="s">
        <v>105</v>
      </c>
      <c r="B76" s="5">
        <v>14.0</v>
      </c>
      <c r="C76" s="5">
        <v>5.0</v>
      </c>
      <c r="D76" s="5">
        <v>59.0</v>
      </c>
      <c r="E76" s="5">
        <v>12.0</v>
      </c>
      <c r="F76" s="5">
        <v>46.0</v>
      </c>
      <c r="G76" s="5">
        <v>32.0</v>
      </c>
      <c r="H76" s="5">
        <v>49.0</v>
      </c>
      <c r="I76" s="4" t="str">
        <f t="shared" si="1"/>
        <v>pass</v>
      </c>
      <c r="J76" s="26" t="str">
        <f t="shared" si="2"/>
        <v/>
      </c>
      <c r="K76" s="13"/>
      <c r="L76" s="13"/>
      <c r="M76" s="13"/>
      <c r="N76" s="13"/>
      <c r="O76" s="13"/>
    </row>
    <row r="77">
      <c r="A77" s="5" t="s">
        <v>106</v>
      </c>
      <c r="B77" s="5">
        <v>22.0</v>
      </c>
      <c r="C77" s="5">
        <v>7.0</v>
      </c>
      <c r="D77" s="5">
        <v>86.0</v>
      </c>
      <c r="E77" s="5">
        <v>17.0</v>
      </c>
      <c r="F77" s="5">
        <v>58.0</v>
      </c>
      <c r="G77" s="5">
        <v>41.0</v>
      </c>
      <c r="H77" s="5">
        <v>65.0</v>
      </c>
      <c r="I77" s="4" t="str">
        <f t="shared" si="1"/>
        <v>pass</v>
      </c>
      <c r="J77" s="26" t="str">
        <f t="shared" si="2"/>
        <v/>
      </c>
      <c r="K77" s="13"/>
      <c r="L77" s="13"/>
      <c r="M77" s="13"/>
      <c r="N77" s="13"/>
      <c r="O77" s="13"/>
    </row>
    <row r="78">
      <c r="A78" s="5" t="s">
        <v>31</v>
      </c>
      <c r="B78" s="5">
        <v>16.0</v>
      </c>
      <c r="C78" s="5">
        <v>5.0</v>
      </c>
      <c r="D78" s="5">
        <v>40.0</v>
      </c>
      <c r="E78" s="5">
        <v>8.0</v>
      </c>
      <c r="F78" s="5">
        <v>76.0</v>
      </c>
      <c r="G78" s="5">
        <v>53.0</v>
      </c>
      <c r="H78" s="5">
        <v>67.0</v>
      </c>
      <c r="I78" s="4" t="str">
        <f t="shared" si="1"/>
        <v>pass</v>
      </c>
      <c r="J78" s="26" t="str">
        <f t="shared" si="2"/>
        <v/>
      </c>
      <c r="K78" s="13"/>
      <c r="L78" s="13"/>
      <c r="M78" s="13"/>
      <c r="N78" s="13"/>
      <c r="O78" s="13"/>
    </row>
    <row r="79">
      <c r="A79" s="5" t="s">
        <v>107</v>
      </c>
      <c r="B79" s="5">
        <v>20.0</v>
      </c>
      <c r="C79" s="5">
        <v>7.0</v>
      </c>
      <c r="D79" s="5">
        <v>83.0</v>
      </c>
      <c r="E79" s="5">
        <v>17.0</v>
      </c>
      <c r="F79" s="5">
        <v>28.0</v>
      </c>
      <c r="G79" s="5">
        <v>20.0</v>
      </c>
      <c r="H79" s="5">
        <v>43.0</v>
      </c>
      <c r="I79" s="4" t="str">
        <f t="shared" si="1"/>
        <v>pass</v>
      </c>
      <c r="J79" s="26" t="str">
        <f t="shared" si="2"/>
        <v/>
      </c>
      <c r="K79" s="13"/>
      <c r="L79" s="13"/>
      <c r="M79" s="13"/>
      <c r="N79" s="13"/>
      <c r="O79" s="13"/>
    </row>
    <row r="80">
      <c r="A80" s="5" t="s">
        <v>108</v>
      </c>
      <c r="B80" s="5">
        <v>28.0</v>
      </c>
      <c r="C80" s="5">
        <v>9.0</v>
      </c>
      <c r="D80" s="5">
        <v>77.0</v>
      </c>
      <c r="E80" s="5">
        <v>15.0</v>
      </c>
      <c r="F80" s="5">
        <v>63.0</v>
      </c>
      <c r="G80" s="5">
        <v>44.0</v>
      </c>
      <c r="H80" s="5">
        <v>69.0</v>
      </c>
      <c r="I80" s="4" t="str">
        <f t="shared" si="1"/>
        <v>pass</v>
      </c>
      <c r="J80" s="26" t="str">
        <f t="shared" si="2"/>
        <v/>
      </c>
      <c r="K80" s="13"/>
      <c r="L80" s="13"/>
      <c r="M80" s="13"/>
      <c r="N80" s="13"/>
      <c r="O80" s="13"/>
    </row>
    <row r="81">
      <c r="A81" s="5" t="s">
        <v>109</v>
      </c>
      <c r="B81" s="5">
        <v>7.0</v>
      </c>
      <c r="C81" s="5">
        <v>2.0</v>
      </c>
      <c r="D81" s="5">
        <v>92.0</v>
      </c>
      <c r="E81" s="5">
        <v>18.0</v>
      </c>
      <c r="F81" s="5">
        <v>56.0</v>
      </c>
      <c r="G81" s="5">
        <v>39.0</v>
      </c>
      <c r="H81" s="5">
        <v>60.0</v>
      </c>
      <c r="I81" s="4" t="str">
        <f t="shared" si="1"/>
        <v>pass</v>
      </c>
      <c r="J81" s="26" t="str">
        <f t="shared" si="2"/>
        <v/>
      </c>
      <c r="K81" s="13"/>
      <c r="L81" s="13"/>
      <c r="M81" s="13"/>
      <c r="N81" s="13"/>
      <c r="O81" s="13"/>
    </row>
    <row r="82">
      <c r="A82" s="5" t="s">
        <v>110</v>
      </c>
      <c r="B82" s="5">
        <v>19.0</v>
      </c>
      <c r="C82" s="5">
        <v>6.0</v>
      </c>
      <c r="D82" s="5">
        <v>58.0</v>
      </c>
      <c r="E82" s="5">
        <v>12.0</v>
      </c>
      <c r="F82" s="5">
        <v>83.0</v>
      </c>
      <c r="G82" s="5">
        <v>58.0</v>
      </c>
      <c r="H82" s="5">
        <v>76.0</v>
      </c>
      <c r="I82" s="4" t="str">
        <f t="shared" si="1"/>
        <v>pass</v>
      </c>
      <c r="J82" s="26" t="str">
        <f t="shared" si="2"/>
        <v/>
      </c>
      <c r="K82" s="13"/>
      <c r="L82" s="13"/>
      <c r="M82" s="13"/>
      <c r="N82" s="13"/>
      <c r="O82" s="13"/>
    </row>
    <row r="83">
      <c r="A83" s="5" t="s">
        <v>111</v>
      </c>
      <c r="B83" s="5">
        <v>9.0</v>
      </c>
      <c r="C83" s="5">
        <v>3.0</v>
      </c>
      <c r="D83" s="5">
        <v>37.0</v>
      </c>
      <c r="E83" s="5">
        <v>7.0</v>
      </c>
      <c r="F83" s="5">
        <v>45.0</v>
      </c>
      <c r="G83" s="5">
        <v>32.0</v>
      </c>
      <c r="H83" s="5">
        <v>42.0</v>
      </c>
      <c r="I83" s="4" t="str">
        <f t="shared" si="1"/>
        <v>pass</v>
      </c>
      <c r="J83" s="26" t="str">
        <f t="shared" si="2"/>
        <v/>
      </c>
      <c r="K83" s="13"/>
      <c r="L83" s="13"/>
      <c r="M83" s="13"/>
      <c r="N83" s="13"/>
      <c r="O83" s="13"/>
    </row>
    <row r="84">
      <c r="A84" s="5" t="s">
        <v>112</v>
      </c>
      <c r="B84" s="5">
        <v>13.0</v>
      </c>
      <c r="C84" s="5">
        <v>4.0</v>
      </c>
      <c r="D84" s="5">
        <v>36.0</v>
      </c>
      <c r="E84" s="5">
        <v>7.0</v>
      </c>
      <c r="F84" s="5">
        <v>95.0</v>
      </c>
      <c r="G84" s="5">
        <v>67.0</v>
      </c>
      <c r="H84" s="5">
        <v>78.0</v>
      </c>
      <c r="I84" s="4" t="str">
        <f t="shared" si="1"/>
        <v>pass</v>
      </c>
      <c r="J84" s="26" t="str">
        <f t="shared" si="2"/>
        <v/>
      </c>
      <c r="K84" s="13"/>
      <c r="L84" s="13"/>
      <c r="M84" s="13"/>
      <c r="N84" s="13"/>
      <c r="O84" s="13"/>
    </row>
    <row r="85">
      <c r="A85" s="5" t="s">
        <v>113</v>
      </c>
      <c r="B85" s="5">
        <v>8.0</v>
      </c>
      <c r="C85" s="5">
        <v>3.0</v>
      </c>
      <c r="D85" s="5">
        <v>49.0</v>
      </c>
      <c r="E85" s="5">
        <v>10.0</v>
      </c>
      <c r="F85" s="5">
        <v>51.0</v>
      </c>
      <c r="G85" s="5">
        <v>36.0</v>
      </c>
      <c r="H85" s="5">
        <v>48.0</v>
      </c>
      <c r="I85" s="4" t="str">
        <f t="shared" si="1"/>
        <v>pass</v>
      </c>
      <c r="J85" s="26" t="str">
        <f t="shared" si="2"/>
        <v/>
      </c>
      <c r="K85" s="13"/>
      <c r="L85" s="13"/>
      <c r="M85" s="13"/>
      <c r="N85" s="13"/>
      <c r="O85" s="13"/>
    </row>
    <row r="86">
      <c r="A86" s="5" t="s">
        <v>37</v>
      </c>
      <c r="B86" s="5">
        <v>18.0</v>
      </c>
      <c r="C86" s="5">
        <v>6.0</v>
      </c>
      <c r="D86" s="5">
        <v>97.0</v>
      </c>
      <c r="E86" s="5">
        <v>19.0</v>
      </c>
      <c r="F86" s="5">
        <v>83.0</v>
      </c>
      <c r="G86" s="5">
        <v>58.0</v>
      </c>
      <c r="H86" s="5">
        <v>84.0</v>
      </c>
      <c r="I86" s="4" t="str">
        <f t="shared" si="1"/>
        <v>pass</v>
      </c>
      <c r="J86" s="26" t="str">
        <f t="shared" si="2"/>
        <v/>
      </c>
      <c r="K86" s="13"/>
      <c r="L86" s="13"/>
      <c r="M86" s="13"/>
      <c r="N86" s="13"/>
      <c r="O86" s="13"/>
    </row>
    <row r="87">
      <c r="A87" s="5" t="s">
        <v>114</v>
      </c>
      <c r="B87" s="5">
        <v>14.0</v>
      </c>
      <c r="C87" s="5">
        <v>5.0</v>
      </c>
      <c r="D87" s="5">
        <v>55.0</v>
      </c>
      <c r="E87" s="5">
        <v>11.0</v>
      </c>
      <c r="F87" s="5">
        <v>46.0</v>
      </c>
      <c r="G87" s="5">
        <v>32.0</v>
      </c>
      <c r="H87" s="5">
        <v>48.0</v>
      </c>
      <c r="I87" s="4" t="str">
        <f t="shared" si="1"/>
        <v>pass</v>
      </c>
      <c r="J87" s="26" t="str">
        <f t="shared" si="2"/>
        <v/>
      </c>
      <c r="K87" s="13"/>
      <c r="L87" s="13"/>
      <c r="M87" s="13"/>
      <c r="N87" s="13"/>
      <c r="O87" s="13"/>
    </row>
    <row r="88">
      <c r="A88" s="5" t="s">
        <v>115</v>
      </c>
      <c r="B88" s="5">
        <v>14.0</v>
      </c>
      <c r="C88" s="5">
        <v>5.0</v>
      </c>
      <c r="D88" s="5">
        <v>62.0</v>
      </c>
      <c r="E88" s="5">
        <v>12.0</v>
      </c>
      <c r="F88" s="5">
        <v>29.0</v>
      </c>
      <c r="G88" s="5">
        <v>20.0</v>
      </c>
      <c r="H88" s="5">
        <v>37.0</v>
      </c>
      <c r="I88" s="4" t="str">
        <f t="shared" si="1"/>
        <v>fail</v>
      </c>
      <c r="J88" s="26" t="str">
        <f t="shared" si="2"/>
        <v/>
      </c>
      <c r="K88" s="13"/>
      <c r="L88" s="13"/>
      <c r="M88" s="13"/>
      <c r="N88" s="13"/>
      <c r="O88" s="13"/>
    </row>
    <row r="89">
      <c r="A89" s="5" t="s">
        <v>116</v>
      </c>
      <c r="B89" s="5">
        <v>23.0</v>
      </c>
      <c r="C89" s="5">
        <v>8.0</v>
      </c>
      <c r="D89" s="5">
        <v>97.0</v>
      </c>
      <c r="E89" s="5">
        <v>19.0</v>
      </c>
      <c r="F89" s="5">
        <v>70.0</v>
      </c>
      <c r="G89" s="5">
        <v>49.0</v>
      </c>
      <c r="H89" s="5">
        <v>76.0</v>
      </c>
      <c r="I89" s="4" t="str">
        <f t="shared" si="1"/>
        <v>pass</v>
      </c>
      <c r="J89" s="26" t="str">
        <f t="shared" si="2"/>
        <v/>
      </c>
      <c r="K89" s="13"/>
      <c r="L89" s="13"/>
      <c r="M89" s="13"/>
      <c r="N89" s="13"/>
      <c r="O89" s="13"/>
    </row>
    <row r="90">
      <c r="A90" s="5" t="s">
        <v>117</v>
      </c>
      <c r="B90" s="5">
        <v>10.0</v>
      </c>
      <c r="C90" s="5">
        <v>3.0</v>
      </c>
      <c r="D90" s="5">
        <v>27.0</v>
      </c>
      <c r="E90" s="5">
        <v>5.0</v>
      </c>
      <c r="F90" s="5">
        <v>99.0</v>
      </c>
      <c r="G90" s="5">
        <v>69.0</v>
      </c>
      <c r="H90" s="5">
        <v>78.0</v>
      </c>
      <c r="I90" s="4" t="str">
        <f t="shared" si="1"/>
        <v>pass</v>
      </c>
      <c r="J90" s="26" t="str">
        <f t="shared" si="2"/>
        <v/>
      </c>
      <c r="K90" s="13"/>
      <c r="L90" s="13"/>
      <c r="M90" s="13"/>
      <c r="N90" s="13"/>
      <c r="O90" s="13"/>
    </row>
    <row r="91">
      <c r="A91" s="5" t="s">
        <v>118</v>
      </c>
      <c r="B91" s="5">
        <v>8.0</v>
      </c>
      <c r="C91" s="5">
        <v>3.0</v>
      </c>
      <c r="D91" s="5">
        <v>92.0</v>
      </c>
      <c r="E91" s="5">
        <v>18.0</v>
      </c>
      <c r="F91" s="5">
        <v>46.0</v>
      </c>
      <c r="G91" s="5">
        <v>32.0</v>
      </c>
      <c r="H91" s="5">
        <v>53.0</v>
      </c>
      <c r="I91" s="4" t="str">
        <f t="shared" si="1"/>
        <v>pass</v>
      </c>
      <c r="J91" s="26" t="str">
        <f t="shared" si="2"/>
        <v/>
      </c>
      <c r="K91" s="13"/>
      <c r="L91" s="13"/>
      <c r="M91" s="13"/>
      <c r="N91" s="13"/>
      <c r="O91" s="13"/>
    </row>
    <row r="92">
      <c r="A92" s="5" t="s">
        <v>119</v>
      </c>
      <c r="B92" s="5">
        <v>12.0</v>
      </c>
      <c r="C92" s="5">
        <v>4.0</v>
      </c>
      <c r="D92" s="5">
        <v>30.0</v>
      </c>
      <c r="E92" s="5">
        <v>6.0</v>
      </c>
      <c r="F92" s="5">
        <v>50.0</v>
      </c>
      <c r="G92" s="5">
        <v>35.0</v>
      </c>
      <c r="H92" s="5">
        <v>45.0</v>
      </c>
      <c r="I92" s="4" t="str">
        <f t="shared" si="1"/>
        <v>pass</v>
      </c>
      <c r="J92" s="26" t="str">
        <f t="shared" si="2"/>
        <v/>
      </c>
      <c r="K92" s="13"/>
      <c r="L92" s="13"/>
      <c r="M92" s="13"/>
      <c r="N92" s="13"/>
      <c r="O92" s="13"/>
    </row>
    <row r="93">
      <c r="A93" s="5" t="s">
        <v>120</v>
      </c>
      <c r="B93" s="5">
        <v>22.0</v>
      </c>
      <c r="C93" s="5">
        <v>7.0</v>
      </c>
      <c r="D93" s="5">
        <v>47.0</v>
      </c>
      <c r="E93" s="5">
        <v>9.0</v>
      </c>
      <c r="F93" s="5">
        <v>63.0</v>
      </c>
      <c r="G93" s="5">
        <v>44.0</v>
      </c>
      <c r="H93" s="5">
        <v>61.0</v>
      </c>
      <c r="I93" s="4" t="str">
        <f t="shared" si="1"/>
        <v>pass</v>
      </c>
      <c r="J93" s="26" t="str">
        <f t="shared" si="2"/>
        <v/>
      </c>
      <c r="K93" s="13"/>
      <c r="L93" s="13"/>
      <c r="M93" s="13"/>
      <c r="N93" s="13"/>
      <c r="O93" s="13"/>
    </row>
    <row r="94">
      <c r="A94" s="5" t="s">
        <v>121</v>
      </c>
      <c r="B94" s="5">
        <v>14.0</v>
      </c>
      <c r="C94" s="5">
        <v>5.0</v>
      </c>
      <c r="D94" s="5">
        <v>22.0</v>
      </c>
      <c r="E94" s="5">
        <v>4.0</v>
      </c>
      <c r="F94" s="5">
        <v>46.0</v>
      </c>
      <c r="G94" s="5">
        <v>32.0</v>
      </c>
      <c r="H94" s="5">
        <v>41.0</v>
      </c>
      <c r="I94" s="4" t="str">
        <f t="shared" si="1"/>
        <v>pass</v>
      </c>
      <c r="J94" s="26" t="str">
        <f t="shared" si="2"/>
        <v/>
      </c>
      <c r="K94" s="13"/>
      <c r="L94" s="13"/>
      <c r="M94" s="13"/>
      <c r="N94" s="13"/>
      <c r="O94" s="13"/>
    </row>
    <row r="95">
      <c r="A95" s="5" t="s">
        <v>122</v>
      </c>
      <c r="B95" s="5">
        <v>27.0</v>
      </c>
      <c r="C95" s="5">
        <v>9.0</v>
      </c>
      <c r="D95" s="5">
        <v>56.0</v>
      </c>
      <c r="E95" s="5">
        <v>11.0</v>
      </c>
      <c r="F95" s="5">
        <v>60.0</v>
      </c>
      <c r="G95" s="5">
        <v>42.0</v>
      </c>
      <c r="H95" s="5">
        <v>62.0</v>
      </c>
      <c r="I95" s="4" t="str">
        <f t="shared" si="1"/>
        <v>pass</v>
      </c>
      <c r="J95" s="26" t="str">
        <f t="shared" si="2"/>
        <v/>
      </c>
      <c r="K95" s="13"/>
      <c r="L95" s="13"/>
      <c r="M95" s="13"/>
      <c r="N95" s="13"/>
      <c r="O95" s="13"/>
    </row>
    <row r="96">
      <c r="A96" s="5" t="s">
        <v>123</v>
      </c>
      <c r="B96" s="5">
        <v>23.0</v>
      </c>
      <c r="C96" s="5">
        <v>8.0</v>
      </c>
      <c r="D96" s="5">
        <v>22.0</v>
      </c>
      <c r="E96" s="5">
        <v>4.0</v>
      </c>
      <c r="F96" s="5">
        <v>53.0</v>
      </c>
      <c r="G96" s="5">
        <v>37.0</v>
      </c>
      <c r="H96" s="5">
        <v>49.0</v>
      </c>
      <c r="I96" s="4" t="str">
        <f t="shared" si="1"/>
        <v>pass</v>
      </c>
      <c r="J96" s="26" t="str">
        <f t="shared" si="2"/>
        <v/>
      </c>
      <c r="K96" s="13"/>
      <c r="L96" s="13"/>
      <c r="M96" s="13"/>
      <c r="N96" s="13"/>
      <c r="O96" s="13"/>
    </row>
    <row r="97">
      <c r="A97" s="5" t="s">
        <v>124</v>
      </c>
      <c r="B97" s="5">
        <v>16.0</v>
      </c>
      <c r="C97" s="5">
        <v>5.0</v>
      </c>
      <c r="D97" s="5">
        <v>87.0</v>
      </c>
      <c r="E97" s="5">
        <v>17.0</v>
      </c>
      <c r="F97" s="5">
        <v>97.0</v>
      </c>
      <c r="G97" s="5">
        <v>68.0</v>
      </c>
      <c r="H97" s="5">
        <v>91.0</v>
      </c>
      <c r="I97" s="4" t="str">
        <f t="shared" si="1"/>
        <v>pass</v>
      </c>
      <c r="J97" s="26" t="str">
        <f t="shared" si="2"/>
        <v/>
      </c>
      <c r="K97" s="13"/>
      <c r="L97" s="13"/>
      <c r="M97" s="13"/>
      <c r="N97" s="13"/>
      <c r="O97" s="13"/>
    </row>
    <row r="98">
      <c r="A98" s="5" t="s">
        <v>125</v>
      </c>
      <c r="B98" s="5">
        <v>20.0</v>
      </c>
      <c r="C98" s="5">
        <v>7.0</v>
      </c>
      <c r="D98" s="5">
        <v>61.0</v>
      </c>
      <c r="E98" s="5">
        <v>12.0</v>
      </c>
      <c r="F98" s="5">
        <v>66.0</v>
      </c>
      <c r="G98" s="5">
        <v>46.0</v>
      </c>
      <c r="H98" s="5">
        <v>65.0</v>
      </c>
      <c r="I98" s="4" t="str">
        <f t="shared" si="1"/>
        <v>pass</v>
      </c>
      <c r="J98" s="26" t="str">
        <f t="shared" si="2"/>
        <v/>
      </c>
      <c r="K98" s="13"/>
      <c r="L98" s="13"/>
      <c r="M98" s="13"/>
      <c r="N98" s="13"/>
      <c r="O98" s="13"/>
    </row>
    <row r="99">
      <c r="A99" s="5" t="s">
        <v>126</v>
      </c>
      <c r="B99" s="5">
        <v>23.0</v>
      </c>
      <c r="C99" s="5">
        <v>8.0</v>
      </c>
      <c r="D99" s="5">
        <v>78.0</v>
      </c>
      <c r="E99" s="5">
        <v>16.0</v>
      </c>
      <c r="F99" s="5">
        <v>39.0</v>
      </c>
      <c r="G99" s="5">
        <v>27.0</v>
      </c>
      <c r="H99" s="5">
        <v>51.0</v>
      </c>
      <c r="I99" s="4" t="str">
        <f t="shared" si="1"/>
        <v>pass</v>
      </c>
      <c r="J99" s="26" t="str">
        <f t="shared" si="2"/>
        <v/>
      </c>
      <c r="K99" s="13"/>
      <c r="L99" s="13"/>
      <c r="M99" s="13"/>
      <c r="N99" s="13"/>
      <c r="O99" s="13"/>
    </row>
    <row r="100">
      <c r="A100" s="5" t="s">
        <v>127</v>
      </c>
      <c r="B100" s="5">
        <v>20.0</v>
      </c>
      <c r="C100" s="5">
        <v>7.0</v>
      </c>
      <c r="D100" s="5">
        <v>34.0</v>
      </c>
      <c r="E100" s="5">
        <v>7.0</v>
      </c>
      <c r="F100" s="5">
        <v>72.0</v>
      </c>
      <c r="G100" s="5">
        <v>50.0</v>
      </c>
      <c r="H100" s="5">
        <v>64.0</v>
      </c>
      <c r="I100" s="4" t="str">
        <f t="shared" si="1"/>
        <v>pass</v>
      </c>
      <c r="J100" s="26" t="str">
        <f t="shared" si="2"/>
        <v/>
      </c>
      <c r="K100" s="13"/>
      <c r="L100" s="13"/>
      <c r="M100" s="13"/>
      <c r="N100" s="13"/>
      <c r="O100" s="13"/>
    </row>
    <row r="101">
      <c r="A101" s="5" t="s">
        <v>128</v>
      </c>
      <c r="B101" s="5">
        <v>30.0</v>
      </c>
      <c r="C101" s="5">
        <v>10.0</v>
      </c>
      <c r="D101" s="5">
        <v>75.0</v>
      </c>
      <c r="E101" s="5">
        <v>15.0</v>
      </c>
      <c r="F101" s="5">
        <v>33.0</v>
      </c>
      <c r="G101" s="5">
        <v>23.0</v>
      </c>
      <c r="H101" s="5">
        <v>48.0</v>
      </c>
      <c r="I101" s="4" t="str">
        <f t="shared" si="1"/>
        <v>pass</v>
      </c>
      <c r="J101" s="26" t="str">
        <f t="shared" si="2"/>
        <v/>
      </c>
      <c r="K101" s="13"/>
      <c r="L101" s="13"/>
      <c r="M101" s="13"/>
      <c r="N101" s="13"/>
      <c r="O101" s="13"/>
    </row>
    <row r="102">
      <c r="A102" s="5" t="s">
        <v>129</v>
      </c>
      <c r="B102" s="5">
        <v>27.0</v>
      </c>
      <c r="C102" s="5">
        <v>9.0</v>
      </c>
      <c r="D102" s="5">
        <v>45.0</v>
      </c>
      <c r="E102" s="5">
        <v>9.0</v>
      </c>
      <c r="F102" s="5">
        <v>82.0</v>
      </c>
      <c r="G102" s="5">
        <v>57.0</v>
      </c>
      <c r="H102" s="5">
        <v>75.0</v>
      </c>
      <c r="I102" s="4" t="str">
        <f t="shared" si="1"/>
        <v>pass</v>
      </c>
      <c r="J102" s="26" t="str">
        <f t="shared" si="2"/>
        <v/>
      </c>
      <c r="K102" s="13"/>
      <c r="L102" s="13"/>
      <c r="M102" s="13"/>
      <c r="N102" s="13"/>
      <c r="O102" s="13"/>
    </row>
    <row r="103">
      <c r="A103" s="5" t="s">
        <v>130</v>
      </c>
      <c r="B103" s="5">
        <v>12.0</v>
      </c>
      <c r="C103" s="5">
        <v>4.0</v>
      </c>
      <c r="D103" s="5">
        <v>36.0</v>
      </c>
      <c r="E103" s="5">
        <v>7.0</v>
      </c>
      <c r="F103" s="5">
        <v>55.0</v>
      </c>
      <c r="G103" s="5">
        <v>39.0</v>
      </c>
      <c r="H103" s="5">
        <v>50.0</v>
      </c>
      <c r="I103" s="4" t="str">
        <f t="shared" si="1"/>
        <v>pass</v>
      </c>
      <c r="J103" s="26" t="str">
        <f t="shared" si="2"/>
        <v/>
      </c>
      <c r="K103" s="13"/>
      <c r="L103" s="13"/>
      <c r="M103" s="13"/>
      <c r="N103" s="13"/>
      <c r="O103" s="13"/>
    </row>
    <row r="104">
      <c r="A104" s="5" t="s">
        <v>131</v>
      </c>
      <c r="B104" s="5">
        <v>8.0</v>
      </c>
      <c r="C104" s="5">
        <v>3.0</v>
      </c>
      <c r="D104" s="5">
        <v>95.0</v>
      </c>
      <c r="E104" s="5">
        <v>19.0</v>
      </c>
      <c r="F104" s="5">
        <v>99.0</v>
      </c>
      <c r="G104" s="5">
        <v>69.0</v>
      </c>
      <c r="H104" s="5">
        <v>91.0</v>
      </c>
      <c r="I104" s="4" t="str">
        <f t="shared" si="1"/>
        <v>pass</v>
      </c>
      <c r="J104" s="26" t="str">
        <f t="shared" si="2"/>
        <v/>
      </c>
      <c r="K104" s="13"/>
      <c r="L104" s="13"/>
      <c r="M104" s="13"/>
      <c r="N104" s="13"/>
      <c r="O104" s="13"/>
    </row>
    <row r="105">
      <c r="A105" s="5" t="s">
        <v>132</v>
      </c>
      <c r="B105" s="5">
        <v>30.0</v>
      </c>
      <c r="C105" s="5">
        <v>10.0</v>
      </c>
      <c r="D105" s="5">
        <v>40.0</v>
      </c>
      <c r="E105" s="5">
        <v>8.0</v>
      </c>
      <c r="F105" s="5">
        <v>95.0</v>
      </c>
      <c r="G105" s="5">
        <v>67.0</v>
      </c>
      <c r="H105" s="5">
        <v>85.0</v>
      </c>
      <c r="I105" s="4" t="str">
        <f t="shared" si="1"/>
        <v>pass</v>
      </c>
      <c r="J105" s="26" t="str">
        <f t="shared" si="2"/>
        <v/>
      </c>
      <c r="K105" s="13"/>
      <c r="L105" s="13"/>
      <c r="M105" s="13"/>
      <c r="N105" s="13"/>
      <c r="O105" s="13"/>
    </row>
    <row r="106">
      <c r="A106" s="5" t="s">
        <v>133</v>
      </c>
      <c r="B106" s="5">
        <v>23.0</v>
      </c>
      <c r="C106" s="5">
        <v>8.0</v>
      </c>
      <c r="D106" s="5">
        <v>36.0</v>
      </c>
      <c r="E106" s="5">
        <v>7.0</v>
      </c>
      <c r="F106" s="5">
        <v>58.0</v>
      </c>
      <c r="G106" s="5">
        <v>41.0</v>
      </c>
      <c r="H106" s="5">
        <v>55.0</v>
      </c>
      <c r="I106" s="4" t="str">
        <f t="shared" si="1"/>
        <v>pass</v>
      </c>
      <c r="J106" s="26" t="str">
        <f t="shared" si="2"/>
        <v/>
      </c>
      <c r="K106" s="13"/>
      <c r="L106" s="13"/>
      <c r="M106" s="13"/>
      <c r="N106" s="13"/>
      <c r="O106" s="13"/>
    </row>
    <row r="107">
      <c r="A107" s="12" t="s">
        <v>134</v>
      </c>
      <c r="B107" s="5">
        <v>28.0</v>
      </c>
      <c r="C107" s="5">
        <v>9.0</v>
      </c>
      <c r="D107" s="5">
        <v>86.0</v>
      </c>
      <c r="E107" s="5">
        <v>17.0</v>
      </c>
      <c r="F107" s="5">
        <v>56.0</v>
      </c>
      <c r="G107" s="5">
        <v>39.0</v>
      </c>
      <c r="H107" s="5">
        <v>66.0</v>
      </c>
      <c r="I107" s="4" t="str">
        <f t="shared" si="1"/>
        <v>pass</v>
      </c>
      <c r="J107" s="26" t="str">
        <f t="shared" si="2"/>
        <v/>
      </c>
      <c r="K107" s="13"/>
      <c r="L107" s="13"/>
      <c r="M107" s="13"/>
      <c r="N107" s="13"/>
      <c r="O107" s="13"/>
    </row>
    <row r="108">
      <c r="A108" s="5" t="s">
        <v>135</v>
      </c>
      <c r="B108" s="5">
        <v>8.0</v>
      </c>
      <c r="C108" s="5">
        <v>3.0</v>
      </c>
      <c r="D108" s="5">
        <v>95.0</v>
      </c>
      <c r="E108" s="5">
        <v>19.0</v>
      </c>
      <c r="F108" s="5">
        <v>62.0</v>
      </c>
      <c r="G108" s="5">
        <v>43.0</v>
      </c>
      <c r="H108" s="5">
        <v>65.0</v>
      </c>
      <c r="I108" s="4" t="str">
        <f t="shared" si="1"/>
        <v>pass</v>
      </c>
      <c r="J108" s="26" t="str">
        <f t="shared" si="2"/>
        <v/>
      </c>
      <c r="K108" s="13"/>
      <c r="L108" s="13"/>
      <c r="M108" s="13"/>
      <c r="N108" s="13"/>
      <c r="O108" s="13"/>
    </row>
    <row r="109">
      <c r="A109" s="5" t="s">
        <v>136</v>
      </c>
      <c r="B109" s="5">
        <v>21.0</v>
      </c>
      <c r="C109" s="5">
        <v>7.0</v>
      </c>
      <c r="D109" s="5">
        <v>47.0</v>
      </c>
      <c r="E109" s="5">
        <v>9.0</v>
      </c>
      <c r="F109" s="5">
        <v>77.0</v>
      </c>
      <c r="G109" s="5">
        <v>54.0</v>
      </c>
      <c r="H109" s="5">
        <v>70.0</v>
      </c>
      <c r="I109" s="4" t="str">
        <f t="shared" si="1"/>
        <v>pass</v>
      </c>
      <c r="J109" s="26" t="str">
        <f t="shared" si="2"/>
        <v/>
      </c>
      <c r="K109" s="13"/>
      <c r="L109" s="13"/>
      <c r="M109" s="13"/>
      <c r="N109" s="13"/>
      <c r="O109" s="13"/>
    </row>
    <row r="110">
      <c r="A110" s="5" t="s">
        <v>137</v>
      </c>
      <c r="B110" s="5">
        <v>28.0</v>
      </c>
      <c r="C110" s="5">
        <v>9.0</v>
      </c>
      <c r="D110" s="5">
        <v>67.0</v>
      </c>
      <c r="E110" s="5">
        <v>13.0</v>
      </c>
      <c r="F110" s="5">
        <v>51.0</v>
      </c>
      <c r="G110" s="5">
        <v>36.0</v>
      </c>
      <c r="H110" s="5">
        <v>58.0</v>
      </c>
      <c r="I110" s="4" t="str">
        <f t="shared" si="1"/>
        <v>pass</v>
      </c>
      <c r="J110" s="26" t="str">
        <f t="shared" si="2"/>
        <v/>
      </c>
      <c r="K110" s="13"/>
      <c r="L110" s="13"/>
      <c r="M110" s="13"/>
      <c r="N110" s="13"/>
      <c r="O110" s="13"/>
    </row>
    <row r="111">
      <c r="A111" s="5" t="s">
        <v>138</v>
      </c>
      <c r="B111" s="5">
        <v>13.0</v>
      </c>
      <c r="C111" s="5">
        <v>4.0</v>
      </c>
      <c r="D111" s="5">
        <v>38.0</v>
      </c>
      <c r="E111" s="5">
        <v>8.0</v>
      </c>
      <c r="F111" s="5">
        <v>72.0</v>
      </c>
      <c r="G111" s="5">
        <v>50.0</v>
      </c>
      <c r="H111" s="5">
        <v>62.0</v>
      </c>
      <c r="I111" s="4" t="str">
        <f t="shared" si="1"/>
        <v>pass</v>
      </c>
      <c r="J111" s="26" t="str">
        <f t="shared" si="2"/>
        <v/>
      </c>
      <c r="K111" s="13"/>
      <c r="L111" s="13"/>
      <c r="M111" s="13"/>
      <c r="N111" s="13"/>
      <c r="O111" s="13"/>
    </row>
    <row r="112">
      <c r="A112" s="5" t="s">
        <v>139</v>
      </c>
      <c r="B112" s="5">
        <v>21.0</v>
      </c>
      <c r="C112" s="5">
        <v>7.0</v>
      </c>
      <c r="D112" s="5">
        <v>91.0</v>
      </c>
      <c r="E112" s="5">
        <v>18.0</v>
      </c>
      <c r="F112" s="5">
        <v>72.0</v>
      </c>
      <c r="G112" s="5">
        <v>50.0</v>
      </c>
      <c r="H112" s="5">
        <v>76.0</v>
      </c>
      <c r="I112" s="4" t="str">
        <f t="shared" si="1"/>
        <v>pass</v>
      </c>
      <c r="J112" s="26" t="str">
        <f t="shared" si="2"/>
        <v/>
      </c>
      <c r="K112" s="13"/>
      <c r="L112" s="13"/>
      <c r="M112" s="13"/>
      <c r="N112" s="13"/>
      <c r="O112" s="13"/>
    </row>
    <row r="113">
      <c r="A113" s="5" t="s">
        <v>140</v>
      </c>
      <c r="B113" s="5">
        <v>23.0</v>
      </c>
      <c r="C113" s="5">
        <v>8.0</v>
      </c>
      <c r="D113" s="5">
        <v>23.0</v>
      </c>
      <c r="E113" s="5">
        <v>5.0</v>
      </c>
      <c r="F113" s="5">
        <v>47.0</v>
      </c>
      <c r="G113" s="5">
        <v>33.0</v>
      </c>
      <c r="H113" s="5">
        <v>45.0</v>
      </c>
      <c r="I113" s="4" t="str">
        <f t="shared" si="1"/>
        <v>pass</v>
      </c>
      <c r="J113" s="26" t="str">
        <f t="shared" si="2"/>
        <v/>
      </c>
      <c r="K113" s="13"/>
      <c r="L113" s="13"/>
      <c r="M113" s="13"/>
      <c r="N113" s="13"/>
      <c r="O113" s="13"/>
    </row>
    <row r="114">
      <c r="A114" s="5" t="s">
        <v>141</v>
      </c>
      <c r="B114" s="5">
        <v>22.0</v>
      </c>
      <c r="C114" s="5">
        <v>7.0</v>
      </c>
      <c r="D114" s="5">
        <v>66.0</v>
      </c>
      <c r="E114" s="5">
        <v>13.0</v>
      </c>
      <c r="F114" s="5">
        <v>59.0</v>
      </c>
      <c r="G114" s="5">
        <v>41.0</v>
      </c>
      <c r="H114" s="5">
        <v>62.0</v>
      </c>
      <c r="I114" s="4" t="str">
        <f t="shared" si="1"/>
        <v>pass</v>
      </c>
      <c r="J114" s="26" t="str">
        <f t="shared" si="2"/>
        <v/>
      </c>
      <c r="K114" s="13"/>
      <c r="L114" s="13"/>
      <c r="M114" s="13"/>
      <c r="N114" s="13"/>
      <c r="O114" s="13"/>
    </row>
    <row r="115">
      <c r="A115" s="5" t="s">
        <v>142</v>
      </c>
      <c r="B115" s="5">
        <v>29.0</v>
      </c>
      <c r="C115" s="5">
        <v>10.0</v>
      </c>
      <c r="D115" s="5">
        <v>100.0</v>
      </c>
      <c r="E115" s="5">
        <v>20.0</v>
      </c>
      <c r="F115" s="5">
        <v>56.0</v>
      </c>
      <c r="G115" s="5">
        <v>39.0</v>
      </c>
      <c r="H115" s="5">
        <v>69.0</v>
      </c>
      <c r="I115" s="4" t="str">
        <f t="shared" si="1"/>
        <v>pass</v>
      </c>
      <c r="J115" s="26" t="str">
        <f t="shared" si="2"/>
        <v/>
      </c>
      <c r="K115" s="13"/>
      <c r="L115" s="13"/>
      <c r="M115" s="13"/>
      <c r="N115" s="13"/>
      <c r="O115" s="13"/>
    </row>
    <row r="116">
      <c r="A116" s="5" t="s">
        <v>143</v>
      </c>
      <c r="B116" s="5">
        <v>20.0</v>
      </c>
      <c r="C116" s="5">
        <v>7.0</v>
      </c>
      <c r="D116" s="5">
        <v>27.0</v>
      </c>
      <c r="E116" s="5">
        <v>5.0</v>
      </c>
      <c r="F116" s="5">
        <v>41.0</v>
      </c>
      <c r="G116" s="5">
        <v>29.0</v>
      </c>
      <c r="H116" s="5">
        <v>41.0</v>
      </c>
      <c r="I116" s="4" t="str">
        <f t="shared" si="1"/>
        <v>pass</v>
      </c>
      <c r="J116" s="26" t="str">
        <f t="shared" si="2"/>
        <v/>
      </c>
      <c r="K116" s="13"/>
      <c r="L116" s="13"/>
      <c r="M116" s="13"/>
      <c r="N116" s="13"/>
      <c r="O116" s="13"/>
    </row>
    <row r="117">
      <c r="A117" s="5" t="s">
        <v>144</v>
      </c>
      <c r="B117" s="5">
        <v>13.0</v>
      </c>
      <c r="C117" s="5">
        <v>4.0</v>
      </c>
      <c r="D117" s="5">
        <v>46.0</v>
      </c>
      <c r="E117" s="5">
        <v>9.0</v>
      </c>
      <c r="F117" s="5">
        <v>74.0</v>
      </c>
      <c r="G117" s="5">
        <v>52.0</v>
      </c>
      <c r="H117" s="5">
        <v>65.0</v>
      </c>
      <c r="I117" s="4" t="str">
        <f t="shared" si="1"/>
        <v>pass</v>
      </c>
      <c r="J117" s="26" t="str">
        <f t="shared" si="2"/>
        <v/>
      </c>
      <c r="K117" s="13"/>
      <c r="L117" s="13"/>
      <c r="M117" s="13"/>
      <c r="N117" s="13"/>
      <c r="O117" s="13"/>
    </row>
    <row r="118">
      <c r="A118" s="5" t="s">
        <v>145</v>
      </c>
      <c r="B118" s="5">
        <v>24.0</v>
      </c>
      <c r="C118" s="5">
        <v>8.0</v>
      </c>
      <c r="D118" s="5">
        <v>51.0</v>
      </c>
      <c r="E118" s="5">
        <v>10.0</v>
      </c>
      <c r="F118" s="5">
        <v>65.0</v>
      </c>
      <c r="G118" s="5">
        <v>46.0</v>
      </c>
      <c r="H118" s="5">
        <v>64.0</v>
      </c>
      <c r="I118" s="4" t="str">
        <f t="shared" si="1"/>
        <v>pass</v>
      </c>
      <c r="J118" s="26" t="str">
        <f t="shared" si="2"/>
        <v/>
      </c>
      <c r="K118" s="13"/>
      <c r="L118" s="13"/>
      <c r="M118" s="13"/>
      <c r="N118" s="13"/>
      <c r="O118" s="13"/>
    </row>
    <row r="119">
      <c r="A119" s="5" t="s">
        <v>146</v>
      </c>
      <c r="B119" s="5">
        <v>10.0</v>
      </c>
      <c r="C119" s="5">
        <v>3.0</v>
      </c>
      <c r="D119" s="5">
        <v>32.0</v>
      </c>
      <c r="E119" s="5">
        <v>6.0</v>
      </c>
      <c r="F119" s="5">
        <v>46.0</v>
      </c>
      <c r="G119" s="5">
        <v>32.0</v>
      </c>
      <c r="H119" s="5">
        <v>42.0</v>
      </c>
      <c r="I119" s="4" t="str">
        <f t="shared" si="1"/>
        <v>pass</v>
      </c>
      <c r="J119" s="26" t="str">
        <f t="shared" si="2"/>
        <v/>
      </c>
      <c r="K119" s="13"/>
      <c r="L119" s="13"/>
      <c r="M119" s="13"/>
      <c r="N119" s="13"/>
      <c r="O119" s="13"/>
    </row>
    <row r="120">
      <c r="A120" s="5" t="s">
        <v>147</v>
      </c>
      <c r="B120" s="5">
        <v>18.0</v>
      </c>
      <c r="C120" s="5">
        <v>6.0</v>
      </c>
      <c r="D120" s="5">
        <v>53.0</v>
      </c>
      <c r="E120" s="5">
        <v>11.0</v>
      </c>
      <c r="F120" s="5">
        <v>22.0</v>
      </c>
      <c r="G120" s="5">
        <v>15.0</v>
      </c>
      <c r="H120" s="5">
        <v>32.0</v>
      </c>
      <c r="I120" s="4" t="str">
        <f t="shared" si="1"/>
        <v>fail</v>
      </c>
      <c r="J120" s="26" t="str">
        <f t="shared" si="2"/>
        <v/>
      </c>
      <c r="K120" s="13"/>
      <c r="L120" s="13"/>
      <c r="M120" s="13"/>
      <c r="N120" s="13"/>
      <c r="O120" s="13"/>
    </row>
    <row r="121">
      <c r="A121" s="5" t="s">
        <v>148</v>
      </c>
      <c r="B121" s="5">
        <v>26.0</v>
      </c>
      <c r="C121" s="5">
        <v>9.0</v>
      </c>
      <c r="D121" s="5">
        <v>55.0</v>
      </c>
      <c r="E121" s="5">
        <v>11.0</v>
      </c>
      <c r="F121" s="5">
        <v>51.0</v>
      </c>
      <c r="G121" s="5">
        <v>36.0</v>
      </c>
      <c r="H121" s="5">
        <v>55.0</v>
      </c>
      <c r="I121" s="4" t="str">
        <f t="shared" si="1"/>
        <v>pass</v>
      </c>
      <c r="J121" s="26" t="str">
        <f t="shared" si="2"/>
        <v/>
      </c>
      <c r="K121" s="13"/>
      <c r="L121" s="13"/>
      <c r="M121" s="13"/>
      <c r="N121" s="13"/>
      <c r="O121" s="13"/>
    </row>
    <row r="122">
      <c r="A122" s="5" t="s">
        <v>149</v>
      </c>
      <c r="B122" s="5">
        <v>22.0</v>
      </c>
      <c r="C122" s="5">
        <v>7.0</v>
      </c>
      <c r="D122" s="5">
        <v>48.0</v>
      </c>
      <c r="E122" s="5">
        <v>10.0</v>
      </c>
      <c r="F122" s="5">
        <v>69.0</v>
      </c>
      <c r="G122" s="5">
        <v>48.0</v>
      </c>
      <c r="H122" s="5">
        <v>65.0</v>
      </c>
      <c r="I122" s="4" t="str">
        <f t="shared" si="1"/>
        <v>pass</v>
      </c>
      <c r="J122" s="26" t="str">
        <f t="shared" si="2"/>
        <v/>
      </c>
      <c r="K122" s="13"/>
      <c r="L122" s="13"/>
      <c r="M122" s="13"/>
      <c r="N122" s="13"/>
      <c r="O122" s="13"/>
    </row>
    <row r="123">
      <c r="A123" s="5" t="s">
        <v>150</v>
      </c>
      <c r="B123" s="5">
        <v>30.0</v>
      </c>
      <c r="C123" s="5">
        <v>10.0</v>
      </c>
      <c r="D123" s="5">
        <v>44.0</v>
      </c>
      <c r="E123" s="5">
        <v>9.0</v>
      </c>
      <c r="F123" s="5">
        <v>58.0</v>
      </c>
      <c r="G123" s="5">
        <v>41.0</v>
      </c>
      <c r="H123" s="5">
        <v>59.0</v>
      </c>
      <c r="I123" s="4" t="str">
        <f t="shared" si="1"/>
        <v>pass</v>
      </c>
      <c r="J123" s="26" t="str">
        <f t="shared" si="2"/>
        <v/>
      </c>
      <c r="K123" s="13"/>
      <c r="L123" s="13"/>
      <c r="M123" s="13"/>
      <c r="N123" s="13"/>
      <c r="O123" s="13"/>
    </row>
    <row r="124">
      <c r="A124" s="5" t="s">
        <v>151</v>
      </c>
      <c r="B124" s="5">
        <v>23.0</v>
      </c>
      <c r="C124" s="5">
        <v>8.0</v>
      </c>
      <c r="D124" s="5">
        <v>31.0</v>
      </c>
      <c r="E124" s="5">
        <v>6.0</v>
      </c>
      <c r="F124" s="5">
        <v>54.0</v>
      </c>
      <c r="G124" s="5">
        <v>38.0</v>
      </c>
      <c r="H124" s="5">
        <v>52.0</v>
      </c>
      <c r="I124" s="4" t="str">
        <f t="shared" si="1"/>
        <v>pass</v>
      </c>
      <c r="J124" s="26" t="str">
        <f t="shared" si="2"/>
        <v/>
      </c>
      <c r="K124" s="13"/>
      <c r="L124" s="13"/>
      <c r="M124" s="13"/>
      <c r="N124" s="13"/>
      <c r="O124" s="13"/>
    </row>
    <row r="125">
      <c r="A125" s="5" t="s">
        <v>152</v>
      </c>
      <c r="B125" s="5">
        <v>12.0</v>
      </c>
      <c r="C125" s="5">
        <v>4.0</v>
      </c>
      <c r="D125" s="5">
        <v>63.0</v>
      </c>
      <c r="E125" s="5">
        <v>13.0</v>
      </c>
      <c r="F125" s="5">
        <v>79.0</v>
      </c>
      <c r="G125" s="5">
        <v>55.0</v>
      </c>
      <c r="H125" s="5">
        <v>72.0</v>
      </c>
      <c r="I125" s="4" t="str">
        <f t="shared" si="1"/>
        <v>pass</v>
      </c>
      <c r="J125" s="26" t="str">
        <f t="shared" si="2"/>
        <v/>
      </c>
      <c r="K125" s="13"/>
      <c r="L125" s="13"/>
      <c r="M125" s="13"/>
      <c r="N125" s="13"/>
      <c r="O125" s="13"/>
    </row>
    <row r="126">
      <c r="A126" s="5" t="s">
        <v>153</v>
      </c>
      <c r="B126" s="5">
        <v>16.0</v>
      </c>
      <c r="C126" s="5">
        <v>5.0</v>
      </c>
      <c r="D126" s="5">
        <v>26.0</v>
      </c>
      <c r="E126" s="5">
        <v>5.0</v>
      </c>
      <c r="F126" s="5">
        <v>42.0</v>
      </c>
      <c r="G126" s="5">
        <v>29.0</v>
      </c>
      <c r="H126" s="5">
        <v>40.0</v>
      </c>
      <c r="I126" s="4" t="str">
        <f t="shared" si="1"/>
        <v>fail</v>
      </c>
      <c r="J126" s="26" t="str">
        <f t="shared" si="2"/>
        <v/>
      </c>
      <c r="K126" s="13"/>
      <c r="L126" s="13"/>
      <c r="M126" s="13"/>
      <c r="N126" s="13"/>
      <c r="O126" s="13"/>
    </row>
    <row r="127">
      <c r="A127" s="5" t="s">
        <v>154</v>
      </c>
      <c r="B127" s="5">
        <v>29.0</v>
      </c>
      <c r="C127" s="5">
        <v>10.0</v>
      </c>
      <c r="D127" s="5">
        <v>66.0</v>
      </c>
      <c r="E127" s="5">
        <v>13.0</v>
      </c>
      <c r="F127" s="5">
        <v>52.0</v>
      </c>
      <c r="G127" s="5">
        <v>36.0</v>
      </c>
      <c r="H127" s="5">
        <v>59.0</v>
      </c>
      <c r="I127" s="4" t="str">
        <f t="shared" si="1"/>
        <v>pass</v>
      </c>
      <c r="J127" s="26" t="str">
        <f t="shared" si="2"/>
        <v/>
      </c>
      <c r="K127" s="13"/>
      <c r="L127" s="13"/>
      <c r="M127" s="13"/>
      <c r="N127" s="13"/>
      <c r="O127" s="13"/>
    </row>
    <row r="128">
      <c r="A128" s="30" t="s">
        <v>155</v>
      </c>
      <c r="B128" s="5">
        <v>11.0</v>
      </c>
      <c r="C128" s="5">
        <v>4.0</v>
      </c>
      <c r="D128" s="5">
        <v>94.0</v>
      </c>
      <c r="E128" s="5">
        <v>19.0</v>
      </c>
      <c r="F128" s="5">
        <v>59.0</v>
      </c>
      <c r="G128" s="5">
        <v>41.0</v>
      </c>
      <c r="H128" s="5">
        <v>64.0</v>
      </c>
      <c r="I128" s="4" t="str">
        <f t="shared" si="1"/>
        <v>pass</v>
      </c>
      <c r="J128" s="26" t="str">
        <f t="shared" si="2"/>
        <v/>
      </c>
      <c r="K128" s="13"/>
      <c r="L128" s="13"/>
      <c r="M128" s="13"/>
      <c r="N128" s="13"/>
      <c r="O128" s="13"/>
    </row>
    <row r="129">
      <c r="A129" s="5" t="s">
        <v>156</v>
      </c>
      <c r="B129" s="5">
        <v>8.0</v>
      </c>
      <c r="C129" s="5">
        <v>3.0</v>
      </c>
      <c r="D129" s="5">
        <v>88.0</v>
      </c>
      <c r="E129" s="5">
        <v>18.0</v>
      </c>
      <c r="F129" s="5">
        <v>87.0</v>
      </c>
      <c r="G129" s="5">
        <v>61.0</v>
      </c>
      <c r="H129" s="5">
        <v>81.0</v>
      </c>
      <c r="I129" s="4" t="str">
        <f t="shared" si="1"/>
        <v>pass</v>
      </c>
      <c r="J129" s="26" t="str">
        <f t="shared" si="2"/>
        <v/>
      </c>
      <c r="K129" s="13"/>
      <c r="L129" s="13"/>
      <c r="M129" s="13"/>
      <c r="N129" s="13"/>
      <c r="O129" s="13"/>
    </row>
    <row r="130">
      <c r="A130" s="5" t="s">
        <v>157</v>
      </c>
      <c r="B130" s="5">
        <v>30.0</v>
      </c>
      <c r="C130" s="5">
        <v>10.0</v>
      </c>
      <c r="D130" s="5">
        <v>36.0</v>
      </c>
      <c r="E130" s="5">
        <v>7.0</v>
      </c>
      <c r="F130" s="5">
        <v>71.0</v>
      </c>
      <c r="G130" s="5">
        <v>50.0</v>
      </c>
      <c r="H130" s="5">
        <v>67.0</v>
      </c>
      <c r="I130" s="4" t="str">
        <f t="shared" si="1"/>
        <v>pass</v>
      </c>
      <c r="J130" s="26" t="str">
        <f t="shared" si="2"/>
        <v/>
      </c>
      <c r="K130" s="13"/>
      <c r="L130" s="13"/>
      <c r="M130" s="13"/>
      <c r="N130" s="13"/>
      <c r="O130" s="13"/>
    </row>
    <row r="131">
      <c r="A131" s="5" t="s">
        <v>158</v>
      </c>
      <c r="B131" s="5">
        <v>27.0</v>
      </c>
      <c r="C131" s="5">
        <v>9.0</v>
      </c>
      <c r="D131" s="5">
        <v>40.0</v>
      </c>
      <c r="E131" s="5">
        <v>8.0</v>
      </c>
      <c r="F131" s="5">
        <v>91.0</v>
      </c>
      <c r="G131" s="5">
        <v>64.0</v>
      </c>
      <c r="H131" s="5">
        <v>81.0</v>
      </c>
      <c r="I131" s="4" t="str">
        <f t="shared" si="1"/>
        <v>pass</v>
      </c>
      <c r="J131" s="26" t="str">
        <f t="shared" si="2"/>
        <v/>
      </c>
      <c r="K131" s="13"/>
      <c r="L131" s="13"/>
      <c r="M131" s="13"/>
      <c r="N131" s="13"/>
      <c r="O131" s="13"/>
    </row>
    <row r="132">
      <c r="A132" s="5" t="s">
        <v>159</v>
      </c>
      <c r="B132" s="5">
        <v>11.0</v>
      </c>
      <c r="C132" s="5">
        <v>4.0</v>
      </c>
      <c r="D132" s="5">
        <v>53.0</v>
      </c>
      <c r="E132" s="5">
        <v>11.0</v>
      </c>
      <c r="F132" s="5">
        <v>36.0</v>
      </c>
      <c r="G132" s="5">
        <v>25.0</v>
      </c>
      <c r="H132" s="5">
        <v>39.0</v>
      </c>
      <c r="I132" s="4" t="str">
        <f t="shared" si="1"/>
        <v>fail</v>
      </c>
      <c r="J132" s="26" t="str">
        <f t="shared" si="2"/>
        <v/>
      </c>
      <c r="K132" s="13"/>
      <c r="L132" s="13"/>
      <c r="M132" s="13"/>
      <c r="N132" s="13"/>
      <c r="O132" s="13"/>
    </row>
    <row r="133">
      <c r="A133" s="5" t="s">
        <v>160</v>
      </c>
      <c r="B133" s="5">
        <v>24.0</v>
      </c>
      <c r="C133" s="5">
        <v>8.0</v>
      </c>
      <c r="D133" s="5">
        <v>71.0</v>
      </c>
      <c r="E133" s="5">
        <v>14.0</v>
      </c>
      <c r="F133" s="5">
        <v>62.0</v>
      </c>
      <c r="G133" s="5">
        <v>43.0</v>
      </c>
      <c r="H133" s="5">
        <v>66.0</v>
      </c>
      <c r="I133" s="4" t="str">
        <f t="shared" si="1"/>
        <v>pass</v>
      </c>
      <c r="J133" s="26" t="str">
        <f t="shared" si="2"/>
        <v/>
      </c>
      <c r="K133" s="13"/>
      <c r="L133" s="13"/>
      <c r="M133" s="13"/>
      <c r="N133" s="13"/>
      <c r="O133" s="13"/>
    </row>
    <row r="134">
      <c r="A134" s="5" t="s">
        <v>161</v>
      </c>
      <c r="B134" s="5">
        <v>11.0</v>
      </c>
      <c r="C134" s="5">
        <v>4.0</v>
      </c>
      <c r="D134" s="5">
        <v>75.0</v>
      </c>
      <c r="E134" s="5">
        <v>15.0</v>
      </c>
      <c r="F134" s="5">
        <v>89.0</v>
      </c>
      <c r="G134" s="5">
        <v>62.0</v>
      </c>
      <c r="H134" s="5">
        <v>81.0</v>
      </c>
      <c r="I134" s="4" t="str">
        <f t="shared" si="1"/>
        <v>pass</v>
      </c>
      <c r="J134" s="26" t="str">
        <f t="shared" si="2"/>
        <v/>
      </c>
      <c r="K134" s="13"/>
      <c r="L134" s="13"/>
      <c r="M134" s="13"/>
      <c r="N134" s="13"/>
      <c r="O134" s="13"/>
    </row>
    <row r="135">
      <c r="A135" s="5" t="s">
        <v>162</v>
      </c>
      <c r="B135" s="5">
        <v>8.0</v>
      </c>
      <c r="C135" s="5">
        <v>3.0</v>
      </c>
      <c r="D135" s="5">
        <v>95.0</v>
      </c>
      <c r="E135" s="5">
        <v>19.0</v>
      </c>
      <c r="F135" s="5">
        <v>55.0</v>
      </c>
      <c r="G135" s="5">
        <v>39.0</v>
      </c>
      <c r="H135" s="5">
        <v>60.0</v>
      </c>
      <c r="I135" s="4" t="str">
        <f t="shared" si="1"/>
        <v>pass</v>
      </c>
      <c r="J135" s="26" t="str">
        <f t="shared" si="2"/>
        <v/>
      </c>
      <c r="K135" s="13"/>
      <c r="L135" s="13"/>
      <c r="M135" s="13"/>
      <c r="N135" s="13"/>
      <c r="O135" s="13"/>
    </row>
    <row r="136">
      <c r="A136" s="5" t="s">
        <v>163</v>
      </c>
      <c r="B136" s="5">
        <v>8.0</v>
      </c>
      <c r="C136" s="5">
        <v>3.0</v>
      </c>
      <c r="D136" s="5">
        <v>83.0</v>
      </c>
      <c r="E136" s="5">
        <v>17.0</v>
      </c>
      <c r="F136" s="5">
        <v>26.0</v>
      </c>
      <c r="G136" s="5">
        <v>18.0</v>
      </c>
      <c r="H136" s="5">
        <v>37.0</v>
      </c>
      <c r="I136" s="4" t="str">
        <f t="shared" si="1"/>
        <v>fail</v>
      </c>
      <c r="J136" s="26" t="str">
        <f t="shared" si="2"/>
        <v/>
      </c>
      <c r="K136" s="13"/>
      <c r="L136" s="13"/>
      <c r="M136" s="13"/>
      <c r="N136" s="13"/>
      <c r="O136" s="13"/>
    </row>
    <row r="137">
      <c r="A137" s="5" t="s">
        <v>164</v>
      </c>
      <c r="B137" s="5">
        <v>23.0</v>
      </c>
      <c r="C137" s="5">
        <v>8.0</v>
      </c>
      <c r="D137" s="5">
        <v>90.0</v>
      </c>
      <c r="E137" s="5">
        <v>18.0</v>
      </c>
      <c r="F137" s="5">
        <v>64.0</v>
      </c>
      <c r="G137" s="5">
        <v>45.0</v>
      </c>
      <c r="H137" s="5">
        <v>70.0</v>
      </c>
      <c r="I137" s="4" t="str">
        <f t="shared" si="1"/>
        <v>pass</v>
      </c>
      <c r="J137" s="26" t="str">
        <f t="shared" si="2"/>
        <v/>
      </c>
      <c r="K137" s="13"/>
      <c r="L137" s="13"/>
      <c r="M137" s="13"/>
      <c r="N137" s="13"/>
      <c r="O137" s="13"/>
    </row>
    <row r="138">
      <c r="A138" s="5" t="s">
        <v>165</v>
      </c>
      <c r="B138" s="5">
        <v>20.0</v>
      </c>
      <c r="C138" s="5">
        <v>7.0</v>
      </c>
      <c r="D138" s="5">
        <v>58.0</v>
      </c>
      <c r="E138" s="5">
        <v>12.0</v>
      </c>
      <c r="F138" s="5">
        <v>40.0</v>
      </c>
      <c r="G138" s="5">
        <v>28.0</v>
      </c>
      <c r="H138" s="5">
        <v>46.0</v>
      </c>
      <c r="I138" s="4" t="str">
        <f t="shared" si="1"/>
        <v>pass</v>
      </c>
      <c r="J138" s="26" t="str">
        <f t="shared" si="2"/>
        <v/>
      </c>
      <c r="K138" s="13"/>
      <c r="L138" s="13"/>
      <c r="M138" s="13"/>
      <c r="N138" s="13"/>
      <c r="O138" s="13"/>
    </row>
    <row r="139">
      <c r="A139" s="31" t="s">
        <v>166</v>
      </c>
      <c r="B139" s="5">
        <v>11.0</v>
      </c>
      <c r="C139" s="5">
        <v>4.0</v>
      </c>
      <c r="D139" s="5">
        <v>51.0</v>
      </c>
      <c r="E139" s="5">
        <v>10.0</v>
      </c>
      <c r="F139" s="5">
        <v>62.0</v>
      </c>
      <c r="G139" s="5">
        <v>43.0</v>
      </c>
      <c r="H139" s="5">
        <v>57.0</v>
      </c>
      <c r="I139" s="4" t="str">
        <f t="shared" si="1"/>
        <v>pass</v>
      </c>
      <c r="J139" s="26" t="str">
        <f t="shared" si="2"/>
        <v/>
      </c>
      <c r="K139" s="13"/>
      <c r="L139" s="13"/>
      <c r="M139" s="13"/>
      <c r="N139" s="13"/>
      <c r="O139" s="13"/>
    </row>
    <row r="140">
      <c r="A140" s="5" t="s">
        <v>128</v>
      </c>
      <c r="B140" s="5">
        <v>23.0</v>
      </c>
      <c r="C140" s="5">
        <v>8.0</v>
      </c>
      <c r="D140" s="5">
        <v>85.0</v>
      </c>
      <c r="E140" s="5">
        <v>17.0</v>
      </c>
      <c r="F140" s="5">
        <v>24.0</v>
      </c>
      <c r="G140" s="5">
        <v>17.0</v>
      </c>
      <c r="H140" s="5">
        <v>41.0</v>
      </c>
      <c r="I140" s="4" t="str">
        <f t="shared" si="1"/>
        <v>pass</v>
      </c>
      <c r="J140" s="26" t="str">
        <f t="shared" si="2"/>
        <v/>
      </c>
      <c r="K140" s="13"/>
      <c r="L140" s="13"/>
      <c r="M140" s="13"/>
      <c r="N140" s="13"/>
      <c r="O140" s="13"/>
    </row>
    <row r="141">
      <c r="A141" s="5" t="s">
        <v>167</v>
      </c>
      <c r="B141" s="5">
        <v>28.0</v>
      </c>
      <c r="C141" s="5">
        <v>9.0</v>
      </c>
      <c r="D141" s="5">
        <v>57.0</v>
      </c>
      <c r="E141" s="5">
        <v>11.0</v>
      </c>
      <c r="F141" s="5">
        <v>100.0</v>
      </c>
      <c r="G141" s="5">
        <v>70.0</v>
      </c>
      <c r="H141" s="5">
        <v>91.0</v>
      </c>
      <c r="I141" s="4" t="str">
        <f t="shared" si="1"/>
        <v>pass</v>
      </c>
      <c r="J141" s="26" t="str">
        <f t="shared" si="2"/>
        <v/>
      </c>
      <c r="K141" s="13"/>
      <c r="L141" s="13"/>
      <c r="M141" s="13"/>
      <c r="N141" s="13"/>
      <c r="O141" s="13"/>
    </row>
    <row r="142">
      <c r="A142" s="31" t="s">
        <v>168</v>
      </c>
      <c r="B142" s="5">
        <v>23.0</v>
      </c>
      <c r="C142" s="5">
        <v>8.0</v>
      </c>
      <c r="D142" s="5">
        <v>29.0</v>
      </c>
      <c r="E142" s="5">
        <v>6.0</v>
      </c>
      <c r="F142" s="5">
        <v>51.0</v>
      </c>
      <c r="G142" s="5">
        <v>36.0</v>
      </c>
      <c r="H142" s="5">
        <v>49.0</v>
      </c>
      <c r="I142" s="4" t="str">
        <f t="shared" si="1"/>
        <v>pass</v>
      </c>
      <c r="J142" s="26" t="str">
        <f t="shared" si="2"/>
        <v/>
      </c>
      <c r="K142" s="13"/>
      <c r="L142" s="13"/>
      <c r="M142" s="13"/>
      <c r="N142" s="13"/>
      <c r="O142" s="13"/>
    </row>
    <row r="143">
      <c r="A143" s="31" t="s">
        <v>169</v>
      </c>
      <c r="B143" s="5">
        <v>28.0</v>
      </c>
      <c r="C143" s="5">
        <v>9.0</v>
      </c>
      <c r="D143" s="5">
        <v>94.0</v>
      </c>
      <c r="E143" s="5">
        <v>19.0</v>
      </c>
      <c r="F143" s="5">
        <v>55.0</v>
      </c>
      <c r="G143" s="5">
        <v>39.0</v>
      </c>
      <c r="H143" s="5">
        <v>67.0</v>
      </c>
      <c r="I143" s="4" t="str">
        <f t="shared" si="1"/>
        <v>pass</v>
      </c>
      <c r="J143" s="26" t="str">
        <f t="shared" si="2"/>
        <v/>
      </c>
      <c r="K143" s="13"/>
      <c r="L143" s="13"/>
      <c r="M143" s="13"/>
      <c r="N143" s="13"/>
      <c r="O143" s="13"/>
    </row>
    <row r="144">
      <c r="A144" s="31" t="s">
        <v>170</v>
      </c>
      <c r="B144" s="5">
        <v>19.0</v>
      </c>
      <c r="C144" s="5">
        <v>6.0</v>
      </c>
      <c r="D144" s="5">
        <v>94.0</v>
      </c>
      <c r="E144" s="5">
        <v>19.0</v>
      </c>
      <c r="F144" s="5">
        <v>58.0</v>
      </c>
      <c r="G144" s="5">
        <v>41.0</v>
      </c>
      <c r="H144" s="5">
        <v>66.0</v>
      </c>
      <c r="I144" s="4" t="str">
        <f t="shared" si="1"/>
        <v>pass</v>
      </c>
      <c r="J144" s="26" t="str">
        <f t="shared" si="2"/>
        <v/>
      </c>
      <c r="K144" s="13"/>
      <c r="L144" s="13"/>
      <c r="M144" s="13"/>
      <c r="N144" s="13"/>
      <c r="O144" s="13"/>
    </row>
    <row r="145">
      <c r="A145" s="31" t="s">
        <v>171</v>
      </c>
      <c r="B145" s="5">
        <v>9.0</v>
      </c>
      <c r="C145" s="5">
        <v>3.0</v>
      </c>
      <c r="D145" s="5">
        <v>47.0</v>
      </c>
      <c r="E145" s="5">
        <v>9.0</v>
      </c>
      <c r="F145" s="5">
        <v>62.0</v>
      </c>
      <c r="G145" s="5">
        <v>43.0</v>
      </c>
      <c r="H145" s="5">
        <v>56.0</v>
      </c>
      <c r="I145" s="4" t="str">
        <f t="shared" si="1"/>
        <v>pass</v>
      </c>
      <c r="J145" s="26" t="str">
        <f t="shared" si="2"/>
        <v/>
      </c>
      <c r="K145" s="13"/>
      <c r="L145" s="13"/>
      <c r="M145" s="13"/>
      <c r="N145" s="13"/>
      <c r="O145" s="13"/>
    </row>
    <row r="146">
      <c r="A146" s="5" t="s">
        <v>172</v>
      </c>
      <c r="B146" s="5">
        <v>15.0</v>
      </c>
      <c r="C146" s="5">
        <v>5.0</v>
      </c>
      <c r="D146" s="5">
        <v>23.0</v>
      </c>
      <c r="E146" s="5">
        <v>5.0</v>
      </c>
      <c r="F146" s="5">
        <v>57.0</v>
      </c>
      <c r="G146" s="5">
        <v>40.0</v>
      </c>
      <c r="H146" s="5">
        <v>50.0</v>
      </c>
      <c r="I146" s="4" t="str">
        <f t="shared" si="1"/>
        <v>pass</v>
      </c>
      <c r="J146" s="26" t="str">
        <f t="shared" si="2"/>
        <v/>
      </c>
      <c r="K146" s="13"/>
      <c r="L146" s="13"/>
      <c r="M146" s="13"/>
      <c r="N146" s="13"/>
      <c r="O146" s="13"/>
    </row>
    <row r="147">
      <c r="A147" s="5" t="s">
        <v>86</v>
      </c>
      <c r="B147" s="5">
        <v>23.0</v>
      </c>
      <c r="C147" s="5">
        <v>8.0</v>
      </c>
      <c r="D147" s="5">
        <v>78.0</v>
      </c>
      <c r="E147" s="5">
        <v>16.0</v>
      </c>
      <c r="F147" s="5">
        <v>39.0</v>
      </c>
      <c r="G147" s="5">
        <v>27.0</v>
      </c>
      <c r="H147" s="5">
        <v>51.0</v>
      </c>
      <c r="I147" s="4" t="str">
        <f t="shared" si="1"/>
        <v>pass</v>
      </c>
      <c r="J147" s="26" t="str">
        <f t="shared" si="2"/>
        <v/>
      </c>
      <c r="K147" s="13"/>
      <c r="L147" s="13"/>
      <c r="M147" s="13"/>
      <c r="N147" s="13"/>
      <c r="O147" s="13"/>
    </row>
    <row r="148">
      <c r="A148" s="5" t="s">
        <v>69</v>
      </c>
      <c r="B148" s="5">
        <v>11.0</v>
      </c>
      <c r="C148" s="5">
        <v>4.0</v>
      </c>
      <c r="D148" s="5">
        <v>66.0</v>
      </c>
      <c r="E148" s="5">
        <v>13.0</v>
      </c>
      <c r="F148" s="5">
        <v>64.0</v>
      </c>
      <c r="G148" s="5">
        <v>45.0</v>
      </c>
      <c r="H148" s="5">
        <v>62.0</v>
      </c>
      <c r="I148" s="4" t="str">
        <f t="shared" si="1"/>
        <v>pass</v>
      </c>
      <c r="J148" s="26" t="str">
        <f t="shared" si="2"/>
        <v/>
      </c>
      <c r="K148" s="13"/>
      <c r="L148" s="13"/>
      <c r="M148" s="13"/>
      <c r="N148" s="13"/>
      <c r="O148" s="13"/>
    </row>
    <row r="149">
      <c r="A149" s="5" t="s">
        <v>173</v>
      </c>
      <c r="B149" s="5">
        <v>28.0</v>
      </c>
      <c r="C149" s="5">
        <v>9.0</v>
      </c>
      <c r="D149" s="5">
        <v>51.0</v>
      </c>
      <c r="E149" s="5">
        <v>10.0</v>
      </c>
      <c r="F149" s="5">
        <v>43.0</v>
      </c>
      <c r="G149" s="5">
        <v>30.0</v>
      </c>
      <c r="H149" s="5">
        <v>50.0</v>
      </c>
      <c r="I149" s="4" t="str">
        <f t="shared" si="1"/>
        <v>pass</v>
      </c>
      <c r="J149" s="26" t="str">
        <f t="shared" si="2"/>
        <v/>
      </c>
      <c r="K149" s="13"/>
      <c r="L149" s="13"/>
      <c r="M149" s="13"/>
      <c r="N149" s="13"/>
      <c r="O149" s="13"/>
    </row>
    <row r="150">
      <c r="A150" s="31" t="s">
        <v>174</v>
      </c>
      <c r="B150" s="5">
        <v>21.0</v>
      </c>
      <c r="C150" s="5">
        <v>7.0</v>
      </c>
      <c r="D150" s="5">
        <v>88.0</v>
      </c>
      <c r="E150" s="5">
        <v>18.0</v>
      </c>
      <c r="F150" s="5">
        <v>52.0</v>
      </c>
      <c r="G150" s="5">
        <v>36.0</v>
      </c>
      <c r="H150" s="5">
        <v>61.0</v>
      </c>
      <c r="I150" s="4" t="str">
        <f t="shared" si="1"/>
        <v>pass</v>
      </c>
      <c r="J150" s="26" t="str">
        <f t="shared" si="2"/>
        <v/>
      </c>
      <c r="K150" s="13"/>
      <c r="L150" s="13"/>
      <c r="M150" s="13"/>
      <c r="N150" s="13"/>
      <c r="O150" s="13"/>
    </row>
    <row r="151">
      <c r="A151" s="31" t="s">
        <v>175</v>
      </c>
      <c r="B151" s="5">
        <v>16.0</v>
      </c>
      <c r="C151" s="5">
        <v>5.0</v>
      </c>
      <c r="D151" s="5">
        <v>29.0</v>
      </c>
      <c r="E151" s="5">
        <v>6.0</v>
      </c>
      <c r="F151" s="5">
        <v>73.0</v>
      </c>
      <c r="G151" s="5">
        <v>51.0</v>
      </c>
      <c r="H151" s="5">
        <v>62.0</v>
      </c>
      <c r="I151" s="4" t="str">
        <f t="shared" si="1"/>
        <v>pass</v>
      </c>
      <c r="J151" s="26" t="str">
        <f t="shared" si="2"/>
        <v/>
      </c>
      <c r="K151" s="13"/>
      <c r="L151" s="13"/>
      <c r="M151" s="13"/>
      <c r="N151" s="13"/>
      <c r="O151" s="13"/>
    </row>
    <row r="152">
      <c r="A152" s="31" t="s">
        <v>176</v>
      </c>
      <c r="B152" s="5">
        <v>7.0</v>
      </c>
      <c r="C152" s="5">
        <v>2.0</v>
      </c>
      <c r="D152" s="5">
        <v>92.0</v>
      </c>
      <c r="E152" s="5">
        <v>18.0</v>
      </c>
      <c r="F152" s="5">
        <v>93.0</v>
      </c>
      <c r="G152" s="5">
        <v>65.0</v>
      </c>
      <c r="H152" s="5">
        <v>86.0</v>
      </c>
      <c r="I152" s="4" t="str">
        <f t="shared" si="1"/>
        <v>pass</v>
      </c>
      <c r="J152" s="26" t="str">
        <f t="shared" si="2"/>
        <v/>
      </c>
      <c r="K152" s="13"/>
      <c r="L152" s="13"/>
      <c r="M152" s="13"/>
      <c r="N152" s="13"/>
      <c r="O152" s="13"/>
    </row>
    <row r="153">
      <c r="A153" s="31" t="s">
        <v>177</v>
      </c>
      <c r="B153" s="5">
        <v>12.0</v>
      </c>
      <c r="C153" s="5">
        <v>4.0</v>
      </c>
      <c r="D153" s="5">
        <v>89.0</v>
      </c>
      <c r="E153" s="5">
        <v>18.0</v>
      </c>
      <c r="F153" s="5">
        <v>36.0</v>
      </c>
      <c r="G153" s="5">
        <v>25.0</v>
      </c>
      <c r="H153" s="5">
        <v>47.0</v>
      </c>
      <c r="I153" s="4" t="str">
        <f t="shared" si="1"/>
        <v>pass</v>
      </c>
      <c r="J153" s="26" t="str">
        <f t="shared" si="2"/>
        <v/>
      </c>
      <c r="K153" s="13"/>
      <c r="L153" s="13"/>
      <c r="M153" s="13"/>
      <c r="N153" s="13"/>
      <c r="O153" s="13"/>
    </row>
    <row r="154">
      <c r="A154" s="5" t="s">
        <v>178</v>
      </c>
      <c r="B154" s="5">
        <v>22.0</v>
      </c>
      <c r="C154" s="5">
        <v>7.0</v>
      </c>
      <c r="D154" s="5">
        <v>47.0</v>
      </c>
      <c r="E154" s="5">
        <v>9.0</v>
      </c>
      <c r="F154" s="5">
        <v>43.0</v>
      </c>
      <c r="G154" s="5">
        <v>30.0</v>
      </c>
      <c r="H154" s="5">
        <v>47.0</v>
      </c>
      <c r="I154" s="4" t="str">
        <f t="shared" si="1"/>
        <v>pass</v>
      </c>
      <c r="J154" s="26" t="str">
        <f t="shared" si="2"/>
        <v/>
      </c>
      <c r="K154" s="13"/>
      <c r="L154" s="13"/>
      <c r="M154" s="13"/>
      <c r="N154" s="13"/>
      <c r="O154" s="13"/>
    </row>
    <row r="155">
      <c r="A155" s="5" t="s">
        <v>179</v>
      </c>
      <c r="B155" s="5">
        <v>11.0</v>
      </c>
      <c r="C155" s="5">
        <v>4.0</v>
      </c>
      <c r="D155" s="5">
        <v>99.0</v>
      </c>
      <c r="E155" s="5">
        <v>20.0</v>
      </c>
      <c r="F155" s="5">
        <v>82.0</v>
      </c>
      <c r="G155" s="5">
        <v>57.0</v>
      </c>
      <c r="H155" s="5">
        <v>81.0</v>
      </c>
      <c r="I155" s="4" t="str">
        <f t="shared" si="1"/>
        <v>pass</v>
      </c>
      <c r="J155" s="26" t="str">
        <f t="shared" si="2"/>
        <v/>
      </c>
      <c r="K155" s="13"/>
      <c r="L155" s="13"/>
      <c r="M155" s="13"/>
      <c r="N155" s="13"/>
      <c r="O155" s="13"/>
    </row>
    <row r="156">
      <c r="A156" s="5" t="s">
        <v>180</v>
      </c>
      <c r="B156" s="5">
        <v>17.0</v>
      </c>
      <c r="C156" s="5">
        <v>6.0</v>
      </c>
      <c r="D156" s="5">
        <v>26.0</v>
      </c>
      <c r="E156" s="5">
        <v>5.0</v>
      </c>
      <c r="F156" s="5">
        <v>45.0</v>
      </c>
      <c r="G156" s="5">
        <v>32.0</v>
      </c>
      <c r="H156" s="5">
        <v>42.0</v>
      </c>
      <c r="I156" s="4" t="str">
        <f t="shared" si="1"/>
        <v>pass</v>
      </c>
      <c r="J156" s="26" t="str">
        <f t="shared" si="2"/>
        <v/>
      </c>
      <c r="K156" s="13"/>
      <c r="L156" s="13"/>
      <c r="M156" s="13"/>
      <c r="N156" s="13"/>
      <c r="O156" s="13"/>
    </row>
    <row r="157">
      <c r="A157" s="5" t="s">
        <v>181</v>
      </c>
      <c r="B157" s="5">
        <v>17.0</v>
      </c>
      <c r="C157" s="5">
        <v>6.0</v>
      </c>
      <c r="D157" s="5">
        <v>86.0</v>
      </c>
      <c r="E157" s="5">
        <v>17.0</v>
      </c>
      <c r="F157" s="5">
        <v>32.0</v>
      </c>
      <c r="G157" s="5">
        <v>22.0</v>
      </c>
      <c r="H157" s="5">
        <v>45.0</v>
      </c>
      <c r="I157" s="4" t="str">
        <f t="shared" si="1"/>
        <v>pass</v>
      </c>
      <c r="J157" s="26" t="str">
        <f t="shared" si="2"/>
        <v/>
      </c>
      <c r="K157" s="13"/>
      <c r="L157" s="13"/>
      <c r="M157" s="13"/>
      <c r="N157" s="13"/>
      <c r="O157" s="13"/>
    </row>
    <row r="158">
      <c r="A158" s="5" t="s">
        <v>182</v>
      </c>
      <c r="B158" s="5">
        <v>19.0</v>
      </c>
      <c r="C158" s="5">
        <v>6.0</v>
      </c>
      <c r="D158" s="5">
        <v>75.0</v>
      </c>
      <c r="E158" s="5">
        <v>15.0</v>
      </c>
      <c r="F158" s="5">
        <v>70.0</v>
      </c>
      <c r="G158" s="5">
        <v>49.0</v>
      </c>
      <c r="H158" s="5">
        <v>70.0</v>
      </c>
      <c r="I158" s="4" t="str">
        <f t="shared" si="1"/>
        <v>pass</v>
      </c>
      <c r="J158" s="26" t="str">
        <f t="shared" si="2"/>
        <v/>
      </c>
      <c r="K158" s="13"/>
      <c r="L158" s="13"/>
      <c r="M158" s="13"/>
      <c r="N158" s="13"/>
      <c r="O158" s="13"/>
    </row>
    <row r="159">
      <c r="A159" s="5" t="s">
        <v>183</v>
      </c>
      <c r="B159" s="5">
        <v>14.0</v>
      </c>
      <c r="C159" s="5">
        <v>5.0</v>
      </c>
      <c r="D159" s="5">
        <v>95.0</v>
      </c>
      <c r="E159" s="5">
        <v>19.0</v>
      </c>
      <c r="F159" s="5">
        <v>56.0</v>
      </c>
      <c r="G159" s="5">
        <v>39.0</v>
      </c>
      <c r="H159" s="5">
        <v>63.0</v>
      </c>
      <c r="I159" s="4" t="str">
        <f t="shared" si="1"/>
        <v>pass</v>
      </c>
      <c r="J159" s="26" t="str">
        <f t="shared" si="2"/>
        <v/>
      </c>
      <c r="K159" s="13"/>
      <c r="L159" s="13"/>
      <c r="M159" s="13"/>
      <c r="N159" s="13"/>
      <c r="O159" s="13"/>
    </row>
    <row r="160">
      <c r="A160" s="5" t="s">
        <v>184</v>
      </c>
      <c r="B160" s="5">
        <v>8.0</v>
      </c>
      <c r="C160" s="5">
        <v>3.0</v>
      </c>
      <c r="D160" s="5">
        <v>80.0</v>
      </c>
      <c r="E160" s="5">
        <v>16.0</v>
      </c>
      <c r="F160" s="5">
        <v>80.0</v>
      </c>
      <c r="G160" s="5">
        <v>56.0</v>
      </c>
      <c r="H160" s="5">
        <v>75.0</v>
      </c>
      <c r="I160" s="4" t="str">
        <f t="shared" si="1"/>
        <v>pass</v>
      </c>
      <c r="J160" s="26" t="str">
        <f t="shared" si="2"/>
        <v/>
      </c>
      <c r="K160" s="13"/>
      <c r="L160" s="13"/>
      <c r="M160" s="13"/>
      <c r="N160" s="13"/>
      <c r="O160" s="13"/>
    </row>
    <row r="161">
      <c r="A161" s="31" t="s">
        <v>185</v>
      </c>
      <c r="B161" s="5">
        <v>9.0</v>
      </c>
      <c r="C161" s="5">
        <v>3.0</v>
      </c>
      <c r="D161" s="5">
        <v>34.0</v>
      </c>
      <c r="E161" s="5">
        <v>7.0</v>
      </c>
      <c r="F161" s="5">
        <v>82.0</v>
      </c>
      <c r="G161" s="5">
        <v>57.0</v>
      </c>
      <c r="H161" s="5">
        <v>67.0</v>
      </c>
      <c r="I161" s="4" t="str">
        <f t="shared" si="1"/>
        <v>pass</v>
      </c>
      <c r="J161" s="26" t="str">
        <f t="shared" si="2"/>
        <v/>
      </c>
      <c r="K161" s="13"/>
      <c r="L161" s="13"/>
      <c r="M161" s="13"/>
      <c r="N161" s="13"/>
      <c r="O161" s="13"/>
    </row>
    <row r="162">
      <c r="A162" s="31" t="s">
        <v>186</v>
      </c>
      <c r="B162" s="5">
        <v>17.0</v>
      </c>
      <c r="C162" s="5">
        <v>6.0</v>
      </c>
      <c r="D162" s="5">
        <v>32.0</v>
      </c>
      <c r="E162" s="5">
        <v>6.0</v>
      </c>
      <c r="F162" s="5">
        <v>80.0</v>
      </c>
      <c r="G162" s="5">
        <v>56.0</v>
      </c>
      <c r="H162" s="5">
        <v>68.0</v>
      </c>
      <c r="I162" s="4" t="str">
        <f t="shared" si="1"/>
        <v>pass</v>
      </c>
      <c r="J162" s="26" t="str">
        <f t="shared" si="2"/>
        <v/>
      </c>
      <c r="K162" s="13"/>
      <c r="L162" s="13"/>
      <c r="M162" s="13"/>
      <c r="N162" s="13"/>
      <c r="O162" s="13"/>
    </row>
    <row r="163">
      <c r="A163" s="31" t="s">
        <v>187</v>
      </c>
      <c r="B163" s="5">
        <v>23.0</v>
      </c>
      <c r="C163" s="5">
        <v>8.0</v>
      </c>
      <c r="D163" s="5">
        <v>51.0</v>
      </c>
      <c r="E163" s="5">
        <v>10.0</v>
      </c>
      <c r="F163" s="5">
        <v>62.0</v>
      </c>
      <c r="G163" s="5">
        <v>43.0</v>
      </c>
      <c r="H163" s="5">
        <v>61.0</v>
      </c>
      <c r="I163" s="4" t="str">
        <f t="shared" si="1"/>
        <v>pass</v>
      </c>
      <c r="J163" s="26" t="str">
        <f t="shared" si="2"/>
        <v/>
      </c>
      <c r="K163" s="13"/>
      <c r="L163" s="13"/>
      <c r="M163" s="13"/>
      <c r="N163" s="13"/>
      <c r="O163" s="13"/>
    </row>
    <row r="164">
      <c r="A164" s="5" t="s">
        <v>188</v>
      </c>
      <c r="B164" s="5">
        <v>14.0</v>
      </c>
      <c r="C164" s="5">
        <v>5.0</v>
      </c>
      <c r="D164" s="5">
        <v>98.0</v>
      </c>
      <c r="E164" s="5">
        <v>20.0</v>
      </c>
      <c r="F164" s="5">
        <v>56.0</v>
      </c>
      <c r="G164" s="5">
        <v>39.0</v>
      </c>
      <c r="H164" s="5">
        <v>63.0</v>
      </c>
      <c r="I164" s="4" t="str">
        <f t="shared" si="1"/>
        <v>pass</v>
      </c>
      <c r="J164" s="26" t="str">
        <f t="shared" si="2"/>
        <v/>
      </c>
      <c r="K164" s="13"/>
      <c r="L164" s="13"/>
      <c r="M164" s="13"/>
      <c r="N164" s="13"/>
      <c r="O164" s="13"/>
    </row>
    <row r="165">
      <c r="A165" s="5" t="s">
        <v>189</v>
      </c>
      <c r="B165" s="5">
        <v>16.0</v>
      </c>
      <c r="C165" s="5">
        <v>5.0</v>
      </c>
      <c r="D165" s="5">
        <v>87.0</v>
      </c>
      <c r="E165" s="5">
        <v>17.0</v>
      </c>
      <c r="F165" s="5">
        <v>66.0</v>
      </c>
      <c r="G165" s="5">
        <v>46.0</v>
      </c>
      <c r="H165" s="5">
        <v>69.0</v>
      </c>
      <c r="I165" s="4" t="str">
        <f t="shared" si="1"/>
        <v>pass</v>
      </c>
      <c r="J165" s="26" t="str">
        <f t="shared" si="2"/>
        <v/>
      </c>
      <c r="K165" s="13"/>
      <c r="L165" s="13"/>
      <c r="M165" s="13"/>
      <c r="N165" s="13"/>
      <c r="O165" s="13"/>
    </row>
    <row r="166">
      <c r="A166" s="5" t="s">
        <v>190</v>
      </c>
      <c r="B166" s="5">
        <v>26.0</v>
      </c>
      <c r="C166" s="5">
        <v>9.0</v>
      </c>
      <c r="D166" s="5">
        <v>71.0</v>
      </c>
      <c r="E166" s="5">
        <v>14.0</v>
      </c>
      <c r="F166" s="5">
        <v>40.0</v>
      </c>
      <c r="G166" s="5">
        <v>28.0</v>
      </c>
      <c r="H166" s="5">
        <v>51.0</v>
      </c>
      <c r="I166" s="4" t="str">
        <f t="shared" si="1"/>
        <v>pass</v>
      </c>
      <c r="J166" s="26" t="str">
        <f t="shared" si="2"/>
        <v/>
      </c>
      <c r="K166" s="13"/>
      <c r="L166" s="13"/>
      <c r="M166" s="13"/>
      <c r="N166" s="13"/>
      <c r="O166" s="13"/>
    </row>
    <row r="167">
      <c r="A167" s="31" t="s">
        <v>191</v>
      </c>
      <c r="B167" s="5">
        <v>30.0</v>
      </c>
      <c r="C167" s="5">
        <v>10.0</v>
      </c>
      <c r="D167" s="5">
        <v>61.0</v>
      </c>
      <c r="E167" s="5">
        <v>12.0</v>
      </c>
      <c r="F167" s="5">
        <v>39.0</v>
      </c>
      <c r="G167" s="5">
        <v>27.0</v>
      </c>
      <c r="H167" s="5">
        <v>50.0</v>
      </c>
      <c r="I167" s="4" t="str">
        <f t="shared" si="1"/>
        <v>pass</v>
      </c>
      <c r="J167" s="26" t="str">
        <f t="shared" si="2"/>
        <v/>
      </c>
      <c r="K167" s="13"/>
      <c r="L167" s="13"/>
      <c r="M167" s="13"/>
      <c r="N167" s="13"/>
      <c r="O167" s="13"/>
    </row>
    <row r="168">
      <c r="A168" s="5" t="s">
        <v>192</v>
      </c>
      <c r="B168" s="5">
        <v>27.0</v>
      </c>
      <c r="C168" s="5">
        <v>9.0</v>
      </c>
      <c r="D168" s="5">
        <v>59.0</v>
      </c>
      <c r="E168" s="5">
        <v>12.0</v>
      </c>
      <c r="F168" s="5">
        <v>57.0</v>
      </c>
      <c r="G168" s="5">
        <v>40.0</v>
      </c>
      <c r="H168" s="5">
        <v>61.0</v>
      </c>
      <c r="I168" s="4" t="str">
        <f t="shared" si="1"/>
        <v>pass</v>
      </c>
      <c r="J168" s="26" t="str">
        <f t="shared" si="2"/>
        <v/>
      </c>
      <c r="K168" s="13"/>
      <c r="L168" s="13"/>
      <c r="M168" s="13"/>
      <c r="N168" s="13"/>
      <c r="O168" s="13"/>
    </row>
    <row r="169">
      <c r="A169" s="5" t="s">
        <v>193</v>
      </c>
      <c r="B169" s="5">
        <v>29.0</v>
      </c>
      <c r="C169" s="5">
        <v>10.0</v>
      </c>
      <c r="D169" s="5">
        <v>87.0</v>
      </c>
      <c r="E169" s="5">
        <v>17.0</v>
      </c>
      <c r="F169" s="5">
        <v>40.0</v>
      </c>
      <c r="G169" s="5">
        <v>28.0</v>
      </c>
      <c r="H169" s="5">
        <v>55.0</v>
      </c>
      <c r="I169" s="4" t="str">
        <f t="shared" si="1"/>
        <v>pass</v>
      </c>
      <c r="J169" s="26" t="str">
        <f t="shared" si="2"/>
        <v/>
      </c>
      <c r="K169" s="13"/>
      <c r="L169" s="13"/>
      <c r="M169" s="13"/>
      <c r="N169" s="13"/>
      <c r="O169" s="13"/>
    </row>
    <row r="170">
      <c r="A170" s="31" t="s">
        <v>194</v>
      </c>
      <c r="B170" s="5">
        <v>20.0</v>
      </c>
      <c r="C170" s="5">
        <v>7.0</v>
      </c>
      <c r="D170" s="5">
        <v>94.0</v>
      </c>
      <c r="E170" s="5">
        <v>19.0</v>
      </c>
      <c r="F170" s="5">
        <v>42.0</v>
      </c>
      <c r="G170" s="5">
        <v>29.0</v>
      </c>
      <c r="H170" s="5">
        <v>55.0</v>
      </c>
      <c r="I170" s="4" t="str">
        <f t="shared" si="1"/>
        <v>pass</v>
      </c>
      <c r="J170" s="26" t="str">
        <f t="shared" si="2"/>
        <v/>
      </c>
      <c r="K170" s="13"/>
      <c r="L170" s="13"/>
      <c r="M170" s="13"/>
      <c r="N170" s="13"/>
      <c r="O170" s="13"/>
    </row>
    <row r="171">
      <c r="A171" s="31" t="s">
        <v>195</v>
      </c>
      <c r="B171" s="5">
        <v>12.0</v>
      </c>
      <c r="C171" s="5">
        <v>4.0</v>
      </c>
      <c r="D171" s="5">
        <v>25.0</v>
      </c>
      <c r="E171" s="5">
        <v>5.0</v>
      </c>
      <c r="F171" s="5">
        <v>100.0</v>
      </c>
      <c r="G171" s="5">
        <v>70.0</v>
      </c>
      <c r="H171" s="5">
        <v>79.0</v>
      </c>
      <c r="I171" s="4" t="str">
        <f t="shared" si="1"/>
        <v>pass</v>
      </c>
      <c r="J171" s="26" t="str">
        <f t="shared" si="2"/>
        <v/>
      </c>
      <c r="K171" s="13"/>
      <c r="L171" s="13"/>
      <c r="M171" s="13"/>
      <c r="N171" s="13"/>
      <c r="O171" s="13"/>
    </row>
    <row r="172">
      <c r="A172" s="5" t="s">
        <v>196</v>
      </c>
      <c r="B172" s="5">
        <v>20.0</v>
      </c>
      <c r="C172" s="5">
        <v>7.0</v>
      </c>
      <c r="D172" s="5">
        <v>48.0</v>
      </c>
      <c r="E172" s="5">
        <v>10.0</v>
      </c>
      <c r="F172" s="5">
        <v>39.0</v>
      </c>
      <c r="G172" s="5">
        <v>27.0</v>
      </c>
      <c r="H172" s="5">
        <v>44.0</v>
      </c>
      <c r="I172" s="4" t="str">
        <f t="shared" si="1"/>
        <v>pass</v>
      </c>
      <c r="J172" s="26" t="str">
        <f t="shared" si="2"/>
        <v/>
      </c>
      <c r="K172" s="13"/>
      <c r="L172" s="13"/>
      <c r="M172" s="13"/>
      <c r="N172" s="13"/>
      <c r="O172" s="13"/>
    </row>
    <row r="173">
      <c r="A173" s="31" t="s">
        <v>197</v>
      </c>
      <c r="B173" s="5">
        <v>24.0</v>
      </c>
      <c r="C173" s="5">
        <v>8.0</v>
      </c>
      <c r="D173" s="5">
        <v>84.0</v>
      </c>
      <c r="E173" s="5">
        <v>17.0</v>
      </c>
      <c r="F173" s="5">
        <v>31.0</v>
      </c>
      <c r="G173" s="5">
        <v>22.0</v>
      </c>
      <c r="H173" s="5">
        <v>47.0</v>
      </c>
      <c r="I173" s="4" t="str">
        <f t="shared" si="1"/>
        <v>pass</v>
      </c>
      <c r="J173" s="26" t="str">
        <f t="shared" si="2"/>
        <v/>
      </c>
      <c r="K173" s="13"/>
      <c r="L173" s="13"/>
      <c r="M173" s="13"/>
      <c r="N173" s="13"/>
      <c r="O173" s="13"/>
    </row>
    <row r="174">
      <c r="A174" s="31" t="s">
        <v>198</v>
      </c>
      <c r="B174" s="5">
        <v>15.0</v>
      </c>
      <c r="C174" s="5">
        <v>5.0</v>
      </c>
      <c r="D174" s="5">
        <v>91.0</v>
      </c>
      <c r="E174" s="5">
        <v>18.0</v>
      </c>
      <c r="F174" s="5">
        <v>90.0</v>
      </c>
      <c r="G174" s="5">
        <v>63.0</v>
      </c>
      <c r="H174" s="5">
        <v>86.0</v>
      </c>
      <c r="I174" s="4" t="str">
        <f t="shared" si="1"/>
        <v>pass</v>
      </c>
      <c r="J174" s="26" t="str">
        <f t="shared" si="2"/>
        <v/>
      </c>
      <c r="K174" s="13"/>
      <c r="L174" s="13"/>
      <c r="M174" s="13"/>
      <c r="N174" s="13"/>
      <c r="O174" s="13"/>
    </row>
    <row r="175">
      <c r="A175" s="31" t="s">
        <v>199</v>
      </c>
      <c r="B175" s="5">
        <v>28.0</v>
      </c>
      <c r="C175" s="5">
        <v>9.0</v>
      </c>
      <c r="D175" s="5">
        <v>69.0</v>
      </c>
      <c r="E175" s="5">
        <v>14.0</v>
      </c>
      <c r="F175" s="5">
        <v>70.0</v>
      </c>
      <c r="G175" s="5">
        <v>49.0</v>
      </c>
      <c r="H175" s="5">
        <v>72.0</v>
      </c>
      <c r="I175" s="4" t="str">
        <f t="shared" si="1"/>
        <v>pass</v>
      </c>
      <c r="J175" s="26" t="str">
        <f t="shared" si="2"/>
        <v/>
      </c>
      <c r="K175" s="13"/>
      <c r="L175" s="13"/>
      <c r="M175" s="13"/>
      <c r="N175" s="13"/>
      <c r="O175" s="13"/>
    </row>
    <row r="176">
      <c r="A176" s="31" t="s">
        <v>200</v>
      </c>
      <c r="B176" s="5">
        <v>9.0</v>
      </c>
      <c r="C176" s="5">
        <v>3.0</v>
      </c>
      <c r="D176" s="5">
        <v>24.0</v>
      </c>
      <c r="E176" s="5">
        <v>5.0</v>
      </c>
      <c r="F176" s="5">
        <v>88.0</v>
      </c>
      <c r="G176" s="5">
        <v>62.0</v>
      </c>
      <c r="H176" s="5">
        <v>69.0</v>
      </c>
      <c r="I176" s="4" t="str">
        <f t="shared" si="1"/>
        <v>pass</v>
      </c>
      <c r="J176" s="26" t="str">
        <f t="shared" si="2"/>
        <v/>
      </c>
      <c r="K176" s="13"/>
      <c r="L176" s="13"/>
      <c r="M176" s="13"/>
      <c r="N176" s="13"/>
      <c r="O176" s="13"/>
    </row>
    <row r="177">
      <c r="A177" s="31" t="s">
        <v>201</v>
      </c>
      <c r="B177" s="5">
        <v>13.0</v>
      </c>
      <c r="C177" s="5">
        <v>4.0</v>
      </c>
      <c r="D177" s="5">
        <v>52.0</v>
      </c>
      <c r="E177" s="5">
        <v>10.0</v>
      </c>
      <c r="F177" s="5">
        <v>86.0</v>
      </c>
      <c r="G177" s="5">
        <v>60.0</v>
      </c>
      <c r="H177" s="5">
        <v>75.0</v>
      </c>
      <c r="I177" s="4" t="str">
        <f t="shared" si="1"/>
        <v>pass</v>
      </c>
      <c r="J177" s="26" t="str">
        <f t="shared" si="2"/>
        <v/>
      </c>
      <c r="K177" s="13"/>
      <c r="L177" s="13"/>
      <c r="M177" s="13"/>
      <c r="N177" s="13"/>
      <c r="O177" s="13"/>
    </row>
    <row r="178">
      <c r="A178" s="31" t="s">
        <v>202</v>
      </c>
      <c r="B178" s="5">
        <v>9.0</v>
      </c>
      <c r="C178" s="5">
        <v>3.0</v>
      </c>
      <c r="D178" s="5">
        <v>72.0</v>
      </c>
      <c r="E178" s="5">
        <v>14.0</v>
      </c>
      <c r="F178" s="5">
        <v>82.0</v>
      </c>
      <c r="G178" s="5">
        <v>57.0</v>
      </c>
      <c r="H178" s="5">
        <v>75.0</v>
      </c>
      <c r="I178" s="4" t="str">
        <f t="shared" si="1"/>
        <v>pass</v>
      </c>
      <c r="J178" s="26" t="str">
        <f t="shared" si="2"/>
        <v/>
      </c>
      <c r="K178" s="13"/>
      <c r="L178" s="13"/>
      <c r="M178" s="13"/>
      <c r="N178" s="13"/>
      <c r="O178" s="13"/>
    </row>
    <row r="179">
      <c r="A179" s="32"/>
      <c r="B179" s="33"/>
      <c r="C179" s="33"/>
      <c r="D179" s="33"/>
      <c r="E179" s="33"/>
      <c r="F179" s="33"/>
      <c r="G179" s="33"/>
      <c r="H179" s="33"/>
      <c r="I179" s="4"/>
      <c r="J179" s="4"/>
      <c r="K179" s="13"/>
      <c r="L179" s="13"/>
      <c r="M179" s="13"/>
      <c r="N179" s="13"/>
      <c r="O179" s="13"/>
    </row>
  </sheetData>
  <mergeCells count="3">
    <mergeCell ref="A2:J2"/>
    <mergeCell ref="A3:J3"/>
    <mergeCell ref="K7:L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9.75"/>
    <col customWidth="1" min="2" max="2" width="27.38"/>
    <col customWidth="1" min="5" max="5" width="22.5"/>
  </cols>
  <sheetData>
    <row r="1">
      <c r="A1" s="13"/>
    </row>
    <row r="2">
      <c r="A2" s="34" t="s">
        <v>203</v>
      </c>
    </row>
    <row r="3">
      <c r="A3" s="34" t="s">
        <v>204</v>
      </c>
    </row>
    <row r="4">
      <c r="A4" s="34" t="s">
        <v>205</v>
      </c>
    </row>
    <row r="5">
      <c r="A5" s="34" t="s">
        <v>206</v>
      </c>
    </row>
    <row r="6">
      <c r="A6" s="34" t="s">
        <v>207</v>
      </c>
    </row>
    <row r="7">
      <c r="A7" s="34" t="s">
        <v>208</v>
      </c>
    </row>
    <row r="8">
      <c r="A8" s="34" t="s">
        <v>209</v>
      </c>
    </row>
    <row r="9">
      <c r="A9" s="34" t="s">
        <v>210</v>
      </c>
    </row>
    <row r="10">
      <c r="A10" s="13"/>
    </row>
    <row r="11">
      <c r="A11" s="35" t="s">
        <v>211</v>
      </c>
      <c r="B11" s="36" t="s">
        <v>212</v>
      </c>
      <c r="E11" s="37" t="s">
        <v>213</v>
      </c>
    </row>
    <row r="12">
      <c r="A12" s="13" t="str">
        <f t="shared" ref="A12:A19" si="1">LEFT(A2, find(" mobile no", A2) - 1)</f>
        <v>Ram</v>
      </c>
      <c r="B12" s="38">
        <f t="shared" ref="B12:B14" si="2">VALUE(MID(A2, find("mobile no-", A2) + 10, 10))</f>
        <v>9925923457</v>
      </c>
      <c r="E12" s="39" t="str">
        <f t="shared" ref="E12:E19" si="3">RIGHT(A2, 6)</f>
        <v>119961</v>
      </c>
    </row>
    <row r="13">
      <c r="A13" s="13" t="str">
        <f t="shared" si="1"/>
        <v>Shyam</v>
      </c>
      <c r="B13" s="38">
        <f t="shared" si="2"/>
        <v>9927675044</v>
      </c>
      <c r="E13" s="39" t="str">
        <f t="shared" si="3"/>
        <v>133344</v>
      </c>
    </row>
    <row r="14">
      <c r="A14" s="13" t="str">
        <f t="shared" si="1"/>
        <v>Vikash</v>
      </c>
      <c r="B14" s="38">
        <f t="shared" si="2"/>
        <v>9952248594</v>
      </c>
      <c r="E14" s="39" t="str">
        <f t="shared" si="3"/>
        <v>116997</v>
      </c>
    </row>
    <row r="15">
      <c r="A15" s="13" t="str">
        <f t="shared" si="1"/>
        <v>Omar</v>
      </c>
      <c r="B15" s="9">
        <f t="shared" ref="B15:B19" si="4">VALUE(MID(A5, find("mobile no -", A5) + 11, 10))</f>
        <v>9909578064</v>
      </c>
      <c r="E15" s="39" t="str">
        <f t="shared" si="3"/>
        <v>150571</v>
      </c>
    </row>
    <row r="16">
      <c r="A16" s="13" t="str">
        <f t="shared" si="1"/>
        <v>Kavita</v>
      </c>
      <c r="B16" s="9">
        <f t="shared" si="4"/>
        <v>9899456765</v>
      </c>
      <c r="E16" s="39" t="str">
        <f t="shared" si="3"/>
        <v>110011</v>
      </c>
    </row>
    <row r="17">
      <c r="A17" s="13" t="str">
        <f t="shared" si="1"/>
        <v>Ravi</v>
      </c>
      <c r="B17" s="9">
        <f t="shared" si="4"/>
        <v>7845678987</v>
      </c>
      <c r="E17" s="39" t="str">
        <f t="shared" si="3"/>
        <v>150573</v>
      </c>
    </row>
    <row r="18">
      <c r="A18" s="13" t="str">
        <f t="shared" si="1"/>
        <v>Tony</v>
      </c>
      <c r="B18" s="9">
        <f t="shared" si="4"/>
        <v>8800774565</v>
      </c>
      <c r="E18" s="39" t="str">
        <f t="shared" si="3"/>
        <v>112232</v>
      </c>
    </row>
    <row r="19">
      <c r="A19" s="13" t="str">
        <f t="shared" si="1"/>
        <v>Dilavar</v>
      </c>
      <c r="B19" s="9">
        <f t="shared" si="4"/>
        <v>9909678061</v>
      </c>
      <c r="E19" s="39" t="str">
        <f t="shared" si="3"/>
        <v>154444</v>
      </c>
    </row>
    <row r="20">
      <c r="A20" s="40"/>
    </row>
    <row r="21">
      <c r="A21" s="40"/>
    </row>
    <row r="22">
      <c r="A22" s="36"/>
    </row>
    <row r="23">
      <c r="A23" s="41"/>
    </row>
    <row r="24">
      <c r="A24" s="41"/>
    </row>
    <row r="25">
      <c r="A25" s="41"/>
    </row>
    <row r="26">
      <c r="A26" s="41"/>
    </row>
    <row r="27">
      <c r="A27" s="41"/>
    </row>
    <row r="28">
      <c r="A28" s="41"/>
    </row>
    <row r="29">
      <c r="A29" s="41"/>
    </row>
    <row r="30">
      <c r="A30" s="41"/>
    </row>
    <row r="31">
      <c r="A31" s="41"/>
    </row>
    <row r="32">
      <c r="A32" s="13"/>
    </row>
    <row r="33">
      <c r="A33" s="37"/>
    </row>
    <row r="34">
      <c r="A34" s="41"/>
    </row>
    <row r="35">
      <c r="A35" s="41"/>
    </row>
    <row r="36">
      <c r="A36" s="41"/>
    </row>
    <row r="37">
      <c r="A37" s="41"/>
    </row>
    <row r="38">
      <c r="A38" s="41"/>
    </row>
    <row r="39">
      <c r="A39" s="41"/>
    </row>
    <row r="40">
      <c r="A40" s="4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5" max="5" width="19.63"/>
  </cols>
  <sheetData>
    <row r="1">
      <c r="A1" s="42" t="s">
        <v>0</v>
      </c>
      <c r="B1" s="43" t="s">
        <v>214</v>
      </c>
      <c r="C1" s="43" t="s">
        <v>215</v>
      </c>
      <c r="D1" s="43" t="s">
        <v>216</v>
      </c>
      <c r="E1" s="44" t="s">
        <v>217</v>
      </c>
    </row>
    <row r="2">
      <c r="A2" s="45" t="s">
        <v>218</v>
      </c>
      <c r="B2" s="46">
        <v>66179.0</v>
      </c>
      <c r="C2" s="46">
        <v>4684.0</v>
      </c>
      <c r="D2" s="46">
        <v>61495.0</v>
      </c>
      <c r="E2" s="47">
        <f t="shared" ref="E2:E36" si="1">IF(B2 &lt; 10000, B2 * 0.12, IF(B2 &lt;= 25000, B2 * 0.25, IF(B2 &lt;= 40000, B2 * 0.32, B2 * 0.45)))</f>
        <v>29780.55</v>
      </c>
      <c r="G2" s="48" t="s">
        <v>219</v>
      </c>
    </row>
    <row r="3">
      <c r="A3" s="45" t="s">
        <v>220</v>
      </c>
      <c r="B3" s="46">
        <v>25181.0</v>
      </c>
      <c r="C3" s="46">
        <v>5122.0</v>
      </c>
      <c r="D3" s="46">
        <v>20059.0</v>
      </c>
      <c r="E3" s="47">
        <f t="shared" si="1"/>
        <v>8057.92</v>
      </c>
      <c r="G3" s="48" t="s">
        <v>221</v>
      </c>
    </row>
    <row r="4">
      <c r="A4" s="45" t="s">
        <v>222</v>
      </c>
      <c r="B4" s="46">
        <v>53219.0</v>
      </c>
      <c r="C4" s="46">
        <v>3337.0</v>
      </c>
      <c r="D4" s="46">
        <v>49882.0</v>
      </c>
      <c r="E4" s="47">
        <f t="shared" si="1"/>
        <v>23948.55</v>
      </c>
      <c r="G4" s="48" t="s">
        <v>223</v>
      </c>
    </row>
    <row r="5">
      <c r="A5" s="45" t="s">
        <v>224</v>
      </c>
      <c r="B5" s="46">
        <v>30642.0</v>
      </c>
      <c r="C5" s="46">
        <v>7475.0</v>
      </c>
      <c r="D5" s="46">
        <v>23167.0</v>
      </c>
      <c r="E5" s="47">
        <f t="shared" si="1"/>
        <v>9805.44</v>
      </c>
      <c r="G5" s="48" t="s">
        <v>225</v>
      </c>
    </row>
    <row r="6">
      <c r="A6" s="45" t="s">
        <v>226</v>
      </c>
      <c r="B6" s="46">
        <v>73169.0</v>
      </c>
      <c r="C6" s="46">
        <v>4118.0</v>
      </c>
      <c r="D6" s="46">
        <v>69051.0</v>
      </c>
      <c r="E6" s="47">
        <f t="shared" si="1"/>
        <v>32926.05</v>
      </c>
      <c r="G6" s="48" t="s">
        <v>227</v>
      </c>
    </row>
    <row r="7">
      <c r="A7" s="45" t="s">
        <v>228</v>
      </c>
      <c r="B7" s="46">
        <v>75882.0</v>
      </c>
      <c r="C7" s="46">
        <v>6857.0</v>
      </c>
      <c r="D7" s="46">
        <v>69025.0</v>
      </c>
      <c r="E7" s="47">
        <f t="shared" si="1"/>
        <v>34146.9</v>
      </c>
    </row>
    <row r="8">
      <c r="A8" s="45" t="s">
        <v>229</v>
      </c>
      <c r="B8" s="46">
        <v>23614.0</v>
      </c>
      <c r="C8" s="46">
        <v>2548.0</v>
      </c>
      <c r="D8" s="46">
        <v>21066.0</v>
      </c>
      <c r="E8" s="47">
        <f t="shared" si="1"/>
        <v>5903.5</v>
      </c>
    </row>
    <row r="9">
      <c r="A9" s="45" t="s">
        <v>86</v>
      </c>
      <c r="B9" s="46">
        <v>14119.0</v>
      </c>
      <c r="C9" s="46">
        <v>2643.0</v>
      </c>
      <c r="D9" s="46">
        <v>11476.0</v>
      </c>
      <c r="E9" s="47">
        <f t="shared" si="1"/>
        <v>3529.75</v>
      </c>
    </row>
    <row r="10">
      <c r="A10" s="45" t="s">
        <v>230</v>
      </c>
      <c r="B10" s="46">
        <v>60240.0</v>
      </c>
      <c r="C10" s="46">
        <v>4539.0</v>
      </c>
      <c r="D10" s="46">
        <v>55701.0</v>
      </c>
      <c r="E10" s="47">
        <f t="shared" si="1"/>
        <v>27108</v>
      </c>
    </row>
    <row r="11">
      <c r="A11" s="45" t="s">
        <v>231</v>
      </c>
      <c r="B11" s="46">
        <v>56592.0</v>
      </c>
      <c r="C11" s="46">
        <v>5609.0</v>
      </c>
      <c r="D11" s="46">
        <v>50983.0</v>
      </c>
      <c r="E11" s="47">
        <f t="shared" si="1"/>
        <v>25466.4</v>
      </c>
    </row>
    <row r="12">
      <c r="A12" s="45" t="s">
        <v>232</v>
      </c>
      <c r="B12" s="46">
        <v>44354.0</v>
      </c>
      <c r="C12" s="46">
        <v>4273.0</v>
      </c>
      <c r="D12" s="46">
        <v>40081.0</v>
      </c>
      <c r="E12" s="47">
        <f t="shared" si="1"/>
        <v>19959.3</v>
      </c>
    </row>
    <row r="13">
      <c r="A13" s="45" t="s">
        <v>233</v>
      </c>
      <c r="B13" s="46">
        <v>39827.0</v>
      </c>
      <c r="C13" s="46">
        <v>4456.0</v>
      </c>
      <c r="D13" s="46">
        <v>35371.0</v>
      </c>
      <c r="E13" s="47">
        <f t="shared" si="1"/>
        <v>12744.64</v>
      </c>
    </row>
    <row r="14">
      <c r="A14" s="45" t="s">
        <v>234</v>
      </c>
      <c r="B14" s="46">
        <v>74988.0</v>
      </c>
      <c r="C14" s="46">
        <v>3289.0</v>
      </c>
      <c r="D14" s="46">
        <v>71699.0</v>
      </c>
      <c r="E14" s="47">
        <f t="shared" si="1"/>
        <v>33744.6</v>
      </c>
    </row>
    <row r="15">
      <c r="A15" s="45" t="s">
        <v>235</v>
      </c>
      <c r="B15" s="46">
        <v>39089.0</v>
      </c>
      <c r="C15" s="46">
        <v>4143.0</v>
      </c>
      <c r="D15" s="46">
        <v>34946.0</v>
      </c>
      <c r="E15" s="47">
        <f t="shared" si="1"/>
        <v>12508.48</v>
      </c>
    </row>
    <row r="16">
      <c r="A16" s="45" t="s">
        <v>236</v>
      </c>
      <c r="B16" s="46">
        <v>16631.0</v>
      </c>
      <c r="C16" s="46">
        <v>7885.0</v>
      </c>
      <c r="D16" s="46">
        <v>8746.0</v>
      </c>
      <c r="E16" s="47">
        <f t="shared" si="1"/>
        <v>4157.75</v>
      </c>
    </row>
    <row r="17">
      <c r="A17" s="45" t="s">
        <v>237</v>
      </c>
      <c r="B17" s="46">
        <v>38457.0</v>
      </c>
      <c r="C17" s="46">
        <v>5061.0</v>
      </c>
      <c r="D17" s="46">
        <v>33396.0</v>
      </c>
      <c r="E17" s="47">
        <f t="shared" si="1"/>
        <v>12306.24</v>
      </c>
    </row>
    <row r="18">
      <c r="A18" s="45" t="s">
        <v>238</v>
      </c>
      <c r="B18" s="46">
        <v>26402.0</v>
      </c>
      <c r="C18" s="46">
        <v>2581.0</v>
      </c>
      <c r="D18" s="46">
        <v>23821.0</v>
      </c>
      <c r="E18" s="47">
        <f t="shared" si="1"/>
        <v>8448.64</v>
      </c>
    </row>
    <row r="19">
      <c r="A19" s="45" t="s">
        <v>239</v>
      </c>
      <c r="B19" s="46">
        <v>71701.0</v>
      </c>
      <c r="C19" s="46">
        <v>3214.0</v>
      </c>
      <c r="D19" s="46">
        <v>68487.0</v>
      </c>
      <c r="E19" s="47">
        <f t="shared" si="1"/>
        <v>32265.45</v>
      </c>
    </row>
    <row r="20">
      <c r="A20" s="45" t="s">
        <v>33</v>
      </c>
      <c r="B20" s="46">
        <v>60852.0</v>
      </c>
      <c r="C20" s="46">
        <v>3797.0</v>
      </c>
      <c r="D20" s="46">
        <v>57055.0</v>
      </c>
      <c r="E20" s="47">
        <f t="shared" si="1"/>
        <v>27383.4</v>
      </c>
    </row>
    <row r="21">
      <c r="A21" s="45" t="s">
        <v>240</v>
      </c>
      <c r="B21" s="46">
        <v>33685.0</v>
      </c>
      <c r="C21" s="46">
        <v>4929.0</v>
      </c>
      <c r="D21" s="46">
        <v>28756.0</v>
      </c>
      <c r="E21" s="47">
        <f t="shared" si="1"/>
        <v>10779.2</v>
      </c>
    </row>
    <row r="22">
      <c r="A22" s="45" t="s">
        <v>241</v>
      </c>
      <c r="B22" s="46">
        <v>22193.0</v>
      </c>
      <c r="C22" s="46">
        <v>2577.0</v>
      </c>
      <c r="D22" s="46">
        <v>19616.0</v>
      </c>
      <c r="E22" s="47">
        <f t="shared" si="1"/>
        <v>5548.25</v>
      </c>
    </row>
    <row r="23">
      <c r="A23" s="45" t="s">
        <v>242</v>
      </c>
      <c r="B23" s="46">
        <v>51164.0</v>
      </c>
      <c r="C23" s="46">
        <v>7161.0</v>
      </c>
      <c r="D23" s="46">
        <v>44003.0</v>
      </c>
      <c r="E23" s="47">
        <f t="shared" si="1"/>
        <v>23023.8</v>
      </c>
    </row>
    <row r="24">
      <c r="A24" s="45" t="s">
        <v>243</v>
      </c>
      <c r="B24" s="46">
        <v>46386.0</v>
      </c>
      <c r="C24" s="49">
        <v>5055.0</v>
      </c>
      <c r="D24" s="50">
        <v>41331.0</v>
      </c>
      <c r="E24" s="47">
        <f t="shared" si="1"/>
        <v>20873.7</v>
      </c>
    </row>
    <row r="25">
      <c r="A25" s="45" t="s">
        <v>244</v>
      </c>
      <c r="B25" s="46">
        <v>37121.0</v>
      </c>
      <c r="C25" s="51">
        <v>4052.0</v>
      </c>
      <c r="D25" s="46">
        <v>33069.0</v>
      </c>
      <c r="E25" s="47">
        <f t="shared" si="1"/>
        <v>11878.72</v>
      </c>
    </row>
    <row r="26">
      <c r="A26" s="45" t="s">
        <v>245</v>
      </c>
      <c r="B26" s="46">
        <v>69264.0</v>
      </c>
      <c r="C26" s="46">
        <v>6619.0</v>
      </c>
      <c r="D26" s="46">
        <v>62645.0</v>
      </c>
      <c r="E26" s="47">
        <f t="shared" si="1"/>
        <v>31168.8</v>
      </c>
    </row>
    <row r="27">
      <c r="A27" s="45" t="s">
        <v>246</v>
      </c>
      <c r="B27" s="46">
        <v>68784.0</v>
      </c>
      <c r="C27" s="46">
        <v>4351.0</v>
      </c>
      <c r="D27" s="46">
        <v>64433.0</v>
      </c>
      <c r="E27" s="47">
        <f t="shared" si="1"/>
        <v>30952.8</v>
      </c>
    </row>
    <row r="28">
      <c r="A28" s="45" t="s">
        <v>102</v>
      </c>
      <c r="B28" s="46">
        <v>42662.0</v>
      </c>
      <c r="C28" s="46">
        <v>5719.0</v>
      </c>
      <c r="D28" s="46">
        <v>36943.0</v>
      </c>
      <c r="E28" s="47">
        <f t="shared" si="1"/>
        <v>19197.9</v>
      </c>
    </row>
    <row r="29">
      <c r="A29" s="45" t="s">
        <v>102</v>
      </c>
      <c r="B29" s="46">
        <v>31219.0</v>
      </c>
      <c r="C29" s="46">
        <v>5593.0</v>
      </c>
      <c r="D29" s="46">
        <v>25626.0</v>
      </c>
      <c r="E29" s="47">
        <f t="shared" si="1"/>
        <v>9990.08</v>
      </c>
    </row>
    <row r="30">
      <c r="A30" s="45" t="s">
        <v>247</v>
      </c>
      <c r="B30" s="46">
        <v>36003.0</v>
      </c>
      <c r="C30" s="46">
        <v>2132.0</v>
      </c>
      <c r="D30" s="46">
        <v>33871.0</v>
      </c>
      <c r="E30" s="47">
        <f t="shared" si="1"/>
        <v>11520.96</v>
      </c>
    </row>
    <row r="31">
      <c r="A31" s="45" t="s">
        <v>248</v>
      </c>
      <c r="B31" s="46">
        <v>75041.0</v>
      </c>
      <c r="C31" s="46">
        <v>5991.0</v>
      </c>
      <c r="D31" s="46">
        <v>69050.0</v>
      </c>
      <c r="E31" s="47">
        <f t="shared" si="1"/>
        <v>33768.45</v>
      </c>
    </row>
    <row r="32">
      <c r="A32" s="45" t="s">
        <v>249</v>
      </c>
      <c r="B32" s="46">
        <v>14529.0</v>
      </c>
      <c r="C32" s="46">
        <v>5314.0</v>
      </c>
      <c r="D32" s="46">
        <v>9215.0</v>
      </c>
      <c r="E32" s="47">
        <f t="shared" si="1"/>
        <v>3632.25</v>
      </c>
    </row>
    <row r="33">
      <c r="A33" s="45" t="s">
        <v>250</v>
      </c>
      <c r="B33" s="46">
        <v>57890.0</v>
      </c>
      <c r="C33" s="46">
        <v>3036.0</v>
      </c>
      <c r="D33" s="46">
        <v>54854.0</v>
      </c>
      <c r="E33" s="47">
        <f t="shared" si="1"/>
        <v>26050.5</v>
      </c>
    </row>
    <row r="34">
      <c r="A34" s="45" t="s">
        <v>251</v>
      </c>
      <c r="B34" s="46">
        <v>22739.0</v>
      </c>
      <c r="C34" s="46">
        <v>7912.0</v>
      </c>
      <c r="D34" s="46">
        <v>14827.0</v>
      </c>
      <c r="E34" s="47">
        <f t="shared" si="1"/>
        <v>5684.75</v>
      </c>
    </row>
    <row r="35">
      <c r="A35" s="45" t="s">
        <v>252</v>
      </c>
      <c r="B35" s="46">
        <v>51758.0</v>
      </c>
      <c r="C35" s="46">
        <v>7496.0</v>
      </c>
      <c r="D35" s="46">
        <v>44262.0</v>
      </c>
      <c r="E35" s="47">
        <f t="shared" si="1"/>
        <v>23291.1</v>
      </c>
    </row>
    <row r="36">
      <c r="A36" s="45" t="s">
        <v>253</v>
      </c>
      <c r="B36" s="46">
        <v>27382.0</v>
      </c>
      <c r="C36" s="46">
        <v>3774.0</v>
      </c>
      <c r="D36" s="46">
        <v>23608.0</v>
      </c>
      <c r="E36" s="47">
        <f t="shared" si="1"/>
        <v>8762.24</v>
      </c>
    </row>
    <row r="37">
      <c r="A37" s="52" t="s">
        <v>254</v>
      </c>
      <c r="B37" s="53">
        <f t="shared" ref="B37:E37" si="2">SUM(B2:B36)</f>
        <v>1578958</v>
      </c>
      <c r="C37" s="53">
        <f t="shared" si="2"/>
        <v>167342</v>
      </c>
      <c r="D37" s="53">
        <f t="shared" si="2"/>
        <v>1411616</v>
      </c>
      <c r="E37" s="47">
        <f t="shared" si="2"/>
        <v>640315.06</v>
      </c>
    </row>
    <row r="38">
      <c r="A38" s="54" t="s">
        <v>255</v>
      </c>
      <c r="B38" s="13">
        <f>SUM(B2:B36)</f>
        <v>1578958</v>
      </c>
      <c r="C38" s="13"/>
      <c r="D38" s="55"/>
      <c r="E38" s="47"/>
    </row>
    <row r="39">
      <c r="A39" s="54" t="s">
        <v>256</v>
      </c>
      <c r="B39" s="56">
        <f>AVERAGE(B2:B36)</f>
        <v>45113.08571</v>
      </c>
      <c r="C39" s="13"/>
      <c r="D39" s="55"/>
      <c r="E39" s="47"/>
    </row>
    <row r="40">
      <c r="A40" s="54" t="s">
        <v>257</v>
      </c>
      <c r="B40" s="56">
        <f>COUNT(IF(ISNUMBER(C2:C36), C2:C36))</f>
        <v>0</v>
      </c>
      <c r="C40" s="13"/>
      <c r="D40" s="13"/>
      <c r="E40" s="47"/>
    </row>
    <row r="41">
      <c r="A41" s="54" t="s">
        <v>258</v>
      </c>
      <c r="B41" s="57">
        <f>COUNTA(C2:C36)</f>
        <v>35</v>
      </c>
      <c r="C41" s="13"/>
      <c r="D41" s="13"/>
      <c r="E41" s="47"/>
    </row>
    <row r="42">
      <c r="A42" s="54" t="s">
        <v>259</v>
      </c>
      <c r="B42" s="56">
        <f>COUNTBLANK(C2:C36)</f>
        <v>0</v>
      </c>
      <c r="C42" s="13"/>
      <c r="D42" s="13"/>
      <c r="E42" s="47"/>
    </row>
    <row r="43">
      <c r="A43" s="54" t="s">
        <v>260</v>
      </c>
      <c r="B43" s="13">
        <f>max(C2:C36)</f>
        <v>7912</v>
      </c>
      <c r="C43" s="13"/>
      <c r="D43" s="13"/>
      <c r="E43" s="47"/>
    </row>
    <row r="44">
      <c r="A44" s="54" t="s">
        <v>261</v>
      </c>
      <c r="B44" s="58">
        <f>MIN(C2:C36)</f>
        <v>2132</v>
      </c>
      <c r="C44" s="13"/>
      <c r="D44" s="13"/>
      <c r="E44" s="47"/>
    </row>
    <row r="45">
      <c r="A45" s="54" t="s">
        <v>262</v>
      </c>
      <c r="B45" s="13">
        <f>LARGE(C2:C36,2)</f>
        <v>7885</v>
      </c>
      <c r="C45" s="13"/>
      <c r="D45" s="13"/>
      <c r="E45" s="47"/>
    </row>
    <row r="46">
      <c r="A46" s="54" t="s">
        <v>263</v>
      </c>
      <c r="B46" s="56">
        <f>SMALL(C2:C36,2)</f>
        <v>2548</v>
      </c>
      <c r="C46" s="13"/>
      <c r="D46" s="13"/>
      <c r="E46" s="47"/>
    </row>
    <row r="47">
      <c r="E47" s="59"/>
    </row>
    <row r="48">
      <c r="E48" s="59"/>
    </row>
    <row r="49">
      <c r="E49" s="59"/>
    </row>
    <row r="50">
      <c r="E50" s="59"/>
    </row>
    <row r="51">
      <c r="E51" s="59"/>
    </row>
    <row r="52">
      <c r="E52" s="59"/>
    </row>
    <row r="53">
      <c r="E53" s="59"/>
    </row>
    <row r="54">
      <c r="E54" s="59"/>
    </row>
    <row r="55">
      <c r="E55" s="59"/>
    </row>
    <row r="56">
      <c r="E56" s="59"/>
    </row>
    <row r="57">
      <c r="E57" s="59"/>
    </row>
    <row r="58">
      <c r="E58" s="59"/>
    </row>
    <row r="59">
      <c r="E59" s="59"/>
    </row>
    <row r="60">
      <c r="E60" s="59"/>
    </row>
    <row r="61">
      <c r="E61" s="59"/>
    </row>
    <row r="62">
      <c r="E62" s="59"/>
    </row>
    <row r="63">
      <c r="E63" s="59"/>
    </row>
    <row r="64">
      <c r="E64" s="59"/>
    </row>
    <row r="65">
      <c r="E65" s="59"/>
    </row>
    <row r="66">
      <c r="E66" s="59"/>
    </row>
    <row r="67">
      <c r="E67" s="59"/>
    </row>
    <row r="68">
      <c r="E68" s="59"/>
    </row>
    <row r="69">
      <c r="E69" s="59"/>
    </row>
    <row r="70">
      <c r="E70" s="59"/>
    </row>
    <row r="71">
      <c r="E71" s="59"/>
    </row>
    <row r="72">
      <c r="E72" s="59"/>
    </row>
    <row r="73">
      <c r="E73" s="59"/>
    </row>
    <row r="74">
      <c r="E74" s="59"/>
    </row>
    <row r="75">
      <c r="E75" s="59"/>
    </row>
    <row r="76">
      <c r="E76" s="59"/>
    </row>
    <row r="77">
      <c r="E77" s="59"/>
    </row>
    <row r="78">
      <c r="E78" s="59"/>
    </row>
    <row r="79">
      <c r="E79" s="59"/>
    </row>
    <row r="80">
      <c r="E80" s="59"/>
    </row>
    <row r="81">
      <c r="E81" s="59"/>
    </row>
    <row r="82">
      <c r="E82" s="59"/>
    </row>
    <row r="83">
      <c r="E83" s="59"/>
    </row>
    <row r="84">
      <c r="E84" s="59"/>
    </row>
    <row r="85">
      <c r="E85" s="59"/>
    </row>
    <row r="86">
      <c r="E86" s="59"/>
    </row>
    <row r="87">
      <c r="E87" s="59"/>
    </row>
    <row r="88">
      <c r="E88" s="59"/>
    </row>
    <row r="89">
      <c r="E89" s="59"/>
    </row>
    <row r="90">
      <c r="E90" s="59"/>
    </row>
    <row r="91">
      <c r="E91" s="59"/>
    </row>
    <row r="92">
      <c r="E92" s="59"/>
    </row>
    <row r="93">
      <c r="E93" s="59"/>
    </row>
    <row r="94">
      <c r="E94" s="59"/>
    </row>
    <row r="95">
      <c r="E95" s="59"/>
    </row>
    <row r="96">
      <c r="E96" s="59"/>
    </row>
    <row r="97">
      <c r="E97" s="59"/>
    </row>
    <row r="98">
      <c r="E98" s="59"/>
    </row>
    <row r="99">
      <c r="E99" s="59"/>
    </row>
    <row r="100">
      <c r="E100" s="59"/>
    </row>
    <row r="101">
      <c r="E101" s="59"/>
    </row>
    <row r="102">
      <c r="E102" s="59"/>
    </row>
    <row r="103">
      <c r="E103" s="59"/>
    </row>
    <row r="104">
      <c r="E104" s="59"/>
    </row>
    <row r="105">
      <c r="E105" s="59"/>
    </row>
    <row r="106">
      <c r="E106" s="59"/>
    </row>
    <row r="107">
      <c r="E107" s="59"/>
    </row>
    <row r="108">
      <c r="E108" s="59"/>
    </row>
    <row r="109">
      <c r="E109" s="59"/>
    </row>
    <row r="110">
      <c r="E110" s="59"/>
    </row>
    <row r="111">
      <c r="E111" s="59"/>
    </row>
    <row r="112">
      <c r="E112" s="59"/>
    </row>
    <row r="113">
      <c r="E113" s="59"/>
    </row>
    <row r="114">
      <c r="E114" s="59"/>
    </row>
    <row r="115">
      <c r="E115" s="59"/>
    </row>
    <row r="116">
      <c r="E116" s="59"/>
    </row>
    <row r="117">
      <c r="E117" s="59"/>
    </row>
    <row r="118">
      <c r="E118" s="59"/>
    </row>
    <row r="119">
      <c r="E119" s="59"/>
    </row>
    <row r="120">
      <c r="E120" s="59"/>
    </row>
    <row r="121">
      <c r="E121" s="59"/>
    </row>
    <row r="122">
      <c r="E122" s="59"/>
    </row>
    <row r="123">
      <c r="E123" s="59"/>
    </row>
    <row r="124">
      <c r="E124" s="59"/>
    </row>
    <row r="125">
      <c r="E125" s="59"/>
    </row>
    <row r="126">
      <c r="E126" s="59"/>
    </row>
    <row r="127">
      <c r="E127" s="59"/>
    </row>
    <row r="128">
      <c r="E128" s="59"/>
    </row>
    <row r="129">
      <c r="E129" s="59"/>
    </row>
    <row r="130">
      <c r="E130" s="59"/>
    </row>
    <row r="131">
      <c r="E131" s="59"/>
    </row>
    <row r="132">
      <c r="E132" s="59"/>
    </row>
    <row r="133">
      <c r="E133" s="59"/>
    </row>
    <row r="134">
      <c r="E134" s="59"/>
    </row>
    <row r="135">
      <c r="E135" s="59"/>
    </row>
    <row r="136">
      <c r="E136" s="59"/>
    </row>
    <row r="137">
      <c r="E137" s="59"/>
    </row>
    <row r="138">
      <c r="E138" s="59"/>
    </row>
    <row r="139">
      <c r="E139" s="59"/>
    </row>
    <row r="140">
      <c r="E140" s="59"/>
    </row>
    <row r="141">
      <c r="E141" s="59"/>
    </row>
    <row r="142">
      <c r="E142" s="59"/>
    </row>
    <row r="143">
      <c r="E143" s="59"/>
    </row>
    <row r="144">
      <c r="E144" s="59"/>
    </row>
    <row r="145">
      <c r="E145" s="59"/>
    </row>
    <row r="146">
      <c r="E146" s="59"/>
    </row>
    <row r="147">
      <c r="E147" s="59"/>
    </row>
    <row r="148">
      <c r="E148" s="59"/>
    </row>
    <row r="149">
      <c r="E149" s="59"/>
    </row>
    <row r="150">
      <c r="E150" s="59"/>
    </row>
    <row r="151">
      <c r="E151" s="59"/>
    </row>
    <row r="152">
      <c r="E152" s="59"/>
    </row>
    <row r="153">
      <c r="E153" s="59"/>
    </row>
    <row r="154">
      <c r="E154" s="59"/>
    </row>
    <row r="155">
      <c r="E155" s="59"/>
    </row>
    <row r="156">
      <c r="E156" s="59"/>
    </row>
    <row r="157">
      <c r="E157" s="59"/>
    </row>
    <row r="158">
      <c r="E158" s="59"/>
    </row>
    <row r="159">
      <c r="E159" s="59"/>
    </row>
    <row r="160">
      <c r="E160" s="59"/>
    </row>
    <row r="161">
      <c r="E161" s="59"/>
    </row>
    <row r="162">
      <c r="E162" s="59"/>
    </row>
    <row r="163">
      <c r="E163" s="59"/>
    </row>
    <row r="164">
      <c r="E164" s="59"/>
    </row>
    <row r="165">
      <c r="E165" s="59"/>
    </row>
    <row r="166">
      <c r="E166" s="59"/>
    </row>
    <row r="167">
      <c r="E167" s="59"/>
    </row>
    <row r="168">
      <c r="E168" s="59"/>
    </row>
    <row r="169">
      <c r="E169" s="59"/>
    </row>
    <row r="170">
      <c r="E170" s="59"/>
    </row>
    <row r="171">
      <c r="E171" s="59"/>
    </row>
    <row r="172">
      <c r="E172" s="59"/>
    </row>
    <row r="173">
      <c r="E173" s="59"/>
    </row>
    <row r="174">
      <c r="E174" s="59"/>
    </row>
    <row r="175">
      <c r="E175" s="59"/>
    </row>
    <row r="176">
      <c r="E176" s="59"/>
    </row>
    <row r="177">
      <c r="E177" s="59"/>
    </row>
    <row r="178">
      <c r="E178" s="59"/>
    </row>
    <row r="179">
      <c r="E179" s="59"/>
    </row>
    <row r="180">
      <c r="E180" s="59"/>
    </row>
    <row r="181">
      <c r="E181" s="59"/>
    </row>
    <row r="182">
      <c r="E182" s="59"/>
    </row>
    <row r="183">
      <c r="E183" s="59"/>
    </row>
    <row r="184">
      <c r="E184" s="59"/>
    </row>
    <row r="185">
      <c r="E185" s="59"/>
    </row>
    <row r="186">
      <c r="E186" s="59"/>
    </row>
    <row r="187">
      <c r="E187" s="59"/>
    </row>
    <row r="188">
      <c r="E188" s="59"/>
    </row>
    <row r="189">
      <c r="E189" s="59"/>
    </row>
    <row r="190">
      <c r="E190" s="59"/>
    </row>
    <row r="191">
      <c r="E191" s="59"/>
    </row>
    <row r="192">
      <c r="E192" s="59"/>
    </row>
    <row r="193">
      <c r="E193" s="59"/>
    </row>
    <row r="194">
      <c r="E194" s="59"/>
    </row>
    <row r="195">
      <c r="E195" s="59"/>
    </row>
    <row r="196">
      <c r="E196" s="59"/>
    </row>
    <row r="197">
      <c r="E197" s="59"/>
    </row>
    <row r="198">
      <c r="E198" s="59"/>
    </row>
    <row r="199">
      <c r="E199" s="59"/>
    </row>
    <row r="200">
      <c r="E200" s="59"/>
    </row>
    <row r="201">
      <c r="E201" s="59"/>
    </row>
    <row r="202">
      <c r="E202" s="59"/>
    </row>
    <row r="203">
      <c r="E203" s="59"/>
    </row>
    <row r="204">
      <c r="E204" s="59"/>
    </row>
    <row r="205">
      <c r="E205" s="59"/>
    </row>
    <row r="206">
      <c r="E206" s="59"/>
    </row>
    <row r="207">
      <c r="E207" s="59"/>
    </row>
    <row r="208">
      <c r="E208" s="59"/>
    </row>
    <row r="209">
      <c r="E209" s="59"/>
    </row>
    <row r="210">
      <c r="E210" s="59"/>
    </row>
    <row r="211">
      <c r="E211" s="59"/>
    </row>
    <row r="212">
      <c r="E212" s="59"/>
    </row>
    <row r="213">
      <c r="E213" s="59"/>
    </row>
    <row r="214">
      <c r="E214" s="59"/>
    </row>
    <row r="215">
      <c r="E215" s="59"/>
    </row>
    <row r="216">
      <c r="E216" s="59"/>
    </row>
    <row r="217">
      <c r="E217" s="59"/>
    </row>
    <row r="218">
      <c r="E218" s="59"/>
    </row>
    <row r="219">
      <c r="E219" s="59"/>
    </row>
    <row r="220">
      <c r="E220" s="59"/>
    </row>
    <row r="221">
      <c r="E221" s="59"/>
    </row>
    <row r="222">
      <c r="E222" s="59"/>
    </row>
    <row r="223">
      <c r="E223" s="59"/>
    </row>
    <row r="224">
      <c r="E224" s="59"/>
    </row>
    <row r="225">
      <c r="E225" s="59"/>
    </row>
    <row r="226">
      <c r="E226" s="59"/>
    </row>
    <row r="227">
      <c r="E227" s="59"/>
    </row>
    <row r="228">
      <c r="E228" s="59"/>
    </row>
    <row r="229">
      <c r="E229" s="59"/>
    </row>
    <row r="230">
      <c r="E230" s="59"/>
    </row>
    <row r="231">
      <c r="E231" s="59"/>
    </row>
    <row r="232">
      <c r="E232" s="59"/>
    </row>
    <row r="233">
      <c r="E233" s="59"/>
    </row>
    <row r="234">
      <c r="E234" s="59"/>
    </row>
    <row r="235">
      <c r="E235" s="59"/>
    </row>
    <row r="236">
      <c r="E236" s="59"/>
    </row>
    <row r="237">
      <c r="E237" s="59"/>
    </row>
    <row r="238">
      <c r="E238" s="59"/>
    </row>
    <row r="239">
      <c r="E239" s="59"/>
    </row>
    <row r="240">
      <c r="E240" s="59"/>
    </row>
    <row r="241">
      <c r="E241" s="59"/>
    </row>
    <row r="242">
      <c r="E242" s="59"/>
    </row>
    <row r="243">
      <c r="E243" s="59"/>
    </row>
    <row r="244">
      <c r="E244" s="59"/>
    </row>
    <row r="245">
      <c r="E245" s="59"/>
    </row>
    <row r="246">
      <c r="E246" s="59"/>
    </row>
    <row r="247">
      <c r="E247" s="59"/>
    </row>
    <row r="248">
      <c r="E248" s="59"/>
    </row>
    <row r="249">
      <c r="E249" s="59"/>
    </row>
    <row r="250">
      <c r="E250" s="59"/>
    </row>
    <row r="251">
      <c r="E251" s="59"/>
    </row>
    <row r="252">
      <c r="E252" s="59"/>
    </row>
    <row r="253">
      <c r="E253" s="59"/>
    </row>
    <row r="254">
      <c r="E254" s="59"/>
    </row>
    <row r="255">
      <c r="E255" s="59"/>
    </row>
    <row r="256">
      <c r="E256" s="59"/>
    </row>
    <row r="257">
      <c r="E257" s="59"/>
    </row>
    <row r="258">
      <c r="E258" s="59"/>
    </row>
    <row r="259">
      <c r="E259" s="59"/>
    </row>
    <row r="260">
      <c r="E260" s="59"/>
    </row>
    <row r="261">
      <c r="E261" s="59"/>
    </row>
    <row r="262">
      <c r="E262" s="59"/>
    </row>
    <row r="263">
      <c r="E263" s="59"/>
    </row>
    <row r="264">
      <c r="E264" s="59"/>
    </row>
    <row r="265">
      <c r="E265" s="59"/>
    </row>
    <row r="266">
      <c r="E266" s="59"/>
    </row>
    <row r="267">
      <c r="E267" s="59"/>
    </row>
    <row r="268">
      <c r="E268" s="59"/>
    </row>
    <row r="269">
      <c r="E269" s="59"/>
    </row>
    <row r="270">
      <c r="E270" s="59"/>
    </row>
    <row r="271">
      <c r="E271" s="59"/>
    </row>
    <row r="272">
      <c r="E272" s="59"/>
    </row>
    <row r="273">
      <c r="E273" s="59"/>
    </row>
    <row r="274">
      <c r="E274" s="59"/>
    </row>
    <row r="275">
      <c r="E275" s="59"/>
    </row>
    <row r="276">
      <c r="E276" s="59"/>
    </row>
    <row r="277">
      <c r="E277" s="59"/>
    </row>
    <row r="278">
      <c r="E278" s="59"/>
    </row>
    <row r="279">
      <c r="E279" s="59"/>
    </row>
    <row r="280">
      <c r="E280" s="59"/>
    </row>
    <row r="281">
      <c r="E281" s="59"/>
    </row>
    <row r="282">
      <c r="E282" s="59"/>
    </row>
    <row r="283">
      <c r="E283" s="59"/>
    </row>
    <row r="284">
      <c r="E284" s="59"/>
    </row>
    <row r="285">
      <c r="E285" s="59"/>
    </row>
    <row r="286">
      <c r="E286" s="59"/>
    </row>
    <row r="287">
      <c r="E287" s="59"/>
    </row>
    <row r="288">
      <c r="E288" s="59"/>
    </row>
    <row r="289">
      <c r="E289" s="59"/>
    </row>
    <row r="290">
      <c r="E290" s="59"/>
    </row>
    <row r="291">
      <c r="E291" s="59"/>
    </row>
    <row r="292">
      <c r="E292" s="59"/>
    </row>
    <row r="293">
      <c r="E293" s="59"/>
    </row>
    <row r="294">
      <c r="E294" s="59"/>
    </row>
    <row r="295">
      <c r="E295" s="59"/>
    </row>
    <row r="296">
      <c r="E296" s="59"/>
    </row>
    <row r="297">
      <c r="E297" s="59"/>
    </row>
    <row r="298">
      <c r="E298" s="59"/>
    </row>
    <row r="299">
      <c r="E299" s="59"/>
    </row>
    <row r="300">
      <c r="E300" s="59"/>
    </row>
    <row r="301">
      <c r="E301" s="59"/>
    </row>
    <row r="302">
      <c r="E302" s="59"/>
    </row>
    <row r="303">
      <c r="E303" s="59"/>
    </row>
    <row r="304">
      <c r="E304" s="59"/>
    </row>
    <row r="305">
      <c r="E305" s="59"/>
    </row>
    <row r="306">
      <c r="E306" s="59"/>
    </row>
    <row r="307">
      <c r="E307" s="59"/>
    </row>
    <row r="308">
      <c r="E308" s="59"/>
    </row>
    <row r="309">
      <c r="E309" s="59"/>
    </row>
    <row r="310">
      <c r="E310" s="59"/>
    </row>
    <row r="311">
      <c r="E311" s="59"/>
    </row>
    <row r="312">
      <c r="E312" s="59"/>
    </row>
    <row r="313">
      <c r="E313" s="59"/>
    </row>
    <row r="314">
      <c r="E314" s="59"/>
    </row>
    <row r="315">
      <c r="E315" s="59"/>
    </row>
    <row r="316">
      <c r="E316" s="59"/>
    </row>
    <row r="317">
      <c r="E317" s="59"/>
    </row>
    <row r="318">
      <c r="E318" s="59"/>
    </row>
    <row r="319">
      <c r="E319" s="59"/>
    </row>
    <row r="320">
      <c r="E320" s="59"/>
    </row>
    <row r="321">
      <c r="E321" s="59"/>
    </row>
    <row r="322">
      <c r="E322" s="59"/>
    </row>
    <row r="323">
      <c r="E323" s="59"/>
    </row>
    <row r="324">
      <c r="E324" s="59"/>
    </row>
    <row r="325">
      <c r="E325" s="59"/>
    </row>
    <row r="326">
      <c r="E326" s="59"/>
    </row>
    <row r="327">
      <c r="E327" s="59"/>
    </row>
    <row r="328">
      <c r="E328" s="59"/>
    </row>
    <row r="329">
      <c r="E329" s="59"/>
    </row>
    <row r="330">
      <c r="E330" s="59"/>
    </row>
    <row r="331">
      <c r="E331" s="59"/>
    </row>
    <row r="332">
      <c r="E332" s="59"/>
    </row>
    <row r="333">
      <c r="E333" s="59"/>
    </row>
    <row r="334">
      <c r="E334" s="59"/>
    </row>
    <row r="335">
      <c r="E335" s="59"/>
    </row>
    <row r="336">
      <c r="E336" s="59"/>
    </row>
    <row r="337">
      <c r="E337" s="59"/>
    </row>
    <row r="338">
      <c r="E338" s="59"/>
    </row>
    <row r="339">
      <c r="E339" s="59"/>
    </row>
    <row r="340">
      <c r="E340" s="59"/>
    </row>
    <row r="341">
      <c r="E341" s="59"/>
    </row>
    <row r="342">
      <c r="E342" s="59"/>
    </row>
    <row r="343">
      <c r="E343" s="59"/>
    </row>
    <row r="344">
      <c r="E344" s="59"/>
    </row>
    <row r="345">
      <c r="E345" s="59"/>
    </row>
    <row r="346">
      <c r="E346" s="59"/>
    </row>
    <row r="347">
      <c r="E347" s="59"/>
    </row>
    <row r="348">
      <c r="E348" s="59"/>
    </row>
    <row r="349">
      <c r="E349" s="59"/>
    </row>
    <row r="350">
      <c r="E350" s="59"/>
    </row>
    <row r="351">
      <c r="E351" s="59"/>
    </row>
    <row r="352">
      <c r="E352" s="59"/>
    </row>
    <row r="353">
      <c r="E353" s="59"/>
    </row>
    <row r="354">
      <c r="E354" s="59"/>
    </row>
    <row r="355">
      <c r="E355" s="59"/>
    </row>
    <row r="356">
      <c r="E356" s="59"/>
    </row>
    <row r="357">
      <c r="E357" s="59"/>
    </row>
    <row r="358">
      <c r="E358" s="59"/>
    </row>
    <row r="359">
      <c r="E359" s="59"/>
    </row>
    <row r="360">
      <c r="E360" s="59"/>
    </row>
    <row r="361">
      <c r="E361" s="59"/>
    </row>
    <row r="362">
      <c r="E362" s="59"/>
    </row>
    <row r="363">
      <c r="E363" s="59"/>
    </row>
    <row r="364">
      <c r="E364" s="59"/>
    </row>
    <row r="365">
      <c r="E365" s="59"/>
    </row>
    <row r="366">
      <c r="E366" s="59"/>
    </row>
    <row r="367">
      <c r="E367" s="59"/>
    </row>
    <row r="368">
      <c r="E368" s="59"/>
    </row>
    <row r="369">
      <c r="E369" s="59"/>
    </row>
    <row r="370">
      <c r="E370" s="59"/>
    </row>
    <row r="371">
      <c r="E371" s="59"/>
    </row>
    <row r="372">
      <c r="E372" s="59"/>
    </row>
    <row r="373">
      <c r="E373" s="59"/>
    </row>
    <row r="374">
      <c r="E374" s="59"/>
    </row>
    <row r="375">
      <c r="E375" s="59"/>
    </row>
    <row r="376">
      <c r="E376" s="59"/>
    </row>
    <row r="377">
      <c r="E377" s="59"/>
    </row>
    <row r="378">
      <c r="E378" s="59"/>
    </row>
    <row r="379">
      <c r="E379" s="59"/>
    </row>
    <row r="380">
      <c r="E380" s="59"/>
    </row>
    <row r="381">
      <c r="E381" s="59"/>
    </row>
    <row r="382">
      <c r="E382" s="59"/>
    </row>
    <row r="383">
      <c r="E383" s="59"/>
    </row>
    <row r="384">
      <c r="E384" s="59"/>
    </row>
    <row r="385">
      <c r="E385" s="59"/>
    </row>
    <row r="386">
      <c r="E386" s="59"/>
    </row>
    <row r="387">
      <c r="E387" s="59"/>
    </row>
    <row r="388">
      <c r="E388" s="59"/>
    </row>
    <row r="389">
      <c r="E389" s="59"/>
    </row>
    <row r="390">
      <c r="E390" s="59"/>
    </row>
    <row r="391">
      <c r="E391" s="59"/>
    </row>
    <row r="392">
      <c r="E392" s="59"/>
    </row>
    <row r="393">
      <c r="E393" s="59"/>
    </row>
    <row r="394">
      <c r="E394" s="59"/>
    </row>
    <row r="395">
      <c r="E395" s="59"/>
    </row>
    <row r="396">
      <c r="E396" s="59"/>
    </row>
    <row r="397">
      <c r="E397" s="59"/>
    </row>
    <row r="398">
      <c r="E398" s="59"/>
    </row>
    <row r="399">
      <c r="E399" s="59"/>
    </row>
    <row r="400">
      <c r="E400" s="59"/>
    </row>
    <row r="401">
      <c r="E401" s="59"/>
    </row>
    <row r="402">
      <c r="E402" s="59"/>
    </row>
    <row r="403">
      <c r="E403" s="59"/>
    </row>
    <row r="404">
      <c r="E404" s="59"/>
    </row>
    <row r="405">
      <c r="E405" s="59"/>
    </row>
    <row r="406">
      <c r="E406" s="59"/>
    </row>
    <row r="407">
      <c r="E407" s="59"/>
    </row>
    <row r="408">
      <c r="E408" s="59"/>
    </row>
    <row r="409">
      <c r="E409" s="59"/>
    </row>
    <row r="410">
      <c r="E410" s="59"/>
    </row>
    <row r="411">
      <c r="E411" s="59"/>
    </row>
    <row r="412">
      <c r="E412" s="59"/>
    </row>
    <row r="413">
      <c r="E413" s="59"/>
    </row>
    <row r="414">
      <c r="E414" s="59"/>
    </row>
    <row r="415">
      <c r="E415" s="59"/>
    </row>
    <row r="416">
      <c r="E416" s="59"/>
    </row>
    <row r="417">
      <c r="E417" s="59"/>
    </row>
    <row r="418">
      <c r="E418" s="59"/>
    </row>
    <row r="419">
      <c r="E419" s="59"/>
    </row>
    <row r="420">
      <c r="E420" s="59"/>
    </row>
    <row r="421">
      <c r="E421" s="59"/>
    </row>
    <row r="422">
      <c r="E422" s="59"/>
    </row>
    <row r="423">
      <c r="E423" s="59"/>
    </row>
    <row r="424">
      <c r="E424" s="59"/>
    </row>
    <row r="425">
      <c r="E425" s="59"/>
    </row>
    <row r="426">
      <c r="E426" s="59"/>
    </row>
    <row r="427">
      <c r="E427" s="59"/>
    </row>
    <row r="428">
      <c r="E428" s="59"/>
    </row>
    <row r="429">
      <c r="E429" s="59"/>
    </row>
    <row r="430">
      <c r="E430" s="59"/>
    </row>
    <row r="431">
      <c r="E431" s="59"/>
    </row>
    <row r="432">
      <c r="E432" s="59"/>
    </row>
    <row r="433">
      <c r="E433" s="59"/>
    </row>
    <row r="434">
      <c r="E434" s="59"/>
    </row>
    <row r="435">
      <c r="E435" s="59"/>
    </row>
    <row r="436">
      <c r="E436" s="59"/>
    </row>
    <row r="437">
      <c r="E437" s="59"/>
    </row>
    <row r="438">
      <c r="E438" s="59"/>
    </row>
    <row r="439">
      <c r="E439" s="59"/>
    </row>
    <row r="440">
      <c r="E440" s="59"/>
    </row>
    <row r="441">
      <c r="E441" s="59"/>
    </row>
    <row r="442">
      <c r="E442" s="59"/>
    </row>
    <row r="443">
      <c r="E443" s="59"/>
    </row>
    <row r="444">
      <c r="E444" s="59"/>
    </row>
    <row r="445">
      <c r="E445" s="59"/>
    </row>
    <row r="446">
      <c r="E446" s="59"/>
    </row>
    <row r="447">
      <c r="E447" s="59"/>
    </row>
    <row r="448">
      <c r="E448" s="59"/>
    </row>
    <row r="449">
      <c r="E449" s="59"/>
    </row>
    <row r="450">
      <c r="E450" s="59"/>
    </row>
    <row r="451">
      <c r="E451" s="59"/>
    </row>
    <row r="452">
      <c r="E452" s="59"/>
    </row>
    <row r="453">
      <c r="E453" s="59"/>
    </row>
    <row r="454">
      <c r="E454" s="59"/>
    </row>
    <row r="455">
      <c r="E455" s="59"/>
    </row>
    <row r="456">
      <c r="E456" s="59"/>
    </row>
    <row r="457">
      <c r="E457" s="59"/>
    </row>
    <row r="458">
      <c r="E458" s="59"/>
    </row>
    <row r="459">
      <c r="E459" s="59"/>
    </row>
    <row r="460">
      <c r="E460" s="59"/>
    </row>
    <row r="461">
      <c r="E461" s="59"/>
    </row>
    <row r="462">
      <c r="E462" s="59"/>
    </row>
    <row r="463">
      <c r="E463" s="59"/>
    </row>
    <row r="464">
      <c r="E464" s="59"/>
    </row>
    <row r="465">
      <c r="E465" s="59"/>
    </row>
    <row r="466">
      <c r="E466" s="59"/>
    </row>
    <row r="467">
      <c r="E467" s="59"/>
    </row>
    <row r="468">
      <c r="E468" s="59"/>
    </row>
    <row r="469">
      <c r="E469" s="59"/>
    </row>
    <row r="470">
      <c r="E470" s="59"/>
    </row>
    <row r="471">
      <c r="E471" s="59"/>
    </row>
    <row r="472">
      <c r="E472" s="59"/>
    </row>
    <row r="473">
      <c r="E473" s="59"/>
    </row>
    <row r="474">
      <c r="E474" s="59"/>
    </row>
    <row r="475">
      <c r="E475" s="59"/>
    </row>
    <row r="476">
      <c r="E476" s="59"/>
    </row>
    <row r="477">
      <c r="E477" s="59"/>
    </row>
    <row r="478">
      <c r="E478" s="59"/>
    </row>
    <row r="479">
      <c r="E479" s="59"/>
    </row>
    <row r="480">
      <c r="E480" s="59"/>
    </row>
    <row r="481">
      <c r="E481" s="59"/>
    </row>
    <row r="482">
      <c r="E482" s="59"/>
    </row>
    <row r="483">
      <c r="E483" s="59"/>
    </row>
    <row r="484">
      <c r="E484" s="59"/>
    </row>
    <row r="485">
      <c r="E485" s="59"/>
    </row>
    <row r="486">
      <c r="E486" s="59"/>
    </row>
    <row r="487">
      <c r="E487" s="59"/>
    </row>
    <row r="488">
      <c r="E488" s="59"/>
    </row>
    <row r="489">
      <c r="E489" s="59"/>
    </row>
    <row r="490">
      <c r="E490" s="59"/>
    </row>
    <row r="491">
      <c r="E491" s="59"/>
    </row>
    <row r="492">
      <c r="E492" s="59"/>
    </row>
    <row r="493">
      <c r="E493" s="59"/>
    </row>
    <row r="494">
      <c r="E494" s="59"/>
    </row>
    <row r="495">
      <c r="E495" s="59"/>
    </row>
    <row r="496">
      <c r="E496" s="59"/>
    </row>
    <row r="497">
      <c r="E497" s="59"/>
    </row>
    <row r="498">
      <c r="E498" s="59"/>
    </row>
    <row r="499">
      <c r="E499" s="59"/>
    </row>
    <row r="500">
      <c r="E500" s="59"/>
    </row>
    <row r="501">
      <c r="E501" s="59"/>
    </row>
    <row r="502">
      <c r="E502" s="59"/>
    </row>
    <row r="503">
      <c r="E503" s="59"/>
    </row>
    <row r="504">
      <c r="E504" s="59"/>
    </row>
    <row r="505">
      <c r="E505" s="59"/>
    </row>
    <row r="506">
      <c r="E506" s="59"/>
    </row>
    <row r="507">
      <c r="E507" s="59"/>
    </row>
    <row r="508">
      <c r="E508" s="59"/>
    </row>
    <row r="509">
      <c r="E509" s="59"/>
    </row>
    <row r="510">
      <c r="E510" s="59"/>
    </row>
    <row r="511">
      <c r="E511" s="59"/>
    </row>
    <row r="512">
      <c r="E512" s="59"/>
    </row>
    <row r="513">
      <c r="E513" s="59"/>
    </row>
    <row r="514">
      <c r="E514" s="59"/>
    </row>
    <row r="515">
      <c r="E515" s="59"/>
    </row>
    <row r="516">
      <c r="E516" s="59"/>
    </row>
    <row r="517">
      <c r="E517" s="59"/>
    </row>
    <row r="518">
      <c r="E518" s="59"/>
    </row>
    <row r="519">
      <c r="E519" s="59"/>
    </row>
    <row r="520">
      <c r="E520" s="59"/>
    </row>
    <row r="521">
      <c r="E521" s="59"/>
    </row>
    <row r="522">
      <c r="E522" s="59"/>
    </row>
    <row r="523">
      <c r="E523" s="59"/>
    </row>
    <row r="524">
      <c r="E524" s="59"/>
    </row>
    <row r="525">
      <c r="E525" s="59"/>
    </row>
    <row r="526">
      <c r="E526" s="59"/>
    </row>
    <row r="527">
      <c r="E527" s="59"/>
    </row>
    <row r="528">
      <c r="E528" s="59"/>
    </row>
    <row r="529">
      <c r="E529" s="59"/>
    </row>
    <row r="530">
      <c r="E530" s="59"/>
    </row>
    <row r="531">
      <c r="E531" s="59"/>
    </row>
    <row r="532">
      <c r="E532" s="59"/>
    </row>
    <row r="533">
      <c r="E533" s="59"/>
    </row>
    <row r="534">
      <c r="E534" s="59"/>
    </row>
    <row r="535">
      <c r="E535" s="59"/>
    </row>
    <row r="536">
      <c r="E536" s="59"/>
    </row>
    <row r="537">
      <c r="E537" s="59"/>
    </row>
    <row r="538">
      <c r="E538" s="59"/>
    </row>
    <row r="539">
      <c r="E539" s="59"/>
    </row>
    <row r="540">
      <c r="E540" s="59"/>
    </row>
    <row r="541">
      <c r="E541" s="59"/>
    </row>
    <row r="542">
      <c r="E542" s="59"/>
    </row>
    <row r="543">
      <c r="E543" s="59"/>
    </row>
    <row r="544">
      <c r="E544" s="59"/>
    </row>
    <row r="545">
      <c r="E545" s="59"/>
    </row>
    <row r="546">
      <c r="E546" s="59"/>
    </row>
    <row r="547">
      <c r="E547" s="59"/>
    </row>
    <row r="548">
      <c r="E548" s="59"/>
    </row>
    <row r="549">
      <c r="E549" s="59"/>
    </row>
    <row r="550">
      <c r="E550" s="59"/>
    </row>
    <row r="551">
      <c r="E551" s="59"/>
    </row>
    <row r="552">
      <c r="E552" s="59"/>
    </row>
    <row r="553">
      <c r="E553" s="59"/>
    </row>
    <row r="554">
      <c r="E554" s="59"/>
    </row>
    <row r="555">
      <c r="E555" s="59"/>
    </row>
    <row r="556">
      <c r="E556" s="59"/>
    </row>
    <row r="557">
      <c r="E557" s="59"/>
    </row>
    <row r="558">
      <c r="E558" s="59"/>
    </row>
    <row r="559">
      <c r="E559" s="59"/>
    </row>
    <row r="560">
      <c r="E560" s="59"/>
    </row>
    <row r="561">
      <c r="E561" s="59"/>
    </row>
    <row r="562">
      <c r="E562" s="59"/>
    </row>
    <row r="563">
      <c r="E563" s="59"/>
    </row>
    <row r="564">
      <c r="E564" s="59"/>
    </row>
    <row r="565">
      <c r="E565" s="59"/>
    </row>
    <row r="566">
      <c r="E566" s="59"/>
    </row>
    <row r="567">
      <c r="E567" s="59"/>
    </row>
    <row r="568">
      <c r="E568" s="59"/>
    </row>
    <row r="569">
      <c r="E569" s="59"/>
    </row>
    <row r="570">
      <c r="E570" s="59"/>
    </row>
    <row r="571">
      <c r="E571" s="59"/>
    </row>
    <row r="572">
      <c r="E572" s="59"/>
    </row>
    <row r="573">
      <c r="E573" s="59"/>
    </row>
    <row r="574">
      <c r="E574" s="59"/>
    </row>
    <row r="575">
      <c r="E575" s="59"/>
    </row>
    <row r="576">
      <c r="E576" s="59"/>
    </row>
    <row r="577">
      <c r="E577" s="59"/>
    </row>
    <row r="578">
      <c r="E578" s="59"/>
    </row>
    <row r="579">
      <c r="E579" s="59"/>
    </row>
    <row r="580">
      <c r="E580" s="59"/>
    </row>
    <row r="581">
      <c r="E581" s="59"/>
    </row>
    <row r="582">
      <c r="E582" s="59"/>
    </row>
    <row r="583">
      <c r="E583" s="59"/>
    </row>
    <row r="584">
      <c r="E584" s="59"/>
    </row>
    <row r="585">
      <c r="E585" s="59"/>
    </row>
    <row r="586">
      <c r="E586" s="59"/>
    </row>
    <row r="587">
      <c r="E587" s="59"/>
    </row>
    <row r="588">
      <c r="E588" s="59"/>
    </row>
    <row r="589">
      <c r="E589" s="59"/>
    </row>
    <row r="590">
      <c r="E590" s="59"/>
    </row>
    <row r="591">
      <c r="E591" s="59"/>
    </row>
    <row r="592">
      <c r="E592" s="59"/>
    </row>
    <row r="593">
      <c r="E593" s="59"/>
    </row>
    <row r="594">
      <c r="E594" s="59"/>
    </row>
    <row r="595">
      <c r="E595" s="59"/>
    </row>
    <row r="596">
      <c r="E596" s="59"/>
    </row>
    <row r="597">
      <c r="E597" s="59"/>
    </row>
    <row r="598">
      <c r="E598" s="59"/>
    </row>
    <row r="599">
      <c r="E599" s="59"/>
    </row>
    <row r="600">
      <c r="E600" s="59"/>
    </row>
    <row r="601">
      <c r="E601" s="59"/>
    </row>
    <row r="602">
      <c r="E602" s="59"/>
    </row>
    <row r="603">
      <c r="E603" s="59"/>
    </row>
    <row r="604">
      <c r="E604" s="59"/>
    </row>
    <row r="605">
      <c r="E605" s="59"/>
    </row>
    <row r="606">
      <c r="E606" s="59"/>
    </row>
    <row r="607">
      <c r="E607" s="59"/>
    </row>
    <row r="608">
      <c r="E608" s="59"/>
    </row>
    <row r="609">
      <c r="E609" s="59"/>
    </row>
    <row r="610">
      <c r="E610" s="59"/>
    </row>
    <row r="611">
      <c r="E611" s="59"/>
    </row>
    <row r="612">
      <c r="E612" s="59"/>
    </row>
    <row r="613">
      <c r="E613" s="59"/>
    </row>
    <row r="614">
      <c r="E614" s="59"/>
    </row>
    <row r="615">
      <c r="E615" s="59"/>
    </row>
    <row r="616">
      <c r="E616" s="59"/>
    </row>
    <row r="617">
      <c r="E617" s="59"/>
    </row>
    <row r="618">
      <c r="E618" s="59"/>
    </row>
    <row r="619">
      <c r="E619" s="59"/>
    </row>
    <row r="620">
      <c r="E620" s="59"/>
    </row>
    <row r="621">
      <c r="E621" s="59"/>
    </row>
    <row r="622">
      <c r="E622" s="59"/>
    </row>
    <row r="623">
      <c r="E623" s="59"/>
    </row>
    <row r="624">
      <c r="E624" s="59"/>
    </row>
    <row r="625">
      <c r="E625" s="59"/>
    </row>
    <row r="626">
      <c r="E626" s="59"/>
    </row>
    <row r="627">
      <c r="E627" s="59"/>
    </row>
    <row r="628">
      <c r="E628" s="59"/>
    </row>
    <row r="629">
      <c r="E629" s="59"/>
    </row>
    <row r="630">
      <c r="E630" s="59"/>
    </row>
    <row r="631">
      <c r="E631" s="59"/>
    </row>
    <row r="632">
      <c r="E632" s="59"/>
    </row>
    <row r="633">
      <c r="E633" s="59"/>
    </row>
    <row r="634">
      <c r="E634" s="59"/>
    </row>
    <row r="635">
      <c r="E635" s="59"/>
    </row>
    <row r="636">
      <c r="E636" s="59"/>
    </row>
    <row r="637">
      <c r="E637" s="59"/>
    </row>
    <row r="638">
      <c r="E638" s="59"/>
    </row>
    <row r="639">
      <c r="E639" s="59"/>
    </row>
    <row r="640">
      <c r="E640" s="59"/>
    </row>
    <row r="641">
      <c r="E641" s="59"/>
    </row>
    <row r="642">
      <c r="E642" s="59"/>
    </row>
    <row r="643">
      <c r="E643" s="59"/>
    </row>
    <row r="644">
      <c r="E644" s="59"/>
    </row>
    <row r="645">
      <c r="E645" s="59"/>
    </row>
    <row r="646">
      <c r="E646" s="59"/>
    </row>
    <row r="647">
      <c r="E647" s="59"/>
    </row>
    <row r="648">
      <c r="E648" s="59"/>
    </row>
    <row r="649">
      <c r="E649" s="59"/>
    </row>
    <row r="650">
      <c r="E650" s="59"/>
    </row>
    <row r="651">
      <c r="E651" s="59"/>
    </row>
    <row r="652">
      <c r="E652" s="59"/>
    </row>
    <row r="653">
      <c r="E653" s="59"/>
    </row>
    <row r="654">
      <c r="E654" s="59"/>
    </row>
    <row r="655">
      <c r="E655" s="59"/>
    </row>
    <row r="656">
      <c r="E656" s="59"/>
    </row>
    <row r="657">
      <c r="E657" s="59"/>
    </row>
    <row r="658">
      <c r="E658" s="59"/>
    </row>
    <row r="659">
      <c r="E659" s="59"/>
    </row>
    <row r="660">
      <c r="E660" s="59"/>
    </row>
    <row r="661">
      <c r="E661" s="59"/>
    </row>
    <row r="662">
      <c r="E662" s="59"/>
    </row>
    <row r="663">
      <c r="E663" s="59"/>
    </row>
    <row r="664">
      <c r="E664" s="59"/>
    </row>
    <row r="665">
      <c r="E665" s="59"/>
    </row>
    <row r="666">
      <c r="E666" s="59"/>
    </row>
    <row r="667">
      <c r="E667" s="59"/>
    </row>
    <row r="668">
      <c r="E668" s="59"/>
    </row>
    <row r="669">
      <c r="E669" s="59"/>
    </row>
    <row r="670">
      <c r="E670" s="59"/>
    </row>
    <row r="671">
      <c r="E671" s="59"/>
    </row>
    <row r="672">
      <c r="E672" s="59"/>
    </row>
    <row r="673">
      <c r="E673" s="59"/>
    </row>
    <row r="674">
      <c r="E674" s="59"/>
    </row>
    <row r="675">
      <c r="E675" s="59"/>
    </row>
    <row r="676">
      <c r="E676" s="59"/>
    </row>
    <row r="677">
      <c r="E677" s="59"/>
    </row>
    <row r="678">
      <c r="E678" s="59"/>
    </row>
    <row r="679">
      <c r="E679" s="59"/>
    </row>
    <row r="680">
      <c r="E680" s="59"/>
    </row>
    <row r="681">
      <c r="E681" s="59"/>
    </row>
    <row r="682">
      <c r="E682" s="59"/>
    </row>
    <row r="683">
      <c r="E683" s="59"/>
    </row>
    <row r="684">
      <c r="E684" s="59"/>
    </row>
    <row r="685">
      <c r="E685" s="59"/>
    </row>
    <row r="686">
      <c r="E686" s="59"/>
    </row>
    <row r="687">
      <c r="E687" s="59"/>
    </row>
    <row r="688">
      <c r="E688" s="59"/>
    </row>
    <row r="689">
      <c r="E689" s="59"/>
    </row>
    <row r="690">
      <c r="E690" s="59"/>
    </row>
    <row r="691">
      <c r="E691" s="59"/>
    </row>
    <row r="692">
      <c r="E692" s="59"/>
    </row>
    <row r="693">
      <c r="E693" s="59"/>
    </row>
    <row r="694">
      <c r="E694" s="59"/>
    </row>
    <row r="695">
      <c r="E695" s="59"/>
    </row>
    <row r="696">
      <c r="E696" s="59"/>
    </row>
    <row r="697">
      <c r="E697" s="59"/>
    </row>
    <row r="698">
      <c r="E698" s="59"/>
    </row>
    <row r="699">
      <c r="E699" s="59"/>
    </row>
    <row r="700">
      <c r="E700" s="59"/>
    </row>
    <row r="701">
      <c r="E701" s="59"/>
    </row>
    <row r="702">
      <c r="E702" s="59"/>
    </row>
    <row r="703">
      <c r="E703" s="59"/>
    </row>
    <row r="704">
      <c r="E704" s="59"/>
    </row>
    <row r="705">
      <c r="E705" s="59"/>
    </row>
    <row r="706">
      <c r="E706" s="59"/>
    </row>
    <row r="707">
      <c r="E707" s="59"/>
    </row>
    <row r="708">
      <c r="E708" s="59"/>
    </row>
    <row r="709">
      <c r="E709" s="59"/>
    </row>
    <row r="710">
      <c r="E710" s="59"/>
    </row>
    <row r="711">
      <c r="E711" s="59"/>
    </row>
    <row r="712">
      <c r="E712" s="59"/>
    </row>
    <row r="713">
      <c r="E713" s="59"/>
    </row>
    <row r="714">
      <c r="E714" s="59"/>
    </row>
    <row r="715">
      <c r="E715" s="59"/>
    </row>
    <row r="716">
      <c r="E716" s="59"/>
    </row>
    <row r="717">
      <c r="E717" s="59"/>
    </row>
    <row r="718">
      <c r="E718" s="59"/>
    </row>
    <row r="719">
      <c r="E719" s="59"/>
    </row>
    <row r="720">
      <c r="E720" s="59"/>
    </row>
    <row r="721">
      <c r="E721" s="59"/>
    </row>
    <row r="722">
      <c r="E722" s="59"/>
    </row>
    <row r="723">
      <c r="E723" s="59"/>
    </row>
    <row r="724">
      <c r="E724" s="59"/>
    </row>
    <row r="725">
      <c r="E725" s="59"/>
    </row>
    <row r="726">
      <c r="E726" s="59"/>
    </row>
    <row r="727">
      <c r="E727" s="59"/>
    </row>
    <row r="728">
      <c r="E728" s="59"/>
    </row>
    <row r="729">
      <c r="E729" s="59"/>
    </row>
    <row r="730">
      <c r="E730" s="59"/>
    </row>
    <row r="731">
      <c r="E731" s="59"/>
    </row>
    <row r="732">
      <c r="E732" s="59"/>
    </row>
    <row r="733">
      <c r="E733" s="59"/>
    </row>
    <row r="734">
      <c r="E734" s="59"/>
    </row>
    <row r="735">
      <c r="E735" s="59"/>
    </row>
    <row r="736">
      <c r="E736" s="59"/>
    </row>
    <row r="737">
      <c r="E737" s="59"/>
    </row>
    <row r="738">
      <c r="E738" s="59"/>
    </row>
    <row r="739">
      <c r="E739" s="59"/>
    </row>
    <row r="740">
      <c r="E740" s="59"/>
    </row>
    <row r="741">
      <c r="E741" s="59"/>
    </row>
    <row r="742">
      <c r="E742" s="59"/>
    </row>
    <row r="743">
      <c r="E743" s="59"/>
    </row>
    <row r="744">
      <c r="E744" s="59"/>
    </row>
    <row r="745">
      <c r="E745" s="59"/>
    </row>
    <row r="746">
      <c r="E746" s="59"/>
    </row>
    <row r="747">
      <c r="E747" s="59"/>
    </row>
    <row r="748">
      <c r="E748" s="59"/>
    </row>
    <row r="749">
      <c r="E749" s="59"/>
    </row>
    <row r="750">
      <c r="E750" s="59"/>
    </row>
    <row r="751">
      <c r="E751" s="59"/>
    </row>
    <row r="752">
      <c r="E752" s="59"/>
    </row>
    <row r="753">
      <c r="E753" s="59"/>
    </row>
    <row r="754">
      <c r="E754" s="59"/>
    </row>
    <row r="755">
      <c r="E755" s="59"/>
    </row>
    <row r="756">
      <c r="E756" s="59"/>
    </row>
    <row r="757">
      <c r="E757" s="59"/>
    </row>
    <row r="758">
      <c r="E758" s="59"/>
    </row>
    <row r="759">
      <c r="E759" s="59"/>
    </row>
    <row r="760">
      <c r="E760" s="59"/>
    </row>
    <row r="761">
      <c r="E761" s="59"/>
    </row>
    <row r="762">
      <c r="E762" s="59"/>
    </row>
    <row r="763">
      <c r="E763" s="59"/>
    </row>
    <row r="764">
      <c r="E764" s="59"/>
    </row>
    <row r="765">
      <c r="E765" s="59"/>
    </row>
    <row r="766">
      <c r="E766" s="59"/>
    </row>
    <row r="767">
      <c r="E767" s="59"/>
    </row>
    <row r="768">
      <c r="E768" s="59"/>
    </row>
    <row r="769">
      <c r="E769" s="59"/>
    </row>
    <row r="770">
      <c r="E770" s="59"/>
    </row>
    <row r="771">
      <c r="E771" s="59"/>
    </row>
    <row r="772">
      <c r="E772" s="59"/>
    </row>
    <row r="773">
      <c r="E773" s="59"/>
    </row>
    <row r="774">
      <c r="E774" s="59"/>
    </row>
    <row r="775">
      <c r="E775" s="59"/>
    </row>
    <row r="776">
      <c r="E776" s="59"/>
    </row>
    <row r="777">
      <c r="E777" s="59"/>
    </row>
    <row r="778">
      <c r="E778" s="59"/>
    </row>
    <row r="779">
      <c r="E779" s="59"/>
    </row>
    <row r="780">
      <c r="E780" s="59"/>
    </row>
    <row r="781">
      <c r="E781" s="59"/>
    </row>
    <row r="782">
      <c r="E782" s="59"/>
    </row>
    <row r="783">
      <c r="E783" s="59"/>
    </row>
    <row r="784">
      <c r="E784" s="59"/>
    </row>
    <row r="785">
      <c r="E785" s="59"/>
    </row>
    <row r="786">
      <c r="E786" s="59"/>
    </row>
    <row r="787">
      <c r="E787" s="59"/>
    </row>
    <row r="788">
      <c r="E788" s="59"/>
    </row>
    <row r="789">
      <c r="E789" s="59"/>
    </row>
    <row r="790">
      <c r="E790" s="59"/>
    </row>
    <row r="791">
      <c r="E791" s="59"/>
    </row>
    <row r="792">
      <c r="E792" s="59"/>
    </row>
    <row r="793">
      <c r="E793" s="59"/>
    </row>
    <row r="794">
      <c r="E794" s="59"/>
    </row>
    <row r="795">
      <c r="E795" s="59"/>
    </row>
    <row r="796">
      <c r="E796" s="59"/>
    </row>
    <row r="797">
      <c r="E797" s="59"/>
    </row>
    <row r="798">
      <c r="E798" s="59"/>
    </row>
    <row r="799">
      <c r="E799" s="59"/>
    </row>
    <row r="800">
      <c r="E800" s="59"/>
    </row>
    <row r="801">
      <c r="E801" s="59"/>
    </row>
    <row r="802">
      <c r="E802" s="59"/>
    </row>
    <row r="803">
      <c r="E803" s="59"/>
    </row>
    <row r="804">
      <c r="E804" s="59"/>
    </row>
    <row r="805">
      <c r="E805" s="59"/>
    </row>
    <row r="806">
      <c r="E806" s="59"/>
    </row>
    <row r="807">
      <c r="E807" s="59"/>
    </row>
    <row r="808">
      <c r="E808" s="59"/>
    </row>
    <row r="809">
      <c r="E809" s="59"/>
    </row>
    <row r="810">
      <c r="E810" s="59"/>
    </row>
    <row r="811">
      <c r="E811" s="59"/>
    </row>
    <row r="812">
      <c r="E812" s="59"/>
    </row>
    <row r="813">
      <c r="E813" s="59"/>
    </row>
    <row r="814">
      <c r="E814" s="59"/>
    </row>
    <row r="815">
      <c r="E815" s="59"/>
    </row>
    <row r="816">
      <c r="E816" s="59"/>
    </row>
    <row r="817">
      <c r="E817" s="59"/>
    </row>
    <row r="818">
      <c r="E818" s="59"/>
    </row>
    <row r="819">
      <c r="E819" s="59"/>
    </row>
    <row r="820">
      <c r="E820" s="59"/>
    </row>
    <row r="821">
      <c r="E821" s="59"/>
    </row>
    <row r="822">
      <c r="E822" s="59"/>
    </row>
    <row r="823">
      <c r="E823" s="59"/>
    </row>
    <row r="824">
      <c r="E824" s="59"/>
    </row>
    <row r="825">
      <c r="E825" s="59"/>
    </row>
    <row r="826">
      <c r="E826" s="59"/>
    </row>
    <row r="827">
      <c r="E827" s="59"/>
    </row>
    <row r="828">
      <c r="E828" s="59"/>
    </row>
    <row r="829">
      <c r="E829" s="59"/>
    </row>
    <row r="830">
      <c r="E830" s="59"/>
    </row>
    <row r="831">
      <c r="E831" s="59"/>
    </row>
    <row r="832">
      <c r="E832" s="59"/>
    </row>
    <row r="833">
      <c r="E833" s="59"/>
    </row>
    <row r="834">
      <c r="E834" s="59"/>
    </row>
    <row r="835">
      <c r="E835" s="59"/>
    </row>
    <row r="836">
      <c r="E836" s="59"/>
    </row>
    <row r="837">
      <c r="E837" s="59"/>
    </row>
    <row r="838">
      <c r="E838" s="59"/>
    </row>
    <row r="839">
      <c r="E839" s="59"/>
    </row>
    <row r="840">
      <c r="E840" s="59"/>
    </row>
    <row r="841">
      <c r="E841" s="59"/>
    </row>
    <row r="842">
      <c r="E842" s="59"/>
    </row>
    <row r="843">
      <c r="E843" s="59"/>
    </row>
    <row r="844">
      <c r="E844" s="59"/>
    </row>
    <row r="845">
      <c r="E845" s="59"/>
    </row>
    <row r="846">
      <c r="E846" s="59"/>
    </row>
    <row r="847">
      <c r="E847" s="59"/>
    </row>
    <row r="848">
      <c r="E848" s="59"/>
    </row>
    <row r="849">
      <c r="E849" s="59"/>
    </row>
    <row r="850">
      <c r="E850" s="59"/>
    </row>
    <row r="851">
      <c r="E851" s="59"/>
    </row>
    <row r="852">
      <c r="E852" s="59"/>
    </row>
    <row r="853">
      <c r="E853" s="59"/>
    </row>
    <row r="854">
      <c r="E854" s="59"/>
    </row>
    <row r="855">
      <c r="E855" s="59"/>
    </row>
    <row r="856">
      <c r="E856" s="59"/>
    </row>
    <row r="857">
      <c r="E857" s="59"/>
    </row>
    <row r="858">
      <c r="E858" s="59"/>
    </row>
    <row r="859">
      <c r="E859" s="59"/>
    </row>
    <row r="860">
      <c r="E860" s="59"/>
    </row>
    <row r="861">
      <c r="E861" s="59"/>
    </row>
    <row r="862">
      <c r="E862" s="59"/>
    </row>
    <row r="863">
      <c r="E863" s="59"/>
    </row>
    <row r="864">
      <c r="E864" s="59"/>
    </row>
    <row r="865">
      <c r="E865" s="59"/>
    </row>
    <row r="866">
      <c r="E866" s="59"/>
    </row>
    <row r="867">
      <c r="E867" s="59"/>
    </row>
    <row r="868">
      <c r="E868" s="59"/>
    </row>
    <row r="869">
      <c r="E869" s="59"/>
    </row>
    <row r="870">
      <c r="E870" s="59"/>
    </row>
    <row r="871">
      <c r="E871" s="59"/>
    </row>
    <row r="872">
      <c r="E872" s="59"/>
    </row>
    <row r="873">
      <c r="E873" s="59"/>
    </row>
    <row r="874">
      <c r="E874" s="59"/>
    </row>
    <row r="875">
      <c r="E875" s="59"/>
    </row>
    <row r="876">
      <c r="E876" s="59"/>
    </row>
    <row r="877">
      <c r="E877" s="59"/>
    </row>
    <row r="878">
      <c r="E878" s="59"/>
    </row>
    <row r="879">
      <c r="E879" s="59"/>
    </row>
    <row r="880">
      <c r="E880" s="59"/>
    </row>
    <row r="881">
      <c r="E881" s="59"/>
    </row>
    <row r="882">
      <c r="E882" s="59"/>
    </row>
    <row r="883">
      <c r="E883" s="59"/>
    </row>
    <row r="884">
      <c r="E884" s="59"/>
    </row>
    <row r="885">
      <c r="E885" s="59"/>
    </row>
    <row r="886">
      <c r="E886" s="59"/>
    </row>
    <row r="887">
      <c r="E887" s="59"/>
    </row>
    <row r="888">
      <c r="E888" s="59"/>
    </row>
    <row r="889">
      <c r="E889" s="59"/>
    </row>
    <row r="890">
      <c r="E890" s="59"/>
    </row>
    <row r="891">
      <c r="E891" s="59"/>
    </row>
    <row r="892">
      <c r="E892" s="59"/>
    </row>
    <row r="893">
      <c r="E893" s="59"/>
    </row>
    <row r="894">
      <c r="E894" s="59"/>
    </row>
    <row r="895">
      <c r="E895" s="59"/>
    </row>
    <row r="896">
      <c r="E896" s="59"/>
    </row>
    <row r="897">
      <c r="E897" s="59"/>
    </row>
    <row r="898">
      <c r="E898" s="59"/>
    </row>
    <row r="899">
      <c r="E899" s="59"/>
    </row>
    <row r="900">
      <c r="E900" s="59"/>
    </row>
    <row r="901">
      <c r="E901" s="59"/>
    </row>
    <row r="902">
      <c r="E902" s="59"/>
    </row>
    <row r="903">
      <c r="E903" s="59"/>
    </row>
    <row r="904">
      <c r="E904" s="59"/>
    </row>
    <row r="905">
      <c r="E905" s="59"/>
    </row>
    <row r="906">
      <c r="E906" s="59"/>
    </row>
    <row r="907">
      <c r="E907" s="59"/>
    </row>
    <row r="908">
      <c r="E908" s="59"/>
    </row>
    <row r="909">
      <c r="E909" s="59"/>
    </row>
    <row r="910">
      <c r="E910" s="59"/>
    </row>
    <row r="911">
      <c r="E911" s="59"/>
    </row>
    <row r="912">
      <c r="E912" s="59"/>
    </row>
    <row r="913">
      <c r="E913" s="59"/>
    </row>
    <row r="914">
      <c r="E914" s="59"/>
    </row>
    <row r="915">
      <c r="E915" s="59"/>
    </row>
    <row r="916">
      <c r="E916" s="59"/>
    </row>
    <row r="917">
      <c r="E917" s="59"/>
    </row>
    <row r="918">
      <c r="E918" s="59"/>
    </row>
    <row r="919">
      <c r="E919" s="59"/>
    </row>
    <row r="920">
      <c r="E920" s="59"/>
    </row>
    <row r="921">
      <c r="E921" s="59"/>
    </row>
    <row r="922">
      <c r="E922" s="59"/>
    </row>
    <row r="923">
      <c r="E923" s="59"/>
    </row>
    <row r="924">
      <c r="E924" s="59"/>
    </row>
    <row r="925">
      <c r="E925" s="59"/>
    </row>
    <row r="926">
      <c r="E926" s="59"/>
    </row>
    <row r="927">
      <c r="E927" s="59"/>
    </row>
    <row r="928">
      <c r="E928" s="59"/>
    </row>
    <row r="929">
      <c r="E929" s="59"/>
    </row>
    <row r="930">
      <c r="E930" s="59"/>
    </row>
    <row r="931">
      <c r="E931" s="59"/>
    </row>
    <row r="932">
      <c r="E932" s="59"/>
    </row>
    <row r="933">
      <c r="E933" s="59"/>
    </row>
    <row r="934">
      <c r="E934" s="59"/>
    </row>
    <row r="935">
      <c r="E935" s="59"/>
    </row>
    <row r="936">
      <c r="E936" s="59"/>
    </row>
    <row r="937">
      <c r="E937" s="59"/>
    </row>
    <row r="938">
      <c r="E938" s="59"/>
    </row>
    <row r="939">
      <c r="E939" s="59"/>
    </row>
    <row r="940">
      <c r="E940" s="59"/>
    </row>
    <row r="941">
      <c r="E941" s="59"/>
    </row>
    <row r="942">
      <c r="E942" s="59"/>
    </row>
    <row r="943">
      <c r="E943" s="59"/>
    </row>
    <row r="944">
      <c r="E944" s="59"/>
    </row>
    <row r="945">
      <c r="E945" s="59"/>
    </row>
    <row r="946">
      <c r="E946" s="59"/>
    </row>
    <row r="947">
      <c r="E947" s="59"/>
    </row>
    <row r="948">
      <c r="E948" s="59"/>
    </row>
    <row r="949">
      <c r="E949" s="59"/>
    </row>
    <row r="950">
      <c r="E950" s="59"/>
    </row>
    <row r="951">
      <c r="E951" s="59"/>
    </row>
    <row r="952">
      <c r="E952" s="59"/>
    </row>
    <row r="953">
      <c r="E953" s="59"/>
    </row>
    <row r="954">
      <c r="E954" s="59"/>
    </row>
    <row r="955">
      <c r="E955" s="59"/>
    </row>
    <row r="956">
      <c r="E956" s="59"/>
    </row>
    <row r="957">
      <c r="E957" s="59"/>
    </row>
    <row r="958">
      <c r="E958" s="59"/>
    </row>
    <row r="959">
      <c r="E959" s="59"/>
    </row>
    <row r="960">
      <c r="E960" s="59"/>
    </row>
    <row r="961">
      <c r="E961" s="59"/>
    </row>
    <row r="962">
      <c r="E962" s="59"/>
    </row>
    <row r="963">
      <c r="E963" s="59"/>
    </row>
    <row r="964">
      <c r="E964" s="59"/>
    </row>
    <row r="965">
      <c r="E965" s="59"/>
    </row>
    <row r="966">
      <c r="E966" s="59"/>
    </row>
    <row r="967">
      <c r="E967" s="59"/>
    </row>
    <row r="968">
      <c r="E968" s="59"/>
    </row>
    <row r="969">
      <c r="E969" s="59"/>
    </row>
    <row r="970">
      <c r="E970" s="59"/>
    </row>
    <row r="971">
      <c r="E971" s="59"/>
    </row>
    <row r="972">
      <c r="E972" s="59"/>
    </row>
    <row r="973">
      <c r="E973" s="59"/>
    </row>
    <row r="974">
      <c r="E974" s="59"/>
    </row>
    <row r="975">
      <c r="E975" s="59"/>
    </row>
    <row r="976">
      <c r="E976" s="59"/>
    </row>
    <row r="977">
      <c r="E977" s="59"/>
    </row>
    <row r="978">
      <c r="E978" s="59"/>
    </row>
    <row r="979">
      <c r="E979" s="59"/>
    </row>
    <row r="980">
      <c r="E980" s="59"/>
    </row>
    <row r="981">
      <c r="E981" s="59"/>
    </row>
    <row r="982">
      <c r="E982" s="59"/>
    </row>
    <row r="983">
      <c r="E983" s="59"/>
    </row>
    <row r="984">
      <c r="E984" s="59"/>
    </row>
    <row r="985">
      <c r="E985" s="59"/>
    </row>
    <row r="986">
      <c r="E986" s="59"/>
    </row>
    <row r="987">
      <c r="E987" s="59"/>
    </row>
    <row r="988">
      <c r="E988" s="59"/>
    </row>
    <row r="989">
      <c r="E989" s="59"/>
    </row>
    <row r="990">
      <c r="E990" s="59"/>
    </row>
    <row r="991">
      <c r="E991" s="59"/>
    </row>
    <row r="992">
      <c r="E992" s="59"/>
    </row>
    <row r="993">
      <c r="E993" s="59"/>
    </row>
    <row r="994">
      <c r="E994" s="59"/>
    </row>
    <row r="995">
      <c r="E995" s="59"/>
    </row>
    <row r="996">
      <c r="E996" s="59"/>
    </row>
    <row r="997">
      <c r="E997" s="59"/>
    </row>
    <row r="998">
      <c r="E998" s="59"/>
    </row>
    <row r="999">
      <c r="E999" s="59"/>
    </row>
    <row r="1000">
      <c r="E1000" s="5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8.38"/>
    <col customWidth="1" min="12" max="12" width="40.88"/>
    <col customWidth="1" min="13" max="13" width="18.38"/>
    <col customWidth="1" min="14" max="14" width="17.25"/>
  </cols>
  <sheetData>
    <row r="1">
      <c r="A1" s="60" t="s">
        <v>264</v>
      </c>
      <c r="B1" s="61"/>
      <c r="C1" s="61"/>
      <c r="D1" s="62" t="s">
        <v>265</v>
      </c>
      <c r="E1" s="61"/>
      <c r="F1" s="61"/>
      <c r="G1" s="63"/>
      <c r="H1" s="60" t="s">
        <v>266</v>
      </c>
      <c r="I1" s="61"/>
      <c r="J1" s="61"/>
      <c r="K1" s="63"/>
      <c r="L1" s="60" t="s">
        <v>267</v>
      </c>
      <c r="M1" s="61"/>
      <c r="N1" s="61"/>
      <c r="O1" s="61"/>
      <c r="P1" s="61"/>
      <c r="Q1" s="61"/>
      <c r="R1" s="61"/>
      <c r="S1" s="61"/>
      <c r="T1" s="61"/>
      <c r="U1" s="61"/>
      <c r="V1" s="61"/>
      <c r="W1" s="61"/>
      <c r="X1" s="61"/>
    </row>
    <row r="2">
      <c r="A2" s="61"/>
      <c r="B2" s="61"/>
      <c r="C2" s="61"/>
      <c r="D2" s="61"/>
      <c r="E2" s="61"/>
      <c r="F2" s="61"/>
      <c r="G2" s="63"/>
      <c r="H2" s="61"/>
      <c r="I2" s="61"/>
      <c r="J2" s="61"/>
      <c r="K2" s="63"/>
      <c r="L2" s="61"/>
      <c r="M2" s="61"/>
      <c r="N2" s="61"/>
      <c r="O2" s="61"/>
      <c r="P2" s="61"/>
      <c r="Q2" s="61"/>
      <c r="R2" s="61"/>
      <c r="S2" s="61"/>
      <c r="T2" s="61"/>
      <c r="U2" s="61"/>
      <c r="V2" s="61"/>
      <c r="W2" s="61"/>
      <c r="X2" s="61"/>
    </row>
    <row r="3">
      <c r="A3" s="64" t="s">
        <v>0</v>
      </c>
      <c r="B3" s="61"/>
      <c r="C3" s="61"/>
      <c r="D3" s="64" t="s">
        <v>268</v>
      </c>
      <c r="E3" s="61"/>
      <c r="F3" s="61"/>
      <c r="G3" s="63"/>
      <c r="H3" s="64" t="s">
        <v>269</v>
      </c>
      <c r="I3" s="64" t="s">
        <v>270</v>
      </c>
      <c r="J3" s="61"/>
      <c r="K3" s="63"/>
      <c r="L3" s="64" t="s">
        <v>271</v>
      </c>
      <c r="M3" s="61"/>
      <c r="N3" s="61"/>
      <c r="O3" s="61"/>
      <c r="P3" s="61"/>
      <c r="Q3" s="61"/>
      <c r="R3" s="61"/>
      <c r="S3" s="61"/>
      <c r="T3" s="61"/>
      <c r="U3" s="61"/>
      <c r="V3" s="61"/>
      <c r="W3" s="61"/>
      <c r="X3" s="61"/>
    </row>
    <row r="4">
      <c r="A4" s="61" t="s">
        <v>272</v>
      </c>
      <c r="B4" s="61" t="str">
        <f>IFERROR(__xludf.DUMMYFUNCTION("SPLIT(A4,"" "")"),"Walter")</f>
        <v>Walter</v>
      </c>
      <c r="C4" s="61" t="str">
        <f>IFERROR(__xludf.DUMMYFUNCTION("""COMPUTED_VALUE"""),"Miller")</f>
        <v>Miller</v>
      </c>
      <c r="D4" s="65" t="s">
        <v>273</v>
      </c>
      <c r="E4" s="61" t="str">
        <f>IFERROR(__xludf.DUMMYFUNCTION("SPLIT(D4,"","")"),"Sales")</f>
        <v>Sales</v>
      </c>
      <c r="F4" s="61" t="str">
        <f>IFERROR(__xludf.DUMMYFUNCTION("""COMPUTED_VALUE""")," Assistant")</f>
        <v> Assistant</v>
      </c>
      <c r="G4" s="63">
        <f>IFERROR(__xludf.DUMMYFUNCTION("""COMPUTED_VALUE"""),25709.0)</f>
        <v>25709</v>
      </c>
      <c r="H4" s="61" t="s">
        <v>214</v>
      </c>
      <c r="I4" s="61" t="s">
        <v>274</v>
      </c>
      <c r="J4" s="61"/>
      <c r="K4" s="63"/>
      <c r="L4" s="61" t="s">
        <v>275</v>
      </c>
      <c r="M4" s="61" t="str">
        <f>IFERROR(__xludf.DUMMYFUNCTION("SPLIT(L4,""-"")"),"Men type T simple ")</f>
        <v>Men type T simple </v>
      </c>
      <c r="N4" s="56" t="str">
        <f>IFERROR(__xludf.DUMMYFUNCTION("""COMPUTED_VALUE""")," Brown")</f>
        <v> Brown</v>
      </c>
      <c r="O4" s="61"/>
      <c r="P4" s="61"/>
      <c r="Q4" s="61"/>
      <c r="R4" s="61"/>
      <c r="S4" s="61"/>
      <c r="T4" s="61"/>
      <c r="U4" s="61"/>
      <c r="V4" s="61"/>
      <c r="W4" s="61"/>
      <c r="X4" s="61"/>
    </row>
    <row r="5">
      <c r="A5" s="61" t="s">
        <v>276</v>
      </c>
      <c r="B5" s="61" t="str">
        <f>IFERROR(__xludf.DUMMYFUNCTION("SPLIT(A5,"" "")"),"Alissa")</f>
        <v>Alissa</v>
      </c>
      <c r="C5" s="61" t="str">
        <f>IFERROR(__xludf.DUMMYFUNCTION("""COMPUTED_VALUE"""),"Mitchell")</f>
        <v>Mitchell</v>
      </c>
      <c r="D5" s="65" t="s">
        <v>277</v>
      </c>
      <c r="E5" s="61" t="str">
        <f>IFERROR(__xludf.DUMMYFUNCTION("SPLIT(D5,"","")"),"Marketing")</f>
        <v>Marketing</v>
      </c>
      <c r="F5" s="61" t="str">
        <f>IFERROR(__xludf.DUMMYFUNCTION("""COMPUTED_VALUE""")," Analyst")</f>
        <v> Analyst</v>
      </c>
      <c r="G5" s="63">
        <f>IFERROR(__xludf.DUMMYFUNCTION("""COMPUTED_VALUE"""),25600.0)</f>
        <v>25600</v>
      </c>
      <c r="H5" s="61" t="s">
        <v>278</v>
      </c>
      <c r="I5" s="61" t="s">
        <v>279</v>
      </c>
      <c r="J5" s="61"/>
      <c r="K5" s="63"/>
      <c r="L5" s="61" t="s">
        <v>280</v>
      </c>
      <c r="M5" s="61" t="str">
        <f>IFERROR(__xludf.DUMMYFUNCTION("SPLIT(L5,""-"")"),"Men   type T simple ")</f>
        <v>Men   type T simple </v>
      </c>
      <c r="N5" s="56" t="str">
        <f>IFERROR(__xludf.DUMMYFUNCTION("""COMPUTED_VALUE""")," Brown")</f>
        <v> Brown</v>
      </c>
      <c r="O5" s="61"/>
      <c r="P5" s="61"/>
      <c r="Q5" s="61"/>
      <c r="R5" s="61"/>
      <c r="S5" s="61"/>
      <c r="T5" s="61"/>
      <c r="U5" s="61"/>
      <c r="V5" s="61"/>
      <c r="W5" s="61"/>
      <c r="X5" s="61"/>
    </row>
    <row r="6">
      <c r="A6" s="61" t="s">
        <v>281</v>
      </c>
      <c r="B6" s="61" t="str">
        <f>IFERROR(__xludf.DUMMYFUNCTION("SPLIT(A6,"" "")"),"Ann")</f>
        <v>Ann</v>
      </c>
      <c r="C6" s="61" t="str">
        <f>IFERROR(__xludf.DUMMYFUNCTION("""COMPUTED_VALUE"""),"Withers")</f>
        <v>Withers</v>
      </c>
      <c r="D6" s="65" t="s">
        <v>282</v>
      </c>
      <c r="E6" s="61" t="str">
        <f>IFERROR(__xludf.DUMMYFUNCTION("SPLIT(D6,"","")"),"Procurement")</f>
        <v>Procurement</v>
      </c>
      <c r="F6" s="61" t="str">
        <f>IFERROR(__xludf.DUMMYFUNCTION("""COMPUTED_VALUE""")," Assistant")</f>
        <v> Assistant</v>
      </c>
      <c r="G6" s="63">
        <f>IFERROR(__xludf.DUMMYFUNCTION("""COMPUTED_VALUE"""),23500.0)</f>
        <v>23500</v>
      </c>
      <c r="H6" s="61" t="s">
        <v>283</v>
      </c>
      <c r="I6" s="61" t="s">
        <v>274</v>
      </c>
      <c r="J6" s="61"/>
      <c r="K6" s="63"/>
      <c r="L6" s="61" t="s">
        <v>284</v>
      </c>
      <c r="M6" s="61" t="str">
        <f>IFERROR(__xludf.DUMMYFUNCTION("SPLIT(L6,""-"")"),"Men shorts ")</f>
        <v>Men shorts </v>
      </c>
      <c r="N6" s="56" t="str">
        <f>IFERROR(__xludf.DUMMYFUNCTION("""COMPUTED_VALUE""")," Gray")</f>
        <v> Gray</v>
      </c>
      <c r="O6" s="61"/>
      <c r="P6" s="61"/>
      <c r="Q6" s="61"/>
      <c r="R6" s="61"/>
      <c r="S6" s="61"/>
      <c r="T6" s="61"/>
      <c r="U6" s="61"/>
      <c r="V6" s="61"/>
      <c r="W6" s="61"/>
      <c r="X6" s="61"/>
    </row>
    <row r="7">
      <c r="A7" s="61" t="s">
        <v>285</v>
      </c>
      <c r="B7" s="61" t="str">
        <f>IFERROR(__xludf.DUMMYFUNCTION("SPLIT(A7,"" "")"),"Kim")</f>
        <v>Kim</v>
      </c>
      <c r="C7" s="61" t="str">
        <f>IFERROR(__xludf.DUMMYFUNCTION("""COMPUTED_VALUE"""),"West")</f>
        <v>West</v>
      </c>
      <c r="D7" s="65" t="s">
        <v>286</v>
      </c>
      <c r="E7" s="61" t="str">
        <f>IFERROR(__xludf.DUMMYFUNCTION("SPLIT(D7,"","")"),"Sales")</f>
        <v>Sales</v>
      </c>
      <c r="F7" s="61" t="str">
        <f>IFERROR(__xludf.DUMMYFUNCTION("""COMPUTED_VALUE""")," Assistant")</f>
        <v> Assistant</v>
      </c>
      <c r="G7" s="63">
        <f>IFERROR(__xludf.DUMMYFUNCTION("""COMPUTED_VALUE"""),26500.0)</f>
        <v>26500</v>
      </c>
      <c r="H7" s="61" t="s">
        <v>287</v>
      </c>
      <c r="I7" s="61" t="s">
        <v>288</v>
      </c>
      <c r="J7" s="61"/>
      <c r="K7" s="63"/>
      <c r="L7" s="61" t="s">
        <v>289</v>
      </c>
      <c r="M7" s="61" t="str">
        <f>IFERROR(__xludf.DUMMYFUNCTION("SPLIT(L7,""-"")")," Women dress Cocktail ")</f>
        <v> Women dress Cocktail </v>
      </c>
      <c r="N7" s="56" t="str">
        <f>IFERROR(__xludf.DUMMYFUNCTION("""COMPUTED_VALUE""")," Red")</f>
        <v> Red</v>
      </c>
      <c r="O7" s="61"/>
      <c r="P7" s="61"/>
      <c r="Q7" s="61"/>
      <c r="R7" s="61"/>
      <c r="S7" s="61"/>
      <c r="T7" s="61"/>
      <c r="U7" s="61"/>
      <c r="V7" s="61"/>
      <c r="W7" s="61"/>
      <c r="X7" s="61"/>
    </row>
    <row r="8">
      <c r="A8" s="61" t="s">
        <v>290</v>
      </c>
      <c r="B8" s="61" t="str">
        <f>IFERROR(__xludf.DUMMYFUNCTION("SPLIT(A8,"" "")"),"Daniel")</f>
        <v>Daniel</v>
      </c>
      <c r="C8" s="61" t="str">
        <f>IFERROR(__xludf.DUMMYFUNCTION("""COMPUTED_VALUE"""),"Garrett")</f>
        <v>Garrett</v>
      </c>
      <c r="D8" s="65" t="s">
        <v>291</v>
      </c>
      <c r="E8" s="61" t="str">
        <f>IFERROR(__xludf.DUMMYFUNCTION("SPLIT(D8,"","")"),"Finance")</f>
        <v>Finance</v>
      </c>
      <c r="F8" s="61" t="str">
        <f>IFERROR(__xludf.DUMMYFUNCTION("""COMPUTED_VALUE""")," Accountant")</f>
        <v> Accountant</v>
      </c>
      <c r="G8" s="63">
        <f>IFERROR(__xludf.DUMMYFUNCTION("""COMPUTED_VALUE"""),24700.0)</f>
        <v>24700</v>
      </c>
      <c r="H8" s="61" t="s">
        <v>283</v>
      </c>
      <c r="I8" s="61" t="s">
        <v>292</v>
      </c>
      <c r="J8" s="61"/>
      <c r="K8" s="63"/>
      <c r="L8" s="61" t="s">
        <v>293</v>
      </c>
      <c r="M8" s="61" t="str">
        <f>IFERROR(__xludf.DUMMYFUNCTION("SPLIT(L8,""-"")"),"Women Dress long ")</f>
        <v>Women Dress long </v>
      </c>
      <c r="N8" s="56" t="str">
        <f>IFERROR(__xludf.DUMMYFUNCTION("""COMPUTED_VALUE""")," Black")</f>
        <v> Black</v>
      </c>
      <c r="O8" s="61"/>
      <c r="P8" s="61"/>
      <c r="Q8" s="61"/>
      <c r="R8" s="61"/>
      <c r="S8" s="61"/>
      <c r="T8" s="61"/>
      <c r="U8" s="61"/>
      <c r="V8" s="61"/>
      <c r="W8" s="61"/>
      <c r="X8" s="61"/>
    </row>
    <row r="9">
      <c r="A9" s="61" t="s">
        <v>294</v>
      </c>
      <c r="B9" s="61" t="str">
        <f>IFERROR(__xludf.DUMMYFUNCTION("SPLIT(A9,"" "")"),"Robert")</f>
        <v>Robert</v>
      </c>
      <c r="C9" s="61" t="str">
        <f>IFERROR(__xludf.DUMMYFUNCTION("""COMPUTED_VALUE"""),"Marquez")</f>
        <v>Marquez</v>
      </c>
      <c r="D9" s="65" t="s">
        <v>295</v>
      </c>
      <c r="E9" s="61" t="str">
        <f>IFERROR(__xludf.DUMMYFUNCTION("SPLIT(D9,"","")"),"Procurement")</f>
        <v>Procurement</v>
      </c>
      <c r="F9" s="61" t="str">
        <f>IFERROR(__xludf.DUMMYFUNCTION("""COMPUTED_VALUE""")," Buyer")</f>
        <v> Buyer</v>
      </c>
      <c r="G9" s="63">
        <f>IFERROR(__xludf.DUMMYFUNCTION("""COMPUTED_VALUE"""),26500.0)</f>
        <v>26500</v>
      </c>
      <c r="H9" s="61" t="s">
        <v>278</v>
      </c>
      <c r="I9" s="61" t="s">
        <v>274</v>
      </c>
      <c r="J9" s="61"/>
      <c r="K9" s="63"/>
      <c r="L9" s="61" t="s">
        <v>296</v>
      </c>
      <c r="M9" s="61" t="str">
        <f>IFERROR(__xludf.DUMMYFUNCTION("SPLIT(L9,""-"")"),"Men shorts ")</f>
        <v>Men shorts </v>
      </c>
      <c r="N9" s="56" t="str">
        <f>IFERROR(__xludf.DUMMYFUNCTION("""COMPUTED_VALUE""")," Black")</f>
        <v> Black</v>
      </c>
      <c r="O9" s="61"/>
      <c r="P9" s="61"/>
      <c r="Q9" s="61"/>
      <c r="R9" s="61"/>
      <c r="S9" s="61"/>
      <c r="T9" s="61"/>
      <c r="U9" s="61"/>
      <c r="V9" s="61"/>
      <c r="W9" s="61"/>
      <c r="X9" s="61"/>
    </row>
    <row r="10">
      <c r="A10" s="61" t="s">
        <v>297</v>
      </c>
      <c r="B10" s="61" t="str">
        <f>IFERROR(__xludf.DUMMYFUNCTION("SPLIT(A10,"" "")"),"Vanessa")</f>
        <v>Vanessa</v>
      </c>
      <c r="C10" s="61" t="str">
        <f>IFERROR(__xludf.DUMMYFUNCTION("""COMPUTED_VALUE"""),"Chavez")</f>
        <v>Chavez</v>
      </c>
      <c r="D10" s="65" t="s">
        <v>298</v>
      </c>
      <c r="E10" s="61" t="str">
        <f>IFERROR(__xludf.DUMMYFUNCTION("SPLIT(D10,"","")"),"Marketing")</f>
        <v>Marketing</v>
      </c>
      <c r="F10" s="61" t="str">
        <f>IFERROR(__xludf.DUMMYFUNCTION("""COMPUTED_VALUE""")," Assistant")</f>
        <v> Assistant</v>
      </c>
      <c r="G10" s="63">
        <f>IFERROR(__xludf.DUMMYFUNCTION("""COMPUTED_VALUE"""),30600.0)</f>
        <v>30600</v>
      </c>
      <c r="H10" s="61" t="s">
        <v>214</v>
      </c>
      <c r="I10" s="61" t="s">
        <v>299</v>
      </c>
      <c r="J10" s="61"/>
      <c r="K10" s="63"/>
      <c r="L10" s="61" t="s">
        <v>300</v>
      </c>
      <c r="M10" s="61" t="str">
        <f>IFERROR(__xludf.DUMMYFUNCTION("SPLIT(L10,""-"")"),"Women dress Cocktail ")</f>
        <v>Women dress Cocktail </v>
      </c>
      <c r="N10" s="56" t="str">
        <f>IFERROR(__xludf.DUMMYFUNCTION("""COMPUTED_VALUE""")," Red")</f>
        <v> Red</v>
      </c>
      <c r="O10" s="61"/>
      <c r="P10" s="61"/>
      <c r="Q10" s="61"/>
      <c r="R10" s="61"/>
      <c r="S10" s="61"/>
      <c r="T10" s="61"/>
      <c r="U10" s="61"/>
      <c r="V10" s="61"/>
      <c r="W10" s="61"/>
      <c r="X10" s="61"/>
    </row>
    <row r="11">
      <c r="A11" s="61" t="s">
        <v>301</v>
      </c>
      <c r="B11" s="61" t="str">
        <f>IFERROR(__xludf.DUMMYFUNCTION("SPLIT(A11,"" "")"),"Robert")</f>
        <v>Robert</v>
      </c>
      <c r="C11" s="61" t="str">
        <f>IFERROR(__xludf.DUMMYFUNCTION("""COMPUTED_VALUE"""),"Musser")</f>
        <v>Musser</v>
      </c>
      <c r="D11" s="65" t="s">
        <v>302</v>
      </c>
      <c r="E11" s="61" t="str">
        <f>IFERROR(__xludf.DUMMYFUNCTION("SPLIT(D11,"","")"),"Procurement")</f>
        <v>Procurement</v>
      </c>
      <c r="F11" s="61" t="str">
        <f>IFERROR(__xludf.DUMMYFUNCTION("""COMPUTED_VALUE""")," Buyer")</f>
        <v> Buyer</v>
      </c>
      <c r="G11" s="63">
        <f>IFERROR(__xludf.DUMMYFUNCTION("""COMPUTED_VALUE"""),28400.0)</f>
        <v>28400</v>
      </c>
      <c r="J11" s="61"/>
      <c r="K11" s="63"/>
      <c r="L11" s="61" t="s">
        <v>303</v>
      </c>
      <c r="M11" s="61" t="str">
        <f>IFERROR(__xludf.DUMMYFUNCTION("SPLIT(L11,""-"")"),"Men type T simple ")</f>
        <v>Men type T simple </v>
      </c>
      <c r="N11" s="56" t="str">
        <f>IFERROR(__xludf.DUMMYFUNCTION("""COMPUTED_VALUE""")," White")</f>
        <v> White</v>
      </c>
      <c r="O11" s="61"/>
      <c r="P11" s="61"/>
      <c r="Q11" s="61"/>
      <c r="R11" s="61"/>
      <c r="S11" s="61"/>
      <c r="T11" s="61"/>
      <c r="U11" s="61"/>
      <c r="V11" s="61"/>
      <c r="W11" s="61"/>
      <c r="X11" s="61"/>
    </row>
    <row r="12">
      <c r="A12" s="61" t="s">
        <v>304</v>
      </c>
      <c r="B12" s="61" t="str">
        <f>IFERROR(__xludf.DUMMYFUNCTION("SPLIT(A12,"" "")"),"Jessica")</f>
        <v>Jessica</v>
      </c>
      <c r="C12" s="61" t="str">
        <f>IFERROR(__xludf.DUMMYFUNCTION("""COMPUTED_VALUE"""),"Lowe")</f>
        <v>Lowe</v>
      </c>
      <c r="D12" s="65" t="s">
        <v>305</v>
      </c>
      <c r="E12" s="61" t="str">
        <f>IFERROR(__xludf.DUMMYFUNCTION("SPLIT(D12,"","")"),"Sales")</f>
        <v>Sales</v>
      </c>
      <c r="F12" s="61" t="str">
        <f>IFERROR(__xludf.DUMMYFUNCTION("""COMPUTED_VALUE""")," Sales Representative")</f>
        <v> Sales Representative</v>
      </c>
      <c r="G12" s="63">
        <f>IFERROR(__xludf.DUMMYFUNCTION("""COMPUTED_VALUE"""),32800.0)</f>
        <v>32800</v>
      </c>
      <c r="J12" s="61"/>
      <c r="K12" s="63"/>
      <c r="L12" s="61" t="s">
        <v>306</v>
      </c>
      <c r="M12" s="61" t="str">
        <f>IFERROR(__xludf.DUMMYFUNCTION("SPLIT(L12,""-"")"),"Men dress shirt ")</f>
        <v>Men dress shirt </v>
      </c>
      <c r="N12" s="56" t="str">
        <f>IFERROR(__xludf.DUMMYFUNCTION("""COMPUTED_VALUE""")," Gray")</f>
        <v> Gray</v>
      </c>
      <c r="O12" s="61"/>
      <c r="P12" s="61"/>
      <c r="Q12" s="61"/>
      <c r="R12" s="61"/>
      <c r="S12" s="61"/>
      <c r="T12" s="61"/>
      <c r="U12" s="61"/>
      <c r="V12" s="61"/>
      <c r="W12" s="61"/>
      <c r="X12" s="61"/>
    </row>
    <row r="13">
      <c r="A13" s="61" t="s">
        <v>307</v>
      </c>
      <c r="B13" s="61" t="str">
        <f>IFERROR(__xludf.DUMMYFUNCTION("SPLIT(A13,"" "")"),"Evie")</f>
        <v>Evie</v>
      </c>
      <c r="C13" s="61" t="str">
        <f>IFERROR(__xludf.DUMMYFUNCTION("""COMPUTED_VALUE"""),"Williamson")</f>
        <v>Williamson</v>
      </c>
      <c r="D13" s="65" t="s">
        <v>308</v>
      </c>
      <c r="E13" s="61" t="str">
        <f>IFERROR(__xludf.DUMMYFUNCTION("SPLIT(D13,"","")"),"Sales")</f>
        <v>Sales</v>
      </c>
      <c r="F13" s="61" t="str">
        <f>IFERROR(__xludf.DUMMYFUNCTION("""COMPUTED_VALUE""")," Sales Representative")</f>
        <v> Sales Representative</v>
      </c>
      <c r="G13" s="63">
        <f>IFERROR(__xludf.DUMMYFUNCTION("""COMPUTED_VALUE"""),25900.0)</f>
        <v>25900</v>
      </c>
      <c r="J13" s="61"/>
      <c r="K13" s="63"/>
      <c r="L13" s="61" t="s">
        <v>309</v>
      </c>
      <c r="M13" s="61" t="str">
        <f>IFERROR(__xludf.DUMMYFUNCTION("SPLIT(L13,""-"")"),"Men dress shirt ")</f>
        <v>Men dress shirt </v>
      </c>
      <c r="N13" s="56" t="str">
        <f>IFERROR(__xludf.DUMMYFUNCTION("""COMPUTED_VALUE""")," Black")</f>
        <v> Black</v>
      </c>
      <c r="O13" s="61"/>
      <c r="P13" s="61"/>
      <c r="Q13" s="61"/>
      <c r="R13" s="61"/>
      <c r="S13" s="61"/>
      <c r="T13" s="61"/>
      <c r="U13" s="61"/>
      <c r="V13" s="61"/>
      <c r="W13" s="61"/>
      <c r="X13" s="61"/>
    </row>
    <row r="14">
      <c r="A14" s="61"/>
      <c r="B14" s="61"/>
      <c r="C14" s="61"/>
      <c r="D14" s="61"/>
      <c r="E14" s="61"/>
      <c r="F14" s="61"/>
      <c r="G14" s="63"/>
      <c r="J14" s="61"/>
      <c r="K14" s="63"/>
      <c r="L14" s="61" t="s">
        <v>310</v>
      </c>
      <c r="M14" s="61" t="str">
        <f>IFERROR(__xludf.DUMMYFUNCTION("SPLIT(L14,""-"")"),"Men dress shirt ")</f>
        <v>Men dress shirt </v>
      </c>
      <c r="N14" s="56" t="str">
        <f>IFERROR(__xludf.DUMMYFUNCTION("""COMPUTED_VALUE""")," White")</f>
        <v> White</v>
      </c>
      <c r="O14" s="61"/>
      <c r="P14" s="61"/>
      <c r="Q14" s="61"/>
      <c r="R14" s="61"/>
      <c r="S14" s="61"/>
      <c r="T14" s="61"/>
      <c r="U14" s="61"/>
      <c r="V14" s="61"/>
      <c r="W14" s="61"/>
      <c r="X14" s="61"/>
    </row>
    <row r="15">
      <c r="A15" s="61"/>
      <c r="B15" s="61"/>
      <c r="C15" s="61"/>
      <c r="D15" s="61"/>
      <c r="E15" s="61"/>
      <c r="F15" s="61"/>
      <c r="G15" s="63"/>
      <c r="J15" s="61"/>
      <c r="K15" s="63"/>
      <c r="L15" s="61" t="s">
        <v>311</v>
      </c>
      <c r="M15" s="61" t="str">
        <f>IFERROR(__xludf.DUMMYFUNCTION("SPLIT(L15,""-"")"),"Laptop bag ")</f>
        <v>Laptop bag </v>
      </c>
      <c r="N15" s="56" t="str">
        <f>IFERROR(__xludf.DUMMYFUNCTION("""COMPUTED_VALUE""")," Black")</f>
        <v> Black</v>
      </c>
      <c r="O15" s="61"/>
      <c r="P15" s="61"/>
      <c r="Q15" s="61"/>
      <c r="R15" s="61"/>
      <c r="S15" s="61"/>
      <c r="T15" s="61"/>
      <c r="U15" s="61"/>
      <c r="V15" s="61"/>
      <c r="W15" s="61"/>
      <c r="X15" s="61"/>
    </row>
    <row r="16">
      <c r="A16" s="61"/>
      <c r="B16" s="61"/>
      <c r="C16" s="61"/>
      <c r="D16" s="61"/>
      <c r="E16" s="61"/>
      <c r="F16" s="61"/>
      <c r="G16" s="63"/>
      <c r="H16" s="61"/>
      <c r="I16" s="61"/>
      <c r="J16" s="61"/>
      <c r="K16" s="63"/>
      <c r="L16" s="61" t="s">
        <v>312</v>
      </c>
      <c r="M16" s="61" t="str">
        <f>IFERROR(__xludf.DUMMYFUNCTION("SPLIT(L16,""-"")"),"Women type T simple ")</f>
        <v>Women type T simple </v>
      </c>
      <c r="N16" s="56" t="str">
        <f>IFERROR(__xludf.DUMMYFUNCTION("""COMPUTED_VALUE""")," White")</f>
        <v> White</v>
      </c>
      <c r="O16" s="61"/>
      <c r="P16" s="61"/>
      <c r="Q16" s="61"/>
      <c r="R16" s="61"/>
      <c r="S16" s="61"/>
      <c r="T16" s="61"/>
      <c r="U16" s="61"/>
      <c r="V16" s="61"/>
      <c r="W16" s="61"/>
      <c r="X16" s="61"/>
    </row>
    <row r="17">
      <c r="A17" s="61"/>
      <c r="B17" s="61"/>
      <c r="C17" s="61"/>
      <c r="D17" s="61"/>
      <c r="E17" s="61"/>
      <c r="F17" s="61"/>
      <c r="G17" s="63"/>
      <c r="H17" s="61"/>
      <c r="I17" s="61"/>
      <c r="J17" s="61"/>
      <c r="K17" s="63"/>
      <c r="N17" s="61"/>
      <c r="O17" s="61"/>
      <c r="P17" s="61"/>
      <c r="Q17" s="61"/>
      <c r="R17" s="61"/>
      <c r="S17" s="61"/>
      <c r="T17" s="61"/>
      <c r="U17" s="61"/>
      <c r="V17" s="61"/>
      <c r="W17" s="61"/>
      <c r="X17" s="61"/>
    </row>
    <row r="18">
      <c r="A18" s="61"/>
      <c r="B18" s="61"/>
      <c r="C18" s="61"/>
      <c r="D18" s="61"/>
      <c r="E18" s="61"/>
      <c r="F18" s="61"/>
      <c r="G18" s="63"/>
      <c r="H18" s="61"/>
      <c r="I18" s="61"/>
      <c r="J18" s="61"/>
      <c r="K18" s="63"/>
      <c r="N18" s="61"/>
      <c r="O18" s="61"/>
      <c r="P18" s="61"/>
      <c r="Q18" s="61"/>
      <c r="R18" s="61"/>
      <c r="S18" s="61"/>
      <c r="T18" s="61"/>
      <c r="U18" s="61"/>
      <c r="V18" s="61"/>
      <c r="W18" s="61"/>
      <c r="X18" s="61"/>
    </row>
    <row r="19">
      <c r="A19" s="61"/>
      <c r="B19" s="61"/>
      <c r="C19" s="61"/>
      <c r="D19" s="61"/>
      <c r="E19" s="61"/>
      <c r="F19" s="61"/>
      <c r="G19" s="63"/>
      <c r="H19" s="61"/>
      <c r="I19" s="61"/>
      <c r="J19" s="61"/>
      <c r="K19" s="63"/>
      <c r="N19" s="61"/>
      <c r="O19" s="61"/>
      <c r="P19" s="61"/>
      <c r="Q19" s="61"/>
      <c r="R19" s="61"/>
      <c r="S19" s="61"/>
      <c r="T19" s="61"/>
      <c r="U19" s="61"/>
      <c r="V19" s="61"/>
      <c r="W19" s="61"/>
      <c r="X19" s="61"/>
    </row>
    <row r="20">
      <c r="A20" s="61"/>
      <c r="B20" s="61"/>
      <c r="C20" s="61"/>
      <c r="D20" s="61"/>
      <c r="E20" s="61"/>
      <c r="F20" s="61"/>
      <c r="G20" s="63"/>
      <c r="H20" s="61"/>
      <c r="I20" s="61"/>
      <c r="J20" s="61"/>
      <c r="K20" s="63"/>
      <c r="N20" s="61"/>
      <c r="O20" s="61"/>
      <c r="P20" s="61"/>
      <c r="Q20" s="61"/>
      <c r="R20" s="61"/>
      <c r="S20" s="61"/>
      <c r="T20" s="61"/>
      <c r="U20" s="61"/>
      <c r="V20" s="61"/>
      <c r="W20" s="61"/>
      <c r="X20" s="61"/>
    </row>
    <row r="21">
      <c r="A21" s="61"/>
      <c r="B21" s="61"/>
      <c r="C21" s="61"/>
      <c r="D21" s="61"/>
      <c r="E21" s="61"/>
      <c r="F21" s="61"/>
      <c r="G21" s="63"/>
      <c r="H21" s="61"/>
      <c r="I21" s="61"/>
      <c r="J21" s="61"/>
      <c r="K21" s="63"/>
      <c r="N21" s="61"/>
      <c r="O21" s="61"/>
      <c r="P21" s="61"/>
      <c r="Q21" s="61"/>
      <c r="R21" s="61"/>
      <c r="S21" s="61"/>
      <c r="T21" s="61"/>
      <c r="U21" s="61"/>
      <c r="V21" s="61"/>
      <c r="W21" s="61"/>
      <c r="X21" s="61"/>
    </row>
    <row r="22">
      <c r="A22" s="61"/>
      <c r="B22" s="61"/>
      <c r="C22" s="61"/>
      <c r="D22" s="61"/>
      <c r="E22" s="61"/>
      <c r="F22" s="61"/>
      <c r="G22" s="63"/>
      <c r="H22" s="61"/>
      <c r="I22" s="61"/>
      <c r="J22" s="61"/>
      <c r="K22" s="63"/>
      <c r="N22" s="61"/>
      <c r="O22" s="61"/>
      <c r="P22" s="61"/>
      <c r="Q22" s="61"/>
      <c r="R22" s="61"/>
      <c r="S22" s="61"/>
      <c r="T22" s="61"/>
      <c r="U22" s="61"/>
      <c r="V22" s="61"/>
      <c r="W22" s="61"/>
      <c r="X22" s="61"/>
    </row>
    <row r="23">
      <c r="A23" s="61"/>
      <c r="B23" s="61"/>
      <c r="C23" s="61"/>
      <c r="D23" s="61"/>
      <c r="E23" s="61"/>
      <c r="F23" s="61"/>
      <c r="G23" s="63"/>
      <c r="H23" s="61"/>
      <c r="I23" s="61"/>
      <c r="J23" s="61"/>
      <c r="K23" s="63"/>
      <c r="N23" s="61"/>
      <c r="O23" s="61"/>
      <c r="P23" s="61"/>
      <c r="Q23" s="61"/>
      <c r="R23" s="61"/>
      <c r="S23" s="61"/>
      <c r="T23" s="61"/>
      <c r="U23" s="61"/>
      <c r="V23" s="61"/>
      <c r="W23" s="61"/>
      <c r="X23" s="61"/>
    </row>
    <row r="24">
      <c r="A24" s="61"/>
      <c r="B24" s="61"/>
      <c r="C24" s="61"/>
      <c r="D24" s="61"/>
      <c r="E24" s="61"/>
      <c r="F24" s="61"/>
      <c r="G24" s="63"/>
      <c r="H24" s="61"/>
      <c r="I24" s="61"/>
      <c r="J24" s="61"/>
      <c r="K24" s="63"/>
      <c r="N24" s="61"/>
      <c r="O24" s="61"/>
      <c r="P24" s="61"/>
      <c r="Q24" s="61"/>
      <c r="R24" s="61"/>
      <c r="S24" s="61"/>
      <c r="T24" s="61"/>
      <c r="U24" s="61"/>
      <c r="V24" s="61"/>
      <c r="W24" s="61"/>
      <c r="X24" s="61"/>
    </row>
    <row r="25">
      <c r="A25" s="61"/>
      <c r="B25" s="61"/>
      <c r="C25" s="61"/>
      <c r="D25" s="61"/>
      <c r="E25" s="61"/>
      <c r="F25" s="61"/>
      <c r="G25" s="61"/>
      <c r="H25" s="61"/>
      <c r="I25" s="61"/>
      <c r="J25" s="61"/>
      <c r="K25" s="61"/>
      <c r="L25" s="61"/>
      <c r="M25" s="61"/>
      <c r="N25" s="61"/>
      <c r="O25" s="61"/>
      <c r="P25" s="61"/>
      <c r="Q25" s="61"/>
      <c r="R25" s="61"/>
      <c r="S25" s="61"/>
      <c r="T25" s="61"/>
      <c r="U25" s="61"/>
      <c r="V25" s="61"/>
      <c r="W25" s="61"/>
      <c r="X25" s="61"/>
    </row>
    <row r="26">
      <c r="A26" s="61"/>
      <c r="B26" s="61"/>
      <c r="C26" s="61"/>
      <c r="D26" s="61"/>
      <c r="E26" s="61"/>
      <c r="F26" s="61"/>
      <c r="G26" s="61"/>
      <c r="H26" s="61"/>
      <c r="I26" s="61"/>
      <c r="J26" s="61"/>
      <c r="K26" s="61"/>
      <c r="L26" s="61"/>
      <c r="M26" s="61"/>
      <c r="N26" s="61"/>
      <c r="O26" s="61"/>
      <c r="P26" s="61"/>
      <c r="Q26" s="61"/>
      <c r="R26" s="61"/>
      <c r="S26" s="61"/>
      <c r="T26" s="61"/>
      <c r="U26" s="61"/>
      <c r="V26" s="61"/>
      <c r="W26" s="61"/>
      <c r="X26" s="61"/>
    </row>
    <row r="27">
      <c r="A27" s="61"/>
      <c r="B27" s="61"/>
      <c r="C27" s="61"/>
      <c r="D27" s="61"/>
      <c r="E27" s="61"/>
      <c r="F27" s="61"/>
      <c r="G27" s="61"/>
      <c r="H27" s="61"/>
      <c r="I27" s="61"/>
      <c r="J27" s="61"/>
      <c r="K27" s="61"/>
      <c r="L27" s="61"/>
      <c r="M27" s="61"/>
      <c r="N27" s="61"/>
      <c r="O27" s="61"/>
      <c r="P27" s="61"/>
      <c r="Q27" s="61"/>
      <c r="R27" s="61"/>
      <c r="S27" s="61"/>
      <c r="T27" s="61"/>
      <c r="U27" s="61"/>
      <c r="V27" s="61"/>
      <c r="W27" s="61"/>
      <c r="X27" s="61"/>
    </row>
    <row r="28">
      <c r="A28" s="61"/>
      <c r="B28" s="61"/>
      <c r="C28" s="61"/>
      <c r="D28" s="61"/>
      <c r="E28" s="61"/>
      <c r="F28" s="61"/>
      <c r="G28" s="61"/>
      <c r="H28" s="61"/>
      <c r="I28" s="61"/>
      <c r="J28" s="61"/>
      <c r="K28" s="61"/>
      <c r="L28" s="61"/>
      <c r="M28" s="61"/>
      <c r="N28" s="61"/>
      <c r="O28" s="61"/>
      <c r="P28" s="61"/>
      <c r="Q28" s="61"/>
      <c r="R28" s="61"/>
      <c r="S28" s="61"/>
      <c r="T28" s="61"/>
      <c r="U28" s="61"/>
      <c r="V28" s="61"/>
      <c r="W28" s="61"/>
      <c r="X28" s="61"/>
    </row>
    <row r="29">
      <c r="A29" s="61"/>
      <c r="B29" s="61"/>
      <c r="C29" s="61"/>
      <c r="D29" s="61"/>
      <c r="E29" s="61"/>
      <c r="F29" s="61"/>
      <c r="G29" s="61"/>
      <c r="H29" s="61"/>
      <c r="I29" s="61"/>
      <c r="J29" s="61"/>
      <c r="K29" s="61"/>
      <c r="L29" s="61"/>
      <c r="M29" s="61"/>
      <c r="N29" s="61"/>
      <c r="O29" s="61"/>
      <c r="P29" s="61"/>
      <c r="Q29" s="61"/>
      <c r="R29" s="61"/>
      <c r="S29" s="61"/>
      <c r="T29" s="61"/>
      <c r="U29" s="61"/>
      <c r="V29" s="61"/>
      <c r="W29" s="61"/>
      <c r="X29" s="61"/>
    </row>
    <row r="30">
      <c r="A30" s="61"/>
      <c r="B30" s="61"/>
      <c r="C30" s="61"/>
      <c r="D30" s="61"/>
      <c r="E30" s="61"/>
      <c r="F30" s="61"/>
      <c r="G30" s="61"/>
      <c r="H30" s="61"/>
      <c r="I30" s="61"/>
      <c r="J30" s="61"/>
      <c r="K30" s="61"/>
      <c r="L30" s="61"/>
      <c r="M30" s="61"/>
      <c r="N30" s="61"/>
      <c r="O30" s="61"/>
      <c r="P30" s="61"/>
      <c r="Q30" s="61"/>
      <c r="R30" s="61"/>
      <c r="S30" s="61"/>
      <c r="T30" s="61"/>
      <c r="U30" s="61"/>
      <c r="V30" s="61"/>
      <c r="W30" s="61"/>
      <c r="X30" s="61"/>
    </row>
    <row r="31">
      <c r="A31" s="61"/>
      <c r="B31" s="61"/>
      <c r="C31" s="61"/>
      <c r="D31" s="61"/>
      <c r="E31" s="61"/>
      <c r="F31" s="61"/>
      <c r="G31" s="61"/>
      <c r="H31" s="61"/>
      <c r="I31" s="61"/>
      <c r="J31" s="61"/>
      <c r="K31" s="61"/>
      <c r="L31" s="61"/>
      <c r="M31" s="61"/>
      <c r="N31" s="61"/>
      <c r="O31" s="61"/>
      <c r="P31" s="61"/>
      <c r="Q31" s="61"/>
      <c r="R31" s="61"/>
      <c r="S31" s="61"/>
      <c r="T31" s="61"/>
      <c r="U31" s="61"/>
      <c r="V31" s="61"/>
      <c r="W31" s="61"/>
      <c r="X31" s="61"/>
    </row>
    <row r="32">
      <c r="A32" s="61"/>
      <c r="B32" s="61"/>
      <c r="C32" s="61"/>
      <c r="D32" s="61"/>
      <c r="E32" s="61"/>
      <c r="F32" s="61"/>
      <c r="G32" s="61"/>
      <c r="H32" s="61"/>
      <c r="I32" s="61"/>
      <c r="J32" s="61"/>
      <c r="K32" s="61"/>
      <c r="L32" s="61"/>
      <c r="M32" s="61"/>
      <c r="N32" s="61"/>
      <c r="O32" s="61"/>
      <c r="P32" s="61"/>
      <c r="Q32" s="61"/>
      <c r="R32" s="61"/>
      <c r="S32" s="61"/>
      <c r="T32" s="61"/>
      <c r="U32" s="61"/>
      <c r="V32" s="61"/>
      <c r="W32" s="61"/>
      <c r="X32" s="61"/>
    </row>
    <row r="33">
      <c r="A33" s="61"/>
      <c r="B33" s="61"/>
      <c r="C33" s="61"/>
      <c r="D33" s="61"/>
      <c r="E33" s="61"/>
      <c r="F33" s="61"/>
      <c r="G33" s="61"/>
      <c r="H33" s="61"/>
      <c r="I33" s="61"/>
      <c r="J33" s="61"/>
      <c r="K33" s="61"/>
      <c r="L33" s="61"/>
      <c r="M33" s="61"/>
      <c r="N33" s="61"/>
      <c r="O33" s="61"/>
      <c r="P33" s="61"/>
      <c r="Q33" s="61"/>
      <c r="R33" s="61"/>
      <c r="S33" s="61"/>
      <c r="T33" s="61"/>
      <c r="U33" s="61"/>
      <c r="V33" s="61"/>
      <c r="W33" s="61"/>
      <c r="X33" s="61"/>
    </row>
    <row r="34">
      <c r="A34" s="61"/>
      <c r="B34" s="61"/>
      <c r="C34" s="61"/>
      <c r="D34" s="61"/>
      <c r="E34" s="61"/>
      <c r="F34" s="61"/>
      <c r="G34" s="61"/>
      <c r="H34" s="61"/>
      <c r="I34" s="61"/>
      <c r="J34" s="61"/>
      <c r="K34" s="61"/>
      <c r="L34" s="61"/>
      <c r="M34" s="61"/>
      <c r="N34" s="61"/>
      <c r="O34" s="61"/>
      <c r="P34" s="61"/>
      <c r="Q34" s="61"/>
      <c r="R34" s="61"/>
      <c r="S34" s="61"/>
      <c r="T34" s="61"/>
      <c r="U34" s="61"/>
      <c r="V34" s="61"/>
      <c r="W34" s="61"/>
      <c r="X34" s="61"/>
    </row>
    <row r="35">
      <c r="A35" s="61"/>
      <c r="B35" s="61"/>
      <c r="C35" s="61"/>
      <c r="D35" s="61"/>
      <c r="E35" s="61"/>
      <c r="F35" s="61"/>
      <c r="G35" s="61"/>
      <c r="H35" s="61"/>
      <c r="I35" s="61"/>
      <c r="J35" s="61"/>
      <c r="K35" s="61"/>
      <c r="L35" s="61"/>
      <c r="M35" s="61"/>
      <c r="N35" s="61"/>
      <c r="O35" s="61"/>
      <c r="P35" s="61"/>
      <c r="Q35" s="61"/>
      <c r="R35" s="61"/>
      <c r="S35" s="61"/>
      <c r="T35" s="61"/>
      <c r="U35" s="61"/>
      <c r="V35" s="61"/>
      <c r="W35" s="61"/>
      <c r="X35" s="61"/>
    </row>
    <row r="36">
      <c r="A36" s="61"/>
      <c r="B36" s="61"/>
      <c r="C36" s="61"/>
      <c r="D36" s="61"/>
      <c r="E36" s="61"/>
      <c r="F36" s="61"/>
      <c r="G36" s="61"/>
      <c r="H36" s="61"/>
      <c r="I36" s="61"/>
      <c r="J36" s="61"/>
      <c r="K36" s="61"/>
      <c r="L36" s="61"/>
      <c r="M36" s="61"/>
      <c r="N36" s="61"/>
      <c r="O36" s="61"/>
      <c r="P36" s="61"/>
      <c r="Q36" s="61"/>
      <c r="R36" s="61"/>
      <c r="S36" s="61"/>
      <c r="T36" s="61"/>
      <c r="U36" s="61"/>
      <c r="V36" s="61"/>
      <c r="W36" s="61"/>
      <c r="X36" s="61"/>
    </row>
    <row r="37">
      <c r="A37" s="61"/>
      <c r="B37" s="61"/>
      <c r="C37" s="61"/>
      <c r="D37" s="61"/>
      <c r="E37" s="61"/>
      <c r="F37" s="61"/>
      <c r="G37" s="61"/>
      <c r="H37" s="61"/>
      <c r="I37" s="61"/>
      <c r="J37" s="61"/>
      <c r="K37" s="61"/>
      <c r="L37" s="61"/>
      <c r="M37" s="61"/>
      <c r="N37" s="61"/>
      <c r="O37" s="61"/>
      <c r="P37" s="61"/>
      <c r="Q37" s="61"/>
      <c r="R37" s="61"/>
      <c r="S37" s="61"/>
      <c r="T37" s="61"/>
      <c r="U37" s="61"/>
      <c r="V37" s="61"/>
      <c r="W37" s="61"/>
      <c r="X37" s="61"/>
    </row>
    <row r="38">
      <c r="A38" s="61"/>
      <c r="B38" s="61"/>
      <c r="C38" s="61"/>
      <c r="D38" s="61"/>
      <c r="E38" s="61"/>
      <c r="F38" s="61"/>
      <c r="G38" s="61"/>
      <c r="H38" s="61"/>
      <c r="I38" s="61"/>
      <c r="J38" s="61"/>
      <c r="K38" s="61"/>
      <c r="L38" s="61"/>
      <c r="M38" s="61"/>
      <c r="N38" s="61"/>
      <c r="O38" s="61"/>
      <c r="P38" s="61"/>
      <c r="Q38" s="61"/>
      <c r="R38" s="61"/>
      <c r="S38" s="61"/>
      <c r="T38" s="61"/>
      <c r="U38" s="61"/>
      <c r="V38" s="61"/>
      <c r="W38" s="61"/>
      <c r="X38" s="61"/>
    </row>
    <row r="39">
      <c r="A39" s="61"/>
      <c r="B39" s="61"/>
      <c r="C39" s="61"/>
      <c r="D39" s="61"/>
      <c r="E39" s="61"/>
      <c r="F39" s="61"/>
      <c r="G39" s="61"/>
      <c r="H39" s="61"/>
      <c r="I39" s="61"/>
      <c r="J39" s="61"/>
      <c r="K39" s="61"/>
      <c r="L39" s="61"/>
      <c r="M39" s="61"/>
      <c r="N39" s="61"/>
      <c r="O39" s="61"/>
      <c r="P39" s="61"/>
      <c r="Q39" s="61"/>
      <c r="R39" s="61"/>
      <c r="S39" s="61"/>
      <c r="T39" s="61"/>
      <c r="U39" s="61"/>
      <c r="V39" s="61"/>
      <c r="W39" s="61"/>
      <c r="X39" s="61"/>
    </row>
    <row r="40">
      <c r="A40" s="61"/>
      <c r="B40" s="61"/>
      <c r="C40" s="61"/>
      <c r="D40" s="61"/>
      <c r="E40" s="61"/>
      <c r="F40" s="61"/>
      <c r="G40" s="61"/>
      <c r="H40" s="61"/>
      <c r="I40" s="61"/>
      <c r="J40" s="61"/>
      <c r="K40" s="61"/>
      <c r="L40" s="61"/>
      <c r="M40" s="61"/>
      <c r="N40" s="61"/>
      <c r="O40" s="61"/>
      <c r="P40" s="61"/>
      <c r="Q40" s="61"/>
      <c r="R40" s="61"/>
      <c r="S40" s="61"/>
      <c r="T40" s="61"/>
      <c r="U40" s="61"/>
      <c r="V40" s="61"/>
      <c r="W40" s="61"/>
      <c r="X40" s="61"/>
    </row>
    <row r="41">
      <c r="A41" s="61"/>
      <c r="B41" s="61"/>
      <c r="C41" s="61"/>
      <c r="D41" s="61"/>
      <c r="E41" s="61"/>
      <c r="F41" s="61"/>
      <c r="G41" s="61"/>
      <c r="H41" s="61"/>
      <c r="I41" s="61"/>
      <c r="J41" s="61"/>
      <c r="K41" s="61"/>
      <c r="L41" s="61"/>
      <c r="M41" s="61"/>
      <c r="N41" s="61"/>
      <c r="O41" s="61"/>
      <c r="P41" s="61"/>
      <c r="Q41" s="61"/>
      <c r="R41" s="61"/>
      <c r="S41" s="61"/>
      <c r="T41" s="61"/>
      <c r="U41" s="61"/>
      <c r="V41" s="61"/>
      <c r="W41" s="61"/>
      <c r="X41" s="61"/>
    </row>
    <row r="42">
      <c r="A42" s="61"/>
      <c r="B42" s="61"/>
      <c r="C42" s="61"/>
      <c r="D42" s="61"/>
      <c r="E42" s="61"/>
      <c r="F42" s="61"/>
      <c r="G42" s="61"/>
      <c r="H42" s="61"/>
      <c r="I42" s="61"/>
      <c r="J42" s="61"/>
      <c r="K42" s="61"/>
      <c r="L42" s="61"/>
      <c r="M42" s="61"/>
      <c r="N42" s="61"/>
      <c r="O42" s="61"/>
      <c r="P42" s="61"/>
      <c r="Q42" s="61"/>
      <c r="R42" s="61"/>
      <c r="S42" s="61"/>
      <c r="T42" s="61"/>
      <c r="U42" s="61"/>
      <c r="V42" s="61"/>
      <c r="W42" s="61"/>
      <c r="X42" s="61"/>
    </row>
    <row r="43">
      <c r="A43" s="61"/>
      <c r="B43" s="61"/>
      <c r="C43" s="61"/>
      <c r="D43" s="61"/>
      <c r="E43" s="61"/>
      <c r="F43" s="61"/>
      <c r="G43" s="61"/>
      <c r="H43" s="61"/>
      <c r="I43" s="61"/>
      <c r="J43" s="61"/>
      <c r="K43" s="61"/>
      <c r="L43" s="61"/>
      <c r="M43" s="61"/>
      <c r="N43" s="61"/>
      <c r="O43" s="61"/>
      <c r="P43" s="61"/>
      <c r="Q43" s="61"/>
      <c r="R43" s="61"/>
      <c r="S43" s="61"/>
      <c r="T43" s="61"/>
      <c r="U43" s="61"/>
      <c r="V43" s="61"/>
      <c r="W43" s="61"/>
      <c r="X43" s="61"/>
    </row>
    <row r="44">
      <c r="A44" s="61"/>
      <c r="B44" s="61"/>
      <c r="C44" s="61"/>
      <c r="D44" s="61"/>
      <c r="E44" s="61"/>
      <c r="F44" s="61"/>
      <c r="G44" s="61"/>
      <c r="H44" s="61"/>
      <c r="I44" s="61"/>
      <c r="J44" s="61"/>
      <c r="K44" s="61"/>
      <c r="L44" s="61"/>
      <c r="M44" s="61"/>
      <c r="N44" s="61"/>
      <c r="O44" s="61"/>
      <c r="P44" s="61"/>
      <c r="Q44" s="61"/>
      <c r="R44" s="61"/>
      <c r="S44" s="61"/>
      <c r="T44" s="61"/>
      <c r="U44" s="61"/>
      <c r="V44" s="61"/>
      <c r="W44" s="61"/>
      <c r="X44" s="61"/>
    </row>
    <row r="45">
      <c r="A45" s="61"/>
      <c r="B45" s="61"/>
      <c r="C45" s="61"/>
      <c r="D45" s="61"/>
      <c r="E45" s="61"/>
      <c r="F45" s="61"/>
      <c r="G45" s="61"/>
      <c r="H45" s="61"/>
      <c r="I45" s="61"/>
      <c r="J45" s="61"/>
      <c r="K45" s="61"/>
      <c r="L45" s="61"/>
      <c r="M45" s="61"/>
      <c r="N45" s="61"/>
      <c r="O45" s="61"/>
      <c r="P45" s="61"/>
      <c r="Q45" s="61"/>
      <c r="R45" s="61"/>
      <c r="S45" s="61"/>
      <c r="T45" s="61"/>
      <c r="U45" s="61"/>
      <c r="V45" s="61"/>
      <c r="W45" s="61"/>
      <c r="X45" s="61"/>
    </row>
    <row r="46">
      <c r="A46" s="61"/>
      <c r="B46" s="61"/>
      <c r="C46" s="61"/>
      <c r="D46" s="61"/>
      <c r="E46" s="61"/>
      <c r="F46" s="61"/>
      <c r="G46" s="61"/>
      <c r="H46" s="61"/>
      <c r="I46" s="61"/>
      <c r="J46" s="61"/>
      <c r="K46" s="61"/>
      <c r="L46" s="61"/>
      <c r="M46" s="61"/>
      <c r="N46" s="61"/>
      <c r="O46" s="61"/>
      <c r="P46" s="61"/>
      <c r="Q46" s="61"/>
      <c r="R46" s="61"/>
      <c r="S46" s="61"/>
      <c r="T46" s="61"/>
      <c r="U46" s="61"/>
      <c r="V46" s="61"/>
      <c r="W46" s="61"/>
      <c r="X46" s="61"/>
    </row>
    <row r="47">
      <c r="A47" s="61"/>
      <c r="B47" s="61"/>
      <c r="C47" s="61"/>
      <c r="D47" s="61"/>
      <c r="E47" s="61"/>
      <c r="F47" s="61"/>
      <c r="G47" s="61"/>
      <c r="H47" s="61"/>
      <c r="I47" s="61"/>
      <c r="J47" s="61"/>
      <c r="K47" s="61"/>
      <c r="L47" s="61"/>
      <c r="M47" s="61"/>
      <c r="N47" s="61"/>
      <c r="O47" s="61"/>
      <c r="P47" s="61"/>
      <c r="Q47" s="61"/>
      <c r="R47" s="61"/>
      <c r="S47" s="61"/>
      <c r="T47" s="61"/>
      <c r="U47" s="61"/>
      <c r="V47" s="61"/>
      <c r="W47" s="61"/>
      <c r="X47" s="61"/>
    </row>
    <row r="48">
      <c r="A48" s="61"/>
      <c r="B48" s="61"/>
      <c r="C48" s="61"/>
      <c r="D48" s="61"/>
      <c r="E48" s="61"/>
      <c r="F48" s="61"/>
      <c r="G48" s="61"/>
      <c r="H48" s="61"/>
      <c r="I48" s="61"/>
      <c r="J48" s="61"/>
      <c r="K48" s="61"/>
      <c r="L48" s="61"/>
      <c r="M48" s="61"/>
      <c r="N48" s="61"/>
      <c r="O48" s="61"/>
      <c r="P48" s="61"/>
      <c r="Q48" s="61"/>
      <c r="R48" s="61"/>
      <c r="S48" s="61"/>
      <c r="T48" s="61"/>
      <c r="U48" s="61"/>
      <c r="V48" s="61"/>
      <c r="W48" s="61"/>
      <c r="X48" s="61"/>
    </row>
    <row r="49">
      <c r="A49" s="61"/>
      <c r="B49" s="61"/>
      <c r="C49" s="61"/>
      <c r="D49" s="61"/>
      <c r="E49" s="61"/>
      <c r="F49" s="61"/>
      <c r="G49" s="61"/>
      <c r="H49" s="61"/>
      <c r="I49" s="61"/>
      <c r="J49" s="61"/>
      <c r="K49" s="61"/>
      <c r="L49" s="61"/>
      <c r="M49" s="61"/>
      <c r="N49" s="61"/>
      <c r="O49" s="61"/>
      <c r="P49" s="61"/>
      <c r="Q49" s="61"/>
      <c r="R49" s="61"/>
      <c r="S49" s="61"/>
      <c r="T49" s="61"/>
      <c r="U49" s="61"/>
      <c r="V49" s="61"/>
      <c r="W49" s="61"/>
      <c r="X49" s="61"/>
    </row>
    <row r="50">
      <c r="A50" s="61"/>
      <c r="B50" s="61"/>
      <c r="C50" s="61"/>
      <c r="D50" s="61"/>
      <c r="E50" s="61"/>
      <c r="F50" s="61"/>
      <c r="G50" s="61"/>
      <c r="H50" s="61"/>
      <c r="I50" s="61"/>
      <c r="J50" s="61"/>
      <c r="K50" s="61"/>
      <c r="L50" s="61"/>
      <c r="M50" s="61"/>
      <c r="N50" s="61"/>
      <c r="O50" s="61"/>
      <c r="P50" s="61"/>
      <c r="Q50" s="61"/>
      <c r="R50" s="61"/>
      <c r="S50" s="61"/>
      <c r="T50" s="61"/>
      <c r="U50" s="61"/>
      <c r="V50" s="61"/>
      <c r="W50" s="61"/>
      <c r="X50" s="61"/>
    </row>
    <row r="51">
      <c r="A51" s="61"/>
      <c r="B51" s="61"/>
      <c r="C51" s="61"/>
      <c r="D51" s="61"/>
      <c r="E51" s="61"/>
      <c r="F51" s="61"/>
      <c r="G51" s="61"/>
      <c r="H51" s="61"/>
      <c r="I51" s="61"/>
      <c r="J51" s="61"/>
      <c r="K51" s="61"/>
      <c r="L51" s="61"/>
      <c r="M51" s="61"/>
      <c r="N51" s="61"/>
      <c r="O51" s="61"/>
      <c r="P51" s="61"/>
      <c r="Q51" s="61"/>
      <c r="R51" s="61"/>
      <c r="S51" s="61"/>
      <c r="T51" s="61"/>
      <c r="U51" s="61"/>
      <c r="V51" s="61"/>
      <c r="W51" s="61"/>
      <c r="X51" s="61"/>
    </row>
    <row r="52">
      <c r="A52" s="61"/>
      <c r="B52" s="61"/>
      <c r="C52" s="61"/>
      <c r="D52" s="61"/>
      <c r="E52" s="61"/>
      <c r="F52" s="61"/>
      <c r="G52" s="61"/>
      <c r="H52" s="61"/>
      <c r="I52" s="61"/>
      <c r="J52" s="61"/>
      <c r="K52" s="61"/>
      <c r="L52" s="61"/>
      <c r="M52" s="61"/>
      <c r="N52" s="61"/>
      <c r="O52" s="61"/>
      <c r="P52" s="61"/>
      <c r="Q52" s="61"/>
      <c r="R52" s="61"/>
      <c r="S52" s="61"/>
      <c r="T52" s="61"/>
      <c r="U52" s="61"/>
      <c r="V52" s="61"/>
      <c r="W52" s="61"/>
      <c r="X52" s="61"/>
    </row>
    <row r="53">
      <c r="A53" s="61"/>
      <c r="B53" s="61"/>
      <c r="C53" s="61"/>
      <c r="D53" s="61"/>
      <c r="E53" s="61"/>
      <c r="F53" s="61"/>
      <c r="G53" s="61"/>
      <c r="H53" s="61"/>
      <c r="I53" s="61"/>
      <c r="J53" s="61"/>
      <c r="K53" s="61"/>
      <c r="L53" s="61"/>
      <c r="M53" s="61"/>
      <c r="N53" s="61"/>
      <c r="O53" s="61"/>
      <c r="P53" s="61"/>
      <c r="Q53" s="61"/>
      <c r="R53" s="61"/>
      <c r="S53" s="61"/>
      <c r="T53" s="61"/>
      <c r="U53" s="61"/>
      <c r="V53" s="61"/>
      <c r="W53" s="61"/>
      <c r="X53" s="61"/>
    </row>
    <row r="54">
      <c r="A54" s="61"/>
      <c r="B54" s="61"/>
      <c r="C54" s="61"/>
      <c r="D54" s="61"/>
      <c r="E54" s="61"/>
      <c r="F54" s="61"/>
      <c r="G54" s="61"/>
      <c r="H54" s="61"/>
      <c r="I54" s="61"/>
      <c r="J54" s="61"/>
      <c r="K54" s="61"/>
      <c r="L54" s="61"/>
      <c r="M54" s="61"/>
      <c r="N54" s="61"/>
      <c r="O54" s="61"/>
      <c r="P54" s="61"/>
      <c r="Q54" s="61"/>
      <c r="R54" s="61"/>
      <c r="S54" s="61"/>
      <c r="T54" s="61"/>
      <c r="U54" s="61"/>
      <c r="V54" s="61"/>
      <c r="W54" s="61"/>
      <c r="X54" s="61"/>
    </row>
    <row r="55">
      <c r="A55" s="61"/>
      <c r="B55" s="61"/>
      <c r="C55" s="61"/>
      <c r="D55" s="61"/>
      <c r="E55" s="61"/>
      <c r="F55" s="61"/>
      <c r="G55" s="61"/>
      <c r="H55" s="61"/>
      <c r="I55" s="61"/>
      <c r="J55" s="61"/>
      <c r="K55" s="61"/>
      <c r="L55" s="61"/>
      <c r="M55" s="61"/>
      <c r="N55" s="61"/>
      <c r="O55" s="61"/>
      <c r="P55" s="61"/>
      <c r="Q55" s="61"/>
      <c r="R55" s="61"/>
      <c r="S55" s="61"/>
      <c r="T55" s="61"/>
      <c r="U55" s="61"/>
      <c r="V55" s="61"/>
      <c r="W55" s="61"/>
      <c r="X55" s="61"/>
    </row>
    <row r="56">
      <c r="A56" s="61"/>
      <c r="B56" s="61"/>
      <c r="C56" s="61"/>
      <c r="D56" s="61"/>
      <c r="E56" s="61"/>
      <c r="F56" s="61"/>
      <c r="G56" s="61"/>
      <c r="H56" s="61"/>
      <c r="I56" s="61"/>
      <c r="J56" s="61"/>
      <c r="K56" s="61"/>
      <c r="L56" s="61"/>
      <c r="M56" s="61"/>
      <c r="N56" s="61"/>
      <c r="O56" s="61"/>
      <c r="P56" s="61"/>
      <c r="Q56" s="61"/>
      <c r="R56" s="61"/>
      <c r="S56" s="61"/>
      <c r="T56" s="61"/>
      <c r="U56" s="61"/>
      <c r="V56" s="61"/>
      <c r="W56" s="61"/>
      <c r="X56" s="61"/>
    </row>
    <row r="57">
      <c r="A57" s="61"/>
      <c r="B57" s="61"/>
      <c r="C57" s="61"/>
      <c r="D57" s="61"/>
      <c r="E57" s="61"/>
      <c r="F57" s="61"/>
      <c r="G57" s="61"/>
      <c r="H57" s="61"/>
      <c r="I57" s="61"/>
      <c r="J57" s="61"/>
      <c r="K57" s="61"/>
      <c r="L57" s="61"/>
      <c r="M57" s="61"/>
      <c r="N57" s="61"/>
      <c r="O57" s="61"/>
      <c r="P57" s="61"/>
      <c r="Q57" s="61"/>
      <c r="R57" s="61"/>
      <c r="S57" s="61"/>
      <c r="T57" s="61"/>
      <c r="U57" s="61"/>
      <c r="V57" s="61"/>
      <c r="W57" s="61"/>
      <c r="X57" s="61"/>
    </row>
    <row r="58">
      <c r="A58" s="61"/>
      <c r="B58" s="61"/>
      <c r="C58" s="61"/>
      <c r="D58" s="61"/>
      <c r="E58" s="61"/>
      <c r="F58" s="61"/>
      <c r="G58" s="61"/>
      <c r="H58" s="61"/>
      <c r="I58" s="61"/>
      <c r="J58" s="61"/>
      <c r="K58" s="61"/>
      <c r="L58" s="61"/>
      <c r="M58" s="61"/>
      <c r="N58" s="61"/>
      <c r="O58" s="61"/>
      <c r="P58" s="61"/>
      <c r="Q58" s="61"/>
      <c r="R58" s="61"/>
      <c r="S58" s="61"/>
      <c r="T58" s="61"/>
      <c r="U58" s="61"/>
      <c r="V58" s="61"/>
      <c r="W58" s="61"/>
      <c r="X58" s="61"/>
    </row>
    <row r="59">
      <c r="A59" s="61"/>
      <c r="B59" s="61"/>
      <c r="C59" s="61"/>
      <c r="D59" s="61"/>
      <c r="E59" s="61"/>
      <c r="F59" s="61"/>
      <c r="G59" s="61"/>
      <c r="H59" s="61"/>
      <c r="I59" s="61"/>
      <c r="J59" s="61"/>
      <c r="K59" s="61"/>
      <c r="L59" s="61"/>
      <c r="M59" s="61"/>
      <c r="N59" s="61"/>
      <c r="O59" s="61"/>
      <c r="P59" s="61"/>
      <c r="Q59" s="61"/>
      <c r="R59" s="61"/>
      <c r="S59" s="61"/>
      <c r="T59" s="61"/>
      <c r="U59" s="61"/>
      <c r="V59" s="61"/>
      <c r="W59" s="61"/>
      <c r="X59" s="61"/>
    </row>
    <row r="60">
      <c r="A60" s="61"/>
      <c r="B60" s="61"/>
      <c r="C60" s="61"/>
      <c r="D60" s="61"/>
      <c r="E60" s="61"/>
      <c r="F60" s="61"/>
      <c r="G60" s="61"/>
      <c r="H60" s="61"/>
      <c r="I60" s="61"/>
      <c r="J60" s="61"/>
      <c r="K60" s="61"/>
      <c r="L60" s="61"/>
      <c r="M60" s="61"/>
      <c r="N60" s="61"/>
      <c r="O60" s="61"/>
      <c r="P60" s="61"/>
      <c r="Q60" s="61"/>
      <c r="R60" s="61"/>
      <c r="S60" s="61"/>
      <c r="T60" s="61"/>
      <c r="U60" s="61"/>
      <c r="V60" s="61"/>
      <c r="W60" s="61"/>
      <c r="X60" s="61"/>
    </row>
    <row r="61">
      <c r="A61" s="61"/>
      <c r="B61" s="61"/>
      <c r="C61" s="61"/>
      <c r="D61" s="61"/>
      <c r="E61" s="61"/>
      <c r="F61" s="61"/>
      <c r="G61" s="61"/>
      <c r="H61" s="61"/>
      <c r="I61" s="61"/>
      <c r="J61" s="61"/>
      <c r="K61" s="61"/>
      <c r="L61" s="61"/>
      <c r="M61" s="61"/>
      <c r="N61" s="61"/>
      <c r="O61" s="61"/>
      <c r="P61" s="61"/>
      <c r="Q61" s="61"/>
      <c r="R61" s="61"/>
      <c r="S61" s="61"/>
      <c r="T61" s="61"/>
      <c r="U61" s="61"/>
      <c r="V61" s="61"/>
      <c r="W61" s="61"/>
      <c r="X61" s="61"/>
    </row>
    <row r="62">
      <c r="A62" s="61"/>
      <c r="B62" s="61"/>
      <c r="C62" s="61"/>
      <c r="D62" s="61"/>
      <c r="E62" s="61"/>
      <c r="F62" s="61"/>
      <c r="G62" s="61"/>
      <c r="H62" s="61"/>
      <c r="I62" s="61"/>
      <c r="J62" s="61"/>
      <c r="K62" s="61"/>
      <c r="L62" s="61"/>
      <c r="M62" s="61"/>
      <c r="N62" s="61"/>
      <c r="O62" s="61"/>
      <c r="P62" s="61"/>
      <c r="Q62" s="61"/>
      <c r="R62" s="61"/>
      <c r="S62" s="61"/>
      <c r="T62" s="61"/>
      <c r="U62" s="61"/>
      <c r="V62" s="61"/>
      <c r="W62" s="61"/>
      <c r="X62" s="61"/>
    </row>
    <row r="63">
      <c r="A63" s="61"/>
      <c r="B63" s="61"/>
      <c r="C63" s="61"/>
      <c r="D63" s="61"/>
      <c r="E63" s="61"/>
      <c r="F63" s="61"/>
      <c r="G63" s="61"/>
      <c r="H63" s="61"/>
      <c r="I63" s="61"/>
      <c r="J63" s="61"/>
      <c r="K63" s="61"/>
      <c r="L63" s="61"/>
      <c r="M63" s="61"/>
      <c r="N63" s="61"/>
      <c r="O63" s="61"/>
      <c r="P63" s="61"/>
      <c r="Q63" s="61"/>
      <c r="R63" s="61"/>
      <c r="S63" s="61"/>
      <c r="T63" s="61"/>
      <c r="U63" s="61"/>
      <c r="V63" s="61"/>
      <c r="W63" s="61"/>
      <c r="X63" s="61"/>
    </row>
    <row r="64">
      <c r="A64" s="61"/>
      <c r="B64" s="61"/>
      <c r="C64" s="61"/>
      <c r="D64" s="61"/>
      <c r="E64" s="61"/>
      <c r="F64" s="61"/>
      <c r="G64" s="61"/>
      <c r="H64" s="61"/>
      <c r="I64" s="61"/>
      <c r="J64" s="61"/>
      <c r="K64" s="61"/>
      <c r="L64" s="61"/>
      <c r="M64" s="61"/>
      <c r="N64" s="61"/>
      <c r="O64" s="61"/>
      <c r="P64" s="61"/>
      <c r="Q64" s="61"/>
      <c r="R64" s="61"/>
      <c r="S64" s="61"/>
      <c r="T64" s="61"/>
      <c r="U64" s="61"/>
      <c r="V64" s="61"/>
      <c r="W64" s="61"/>
      <c r="X64" s="61"/>
    </row>
    <row r="65">
      <c r="A65" s="61"/>
      <c r="B65" s="61"/>
      <c r="C65" s="61"/>
      <c r="D65" s="61"/>
      <c r="E65" s="61"/>
      <c r="F65" s="61"/>
      <c r="G65" s="61"/>
      <c r="H65" s="61"/>
      <c r="I65" s="61"/>
      <c r="J65" s="61"/>
      <c r="K65" s="61"/>
      <c r="L65" s="61"/>
      <c r="M65" s="61"/>
      <c r="N65" s="61"/>
      <c r="O65" s="61"/>
      <c r="P65" s="61"/>
      <c r="Q65" s="61"/>
      <c r="R65" s="61"/>
      <c r="S65" s="61"/>
      <c r="T65" s="61"/>
      <c r="U65" s="61"/>
      <c r="V65" s="61"/>
      <c r="W65" s="61"/>
      <c r="X65" s="61"/>
    </row>
    <row r="66">
      <c r="A66" s="61"/>
      <c r="B66" s="61"/>
      <c r="C66" s="61"/>
      <c r="D66" s="61"/>
      <c r="E66" s="61"/>
      <c r="F66" s="61"/>
      <c r="G66" s="61"/>
      <c r="H66" s="61"/>
      <c r="I66" s="61"/>
      <c r="J66" s="61"/>
      <c r="K66" s="61"/>
      <c r="L66" s="61"/>
      <c r="M66" s="61"/>
      <c r="N66" s="61"/>
      <c r="O66" s="61"/>
      <c r="P66" s="61"/>
      <c r="Q66" s="61"/>
      <c r="R66" s="61"/>
      <c r="S66" s="61"/>
      <c r="T66" s="61"/>
      <c r="U66" s="61"/>
      <c r="V66" s="61"/>
      <c r="W66" s="61"/>
      <c r="X66" s="61"/>
    </row>
    <row r="67">
      <c r="A67" s="61"/>
      <c r="B67" s="61"/>
      <c r="C67" s="61"/>
      <c r="D67" s="61"/>
      <c r="E67" s="61"/>
      <c r="F67" s="61"/>
      <c r="G67" s="61"/>
      <c r="H67" s="61"/>
      <c r="I67" s="61"/>
      <c r="J67" s="61"/>
      <c r="K67" s="61"/>
      <c r="L67" s="61"/>
      <c r="M67" s="61"/>
      <c r="N67" s="61"/>
      <c r="O67" s="61"/>
      <c r="P67" s="61"/>
      <c r="Q67" s="61"/>
      <c r="R67" s="61"/>
      <c r="S67" s="61"/>
      <c r="T67" s="61"/>
      <c r="U67" s="61"/>
      <c r="V67" s="61"/>
      <c r="W67" s="61"/>
      <c r="X67" s="61"/>
    </row>
    <row r="68">
      <c r="A68" s="61"/>
      <c r="B68" s="61"/>
      <c r="C68" s="61"/>
      <c r="D68" s="61"/>
      <c r="E68" s="61"/>
      <c r="F68" s="61"/>
      <c r="G68" s="61"/>
      <c r="H68" s="61"/>
      <c r="I68" s="61"/>
      <c r="J68" s="61"/>
      <c r="K68" s="61"/>
      <c r="L68" s="61"/>
      <c r="M68" s="61"/>
      <c r="N68" s="61"/>
      <c r="O68" s="61"/>
      <c r="P68" s="61"/>
      <c r="Q68" s="61"/>
      <c r="R68" s="61"/>
      <c r="S68" s="61"/>
      <c r="T68" s="61"/>
      <c r="U68" s="61"/>
      <c r="V68" s="61"/>
      <c r="W68" s="61"/>
      <c r="X68" s="61"/>
    </row>
    <row r="69">
      <c r="A69" s="61"/>
      <c r="B69" s="61"/>
      <c r="C69" s="61"/>
      <c r="D69" s="61"/>
      <c r="E69" s="61"/>
      <c r="F69" s="61"/>
      <c r="G69" s="61"/>
      <c r="H69" s="61"/>
      <c r="I69" s="61"/>
      <c r="J69" s="61"/>
      <c r="K69" s="61"/>
      <c r="L69" s="61"/>
      <c r="M69" s="61"/>
      <c r="N69" s="61"/>
      <c r="O69" s="61"/>
      <c r="P69" s="61"/>
      <c r="Q69" s="61"/>
      <c r="R69" s="61"/>
      <c r="S69" s="61"/>
      <c r="T69" s="61"/>
      <c r="U69" s="61"/>
      <c r="V69" s="61"/>
      <c r="W69" s="61"/>
      <c r="X69" s="61"/>
    </row>
    <row r="70">
      <c r="A70" s="61"/>
      <c r="B70" s="61"/>
      <c r="C70" s="61"/>
      <c r="D70" s="61"/>
      <c r="E70" s="61"/>
      <c r="F70" s="61"/>
      <c r="G70" s="61"/>
      <c r="H70" s="61"/>
      <c r="I70" s="61"/>
      <c r="J70" s="61"/>
      <c r="K70" s="61"/>
      <c r="L70" s="61"/>
      <c r="M70" s="61"/>
      <c r="N70" s="61"/>
      <c r="O70" s="61"/>
      <c r="P70" s="61"/>
      <c r="Q70" s="61"/>
      <c r="R70" s="61"/>
      <c r="S70" s="61"/>
      <c r="T70" s="61"/>
      <c r="U70" s="61"/>
      <c r="V70" s="61"/>
      <c r="W70" s="61"/>
      <c r="X70" s="61"/>
    </row>
    <row r="71">
      <c r="A71" s="61"/>
      <c r="B71" s="61"/>
      <c r="C71" s="61"/>
      <c r="D71" s="61"/>
      <c r="E71" s="61"/>
      <c r="F71" s="61"/>
      <c r="G71" s="61"/>
      <c r="H71" s="61"/>
      <c r="I71" s="61"/>
      <c r="J71" s="61"/>
      <c r="K71" s="61"/>
      <c r="L71" s="61"/>
      <c r="M71" s="61"/>
      <c r="N71" s="61"/>
      <c r="O71" s="61"/>
      <c r="P71" s="61"/>
      <c r="Q71" s="61"/>
      <c r="R71" s="61"/>
      <c r="S71" s="61"/>
      <c r="T71" s="61"/>
      <c r="U71" s="61"/>
      <c r="V71" s="61"/>
      <c r="W71" s="61"/>
      <c r="X71" s="61"/>
    </row>
    <row r="72">
      <c r="A72" s="61"/>
      <c r="B72" s="61"/>
      <c r="C72" s="61"/>
      <c r="D72" s="61"/>
      <c r="E72" s="61"/>
      <c r="F72" s="61"/>
      <c r="G72" s="61"/>
      <c r="H72" s="61"/>
      <c r="I72" s="61"/>
      <c r="J72" s="61"/>
      <c r="K72" s="61"/>
      <c r="L72" s="61"/>
      <c r="M72" s="61"/>
      <c r="N72" s="61"/>
      <c r="O72" s="61"/>
      <c r="P72" s="61"/>
      <c r="Q72" s="61"/>
      <c r="R72" s="61"/>
      <c r="S72" s="61"/>
      <c r="T72" s="61"/>
      <c r="U72" s="61"/>
      <c r="V72" s="61"/>
      <c r="W72" s="61"/>
      <c r="X72" s="61"/>
    </row>
    <row r="73">
      <c r="A73" s="61"/>
      <c r="B73" s="61"/>
      <c r="C73" s="61"/>
      <c r="D73" s="61"/>
      <c r="E73" s="61"/>
      <c r="F73" s="61"/>
      <c r="G73" s="61"/>
      <c r="H73" s="61"/>
      <c r="I73" s="61"/>
      <c r="J73" s="61"/>
      <c r="K73" s="61"/>
      <c r="L73" s="61"/>
      <c r="M73" s="61"/>
      <c r="N73" s="61"/>
      <c r="O73" s="61"/>
      <c r="P73" s="61"/>
      <c r="Q73" s="61"/>
      <c r="R73" s="61"/>
      <c r="S73" s="61"/>
      <c r="T73" s="61"/>
      <c r="U73" s="61"/>
      <c r="V73" s="61"/>
      <c r="W73" s="61"/>
      <c r="X73" s="61"/>
    </row>
    <row r="74">
      <c r="A74" s="61"/>
      <c r="B74" s="61"/>
      <c r="C74" s="61"/>
      <c r="D74" s="61"/>
      <c r="E74" s="61"/>
      <c r="F74" s="61"/>
      <c r="G74" s="61"/>
      <c r="H74" s="61"/>
      <c r="I74" s="61"/>
      <c r="J74" s="61"/>
      <c r="K74" s="61"/>
      <c r="L74" s="61"/>
      <c r="M74" s="61"/>
      <c r="N74" s="61"/>
      <c r="O74" s="61"/>
      <c r="P74" s="61"/>
      <c r="Q74" s="61"/>
      <c r="R74" s="61"/>
      <c r="S74" s="61"/>
      <c r="T74" s="61"/>
      <c r="U74" s="61"/>
      <c r="V74" s="61"/>
      <c r="W74" s="61"/>
      <c r="X74" s="61"/>
    </row>
    <row r="75">
      <c r="A75" s="61"/>
      <c r="B75" s="61"/>
      <c r="C75" s="61"/>
      <c r="D75" s="61"/>
      <c r="E75" s="61"/>
      <c r="F75" s="61"/>
      <c r="G75" s="61"/>
      <c r="H75" s="61"/>
      <c r="I75" s="61"/>
      <c r="J75" s="61"/>
      <c r="K75" s="61"/>
      <c r="L75" s="61"/>
      <c r="M75" s="61"/>
      <c r="N75" s="61"/>
      <c r="O75" s="61"/>
      <c r="P75" s="61"/>
      <c r="Q75" s="61"/>
      <c r="R75" s="61"/>
      <c r="S75" s="61"/>
      <c r="T75" s="61"/>
      <c r="U75" s="61"/>
      <c r="V75" s="61"/>
      <c r="W75" s="61"/>
      <c r="X75" s="61"/>
    </row>
    <row r="76">
      <c r="A76" s="61"/>
      <c r="B76" s="61"/>
      <c r="C76" s="61"/>
      <c r="D76" s="61"/>
      <c r="E76" s="61"/>
      <c r="F76" s="61"/>
      <c r="G76" s="61"/>
      <c r="H76" s="61"/>
      <c r="I76" s="61"/>
      <c r="J76" s="61"/>
      <c r="K76" s="61"/>
      <c r="L76" s="61"/>
      <c r="M76" s="61"/>
      <c r="N76" s="61"/>
      <c r="O76" s="61"/>
      <c r="P76" s="61"/>
      <c r="Q76" s="61"/>
      <c r="R76" s="61"/>
      <c r="S76" s="61"/>
      <c r="T76" s="61"/>
      <c r="U76" s="61"/>
      <c r="V76" s="61"/>
      <c r="W76" s="61"/>
      <c r="X76" s="61"/>
    </row>
    <row r="77">
      <c r="A77" s="61"/>
      <c r="B77" s="61"/>
      <c r="C77" s="61"/>
      <c r="D77" s="61"/>
      <c r="E77" s="61"/>
      <c r="F77" s="61"/>
      <c r="G77" s="61"/>
      <c r="H77" s="61"/>
      <c r="I77" s="61"/>
      <c r="J77" s="61"/>
      <c r="K77" s="61"/>
      <c r="L77" s="61"/>
      <c r="M77" s="61"/>
      <c r="N77" s="61"/>
      <c r="O77" s="61"/>
      <c r="P77" s="61"/>
      <c r="Q77" s="61"/>
      <c r="R77" s="61"/>
      <c r="S77" s="61"/>
      <c r="T77" s="61"/>
      <c r="U77" s="61"/>
      <c r="V77" s="61"/>
      <c r="W77" s="61"/>
      <c r="X77" s="61"/>
    </row>
    <row r="78">
      <c r="A78" s="61"/>
      <c r="B78" s="61"/>
      <c r="C78" s="61"/>
      <c r="D78" s="61"/>
      <c r="E78" s="61"/>
      <c r="F78" s="61"/>
      <c r="G78" s="61"/>
      <c r="H78" s="61"/>
      <c r="I78" s="61"/>
      <c r="J78" s="61"/>
      <c r="K78" s="61"/>
      <c r="L78" s="61"/>
      <c r="M78" s="61"/>
      <c r="N78" s="61"/>
      <c r="O78" s="61"/>
      <c r="P78" s="61"/>
      <c r="Q78" s="61"/>
      <c r="R78" s="61"/>
      <c r="S78" s="61"/>
      <c r="T78" s="61"/>
      <c r="U78" s="61"/>
      <c r="V78" s="61"/>
      <c r="W78" s="61"/>
      <c r="X78" s="61"/>
    </row>
    <row r="79">
      <c r="A79" s="61"/>
      <c r="B79" s="61"/>
      <c r="C79" s="61"/>
      <c r="D79" s="61"/>
      <c r="E79" s="61"/>
      <c r="F79" s="61"/>
      <c r="G79" s="61"/>
      <c r="H79" s="61"/>
      <c r="I79" s="61"/>
      <c r="J79" s="61"/>
      <c r="K79" s="61"/>
      <c r="L79" s="61"/>
      <c r="M79" s="61"/>
      <c r="N79" s="61"/>
      <c r="O79" s="61"/>
      <c r="P79" s="61"/>
      <c r="Q79" s="61"/>
      <c r="R79" s="61"/>
      <c r="S79" s="61"/>
      <c r="T79" s="61"/>
      <c r="U79" s="61"/>
      <c r="V79" s="61"/>
      <c r="W79" s="61"/>
      <c r="X79" s="61"/>
    </row>
    <row r="80">
      <c r="A80" s="61"/>
      <c r="B80" s="61"/>
      <c r="C80" s="61"/>
      <c r="D80" s="61"/>
      <c r="E80" s="61"/>
      <c r="F80" s="61"/>
      <c r="G80" s="61"/>
      <c r="H80" s="61"/>
      <c r="I80" s="61"/>
      <c r="J80" s="61"/>
      <c r="K80" s="61"/>
      <c r="L80" s="61"/>
      <c r="M80" s="61"/>
      <c r="N80" s="61"/>
      <c r="O80" s="61"/>
      <c r="P80" s="61"/>
      <c r="Q80" s="61"/>
      <c r="R80" s="61"/>
      <c r="S80" s="61"/>
      <c r="T80" s="61"/>
      <c r="U80" s="61"/>
      <c r="V80" s="61"/>
      <c r="W80" s="61"/>
      <c r="X80" s="61"/>
    </row>
    <row r="81">
      <c r="A81" s="61"/>
      <c r="B81" s="61"/>
      <c r="C81" s="61"/>
      <c r="D81" s="61"/>
      <c r="E81" s="61"/>
      <c r="F81" s="61"/>
      <c r="G81" s="61"/>
      <c r="H81" s="61"/>
      <c r="I81" s="61"/>
      <c r="J81" s="61"/>
      <c r="K81" s="61"/>
      <c r="L81" s="61"/>
      <c r="M81" s="61"/>
      <c r="N81" s="61"/>
      <c r="O81" s="61"/>
      <c r="P81" s="61"/>
      <c r="Q81" s="61"/>
      <c r="R81" s="61"/>
      <c r="S81" s="61"/>
      <c r="T81" s="61"/>
      <c r="U81" s="61"/>
      <c r="V81" s="61"/>
      <c r="W81" s="61"/>
      <c r="X81" s="61"/>
    </row>
    <row r="82">
      <c r="A82" s="61"/>
      <c r="B82" s="61"/>
      <c r="C82" s="61"/>
      <c r="D82" s="61"/>
      <c r="E82" s="61"/>
      <c r="F82" s="61"/>
      <c r="G82" s="61"/>
      <c r="H82" s="61"/>
      <c r="I82" s="61"/>
      <c r="J82" s="61"/>
      <c r="K82" s="61"/>
      <c r="L82" s="61"/>
      <c r="M82" s="61"/>
      <c r="N82" s="61"/>
      <c r="O82" s="61"/>
      <c r="P82" s="61"/>
      <c r="Q82" s="61"/>
      <c r="R82" s="61"/>
      <c r="S82" s="61"/>
      <c r="T82" s="61"/>
      <c r="U82" s="61"/>
      <c r="V82" s="61"/>
      <c r="W82" s="61"/>
      <c r="X82" s="61"/>
    </row>
    <row r="83">
      <c r="A83" s="61"/>
      <c r="B83" s="61"/>
      <c r="C83" s="61"/>
      <c r="D83" s="61"/>
      <c r="E83" s="61"/>
      <c r="F83" s="61"/>
      <c r="G83" s="61"/>
      <c r="H83" s="61"/>
      <c r="I83" s="61"/>
      <c r="J83" s="61"/>
      <c r="K83" s="61"/>
      <c r="L83" s="61"/>
      <c r="M83" s="61"/>
      <c r="N83" s="61"/>
      <c r="O83" s="61"/>
      <c r="P83" s="61"/>
      <c r="Q83" s="61"/>
      <c r="R83" s="61"/>
      <c r="S83" s="61"/>
      <c r="T83" s="61"/>
      <c r="U83" s="61"/>
      <c r="V83" s="61"/>
      <c r="W83" s="61"/>
      <c r="X83" s="61"/>
    </row>
    <row r="84">
      <c r="A84" s="61"/>
      <c r="B84" s="61"/>
      <c r="C84" s="61"/>
      <c r="D84" s="61"/>
      <c r="E84" s="61"/>
      <c r="F84" s="61"/>
      <c r="G84" s="61"/>
      <c r="H84" s="61"/>
      <c r="I84" s="61"/>
      <c r="J84" s="61"/>
      <c r="K84" s="61"/>
      <c r="L84" s="61"/>
      <c r="M84" s="61"/>
      <c r="N84" s="61"/>
      <c r="O84" s="61"/>
      <c r="P84" s="61"/>
      <c r="Q84" s="61"/>
      <c r="R84" s="61"/>
      <c r="S84" s="61"/>
      <c r="T84" s="61"/>
      <c r="U84" s="61"/>
      <c r="V84" s="61"/>
      <c r="W84" s="61"/>
      <c r="X84" s="61"/>
    </row>
    <row r="85">
      <c r="A85" s="61"/>
      <c r="B85" s="61"/>
      <c r="C85" s="61"/>
      <c r="D85" s="61"/>
      <c r="E85" s="61"/>
      <c r="F85" s="61"/>
      <c r="G85" s="61"/>
      <c r="H85" s="61"/>
      <c r="I85" s="61"/>
      <c r="J85" s="61"/>
      <c r="K85" s="61"/>
      <c r="L85" s="61"/>
      <c r="M85" s="61"/>
      <c r="N85" s="61"/>
      <c r="O85" s="61"/>
      <c r="P85" s="61"/>
      <c r="Q85" s="61"/>
      <c r="R85" s="61"/>
      <c r="S85" s="61"/>
      <c r="T85" s="61"/>
      <c r="U85" s="61"/>
      <c r="V85" s="61"/>
      <c r="W85" s="61"/>
      <c r="X85" s="61"/>
    </row>
    <row r="86">
      <c r="A86" s="61"/>
      <c r="B86" s="61"/>
      <c r="C86" s="61"/>
      <c r="D86" s="61"/>
      <c r="E86" s="61"/>
      <c r="F86" s="61"/>
      <c r="G86" s="61"/>
      <c r="H86" s="61"/>
      <c r="I86" s="61"/>
      <c r="J86" s="61"/>
      <c r="K86" s="61"/>
      <c r="L86" s="61"/>
      <c r="M86" s="61"/>
      <c r="N86" s="61"/>
      <c r="O86" s="61"/>
      <c r="P86" s="61"/>
      <c r="Q86" s="61"/>
      <c r="R86" s="61"/>
      <c r="S86" s="61"/>
      <c r="T86" s="61"/>
      <c r="U86" s="61"/>
      <c r="V86" s="61"/>
      <c r="W86" s="61"/>
      <c r="X86" s="61"/>
    </row>
    <row r="87">
      <c r="A87" s="61"/>
      <c r="B87" s="61"/>
      <c r="C87" s="61"/>
      <c r="D87" s="61"/>
      <c r="E87" s="61"/>
      <c r="F87" s="61"/>
      <c r="G87" s="61"/>
      <c r="H87" s="61"/>
      <c r="I87" s="61"/>
      <c r="J87" s="61"/>
      <c r="K87" s="61"/>
      <c r="L87" s="61"/>
      <c r="M87" s="61"/>
      <c r="N87" s="61"/>
      <c r="O87" s="61"/>
      <c r="P87" s="61"/>
      <c r="Q87" s="61"/>
      <c r="R87" s="61"/>
      <c r="S87" s="61"/>
      <c r="T87" s="61"/>
      <c r="U87" s="61"/>
      <c r="V87" s="61"/>
      <c r="W87" s="61"/>
      <c r="X87" s="61"/>
    </row>
    <row r="88">
      <c r="A88" s="61"/>
      <c r="B88" s="61"/>
      <c r="C88" s="61"/>
      <c r="D88" s="61"/>
      <c r="E88" s="61"/>
      <c r="F88" s="61"/>
      <c r="G88" s="61"/>
      <c r="H88" s="61"/>
      <c r="I88" s="61"/>
      <c r="J88" s="61"/>
      <c r="K88" s="61"/>
      <c r="L88" s="61"/>
      <c r="M88" s="61"/>
      <c r="N88" s="61"/>
      <c r="O88" s="61"/>
      <c r="P88" s="61"/>
      <c r="Q88" s="61"/>
      <c r="R88" s="61"/>
      <c r="S88" s="61"/>
      <c r="T88" s="61"/>
      <c r="U88" s="61"/>
      <c r="V88" s="61"/>
      <c r="W88" s="61"/>
      <c r="X88" s="61"/>
    </row>
    <row r="89">
      <c r="A89" s="61"/>
      <c r="B89" s="61"/>
      <c r="C89" s="61"/>
      <c r="D89" s="61"/>
      <c r="E89" s="61"/>
      <c r="F89" s="61"/>
      <c r="G89" s="61"/>
      <c r="H89" s="61"/>
      <c r="I89" s="61"/>
      <c r="J89" s="61"/>
      <c r="K89" s="61"/>
      <c r="L89" s="61"/>
      <c r="M89" s="61"/>
      <c r="N89" s="61"/>
      <c r="O89" s="61"/>
      <c r="P89" s="61"/>
      <c r="Q89" s="61"/>
      <c r="R89" s="61"/>
      <c r="S89" s="61"/>
      <c r="T89" s="61"/>
      <c r="U89" s="61"/>
      <c r="V89" s="61"/>
      <c r="W89" s="61"/>
      <c r="X89" s="61"/>
    </row>
    <row r="90">
      <c r="A90" s="61"/>
      <c r="B90" s="61"/>
      <c r="C90" s="61"/>
      <c r="D90" s="61"/>
      <c r="E90" s="61"/>
      <c r="F90" s="61"/>
      <c r="G90" s="61"/>
      <c r="H90" s="61"/>
      <c r="I90" s="61"/>
      <c r="J90" s="61"/>
      <c r="K90" s="61"/>
      <c r="L90" s="61"/>
      <c r="M90" s="61"/>
      <c r="N90" s="61"/>
      <c r="O90" s="61"/>
      <c r="P90" s="61"/>
      <c r="Q90" s="61"/>
      <c r="R90" s="61"/>
      <c r="S90" s="61"/>
      <c r="T90" s="61"/>
      <c r="U90" s="61"/>
      <c r="V90" s="61"/>
      <c r="W90" s="61"/>
      <c r="X90" s="61"/>
    </row>
    <row r="91">
      <c r="A91" s="61"/>
      <c r="B91" s="61"/>
      <c r="C91" s="61"/>
      <c r="D91" s="61"/>
      <c r="E91" s="61"/>
      <c r="F91" s="61"/>
      <c r="G91" s="61"/>
      <c r="H91" s="61"/>
      <c r="I91" s="61"/>
      <c r="J91" s="61"/>
      <c r="K91" s="61"/>
      <c r="L91" s="61"/>
      <c r="M91" s="61"/>
      <c r="N91" s="61"/>
      <c r="O91" s="61"/>
      <c r="P91" s="61"/>
      <c r="Q91" s="61"/>
      <c r="R91" s="61"/>
      <c r="S91" s="61"/>
      <c r="T91" s="61"/>
      <c r="U91" s="61"/>
      <c r="V91" s="61"/>
      <c r="W91" s="61"/>
      <c r="X91" s="61"/>
    </row>
    <row r="92">
      <c r="A92" s="61"/>
      <c r="B92" s="61"/>
      <c r="C92" s="61"/>
      <c r="D92" s="61"/>
      <c r="E92" s="61"/>
      <c r="F92" s="61"/>
      <c r="G92" s="61"/>
      <c r="H92" s="61"/>
      <c r="I92" s="61"/>
      <c r="J92" s="61"/>
      <c r="K92" s="61"/>
      <c r="L92" s="61"/>
      <c r="M92" s="61"/>
      <c r="N92" s="61"/>
      <c r="O92" s="61"/>
      <c r="P92" s="61"/>
      <c r="Q92" s="61"/>
      <c r="R92" s="61"/>
      <c r="S92" s="61"/>
      <c r="T92" s="61"/>
      <c r="U92" s="61"/>
      <c r="V92" s="61"/>
      <c r="W92" s="61"/>
      <c r="X92" s="61"/>
    </row>
    <row r="93">
      <c r="A93" s="61"/>
      <c r="B93" s="61"/>
      <c r="C93" s="61"/>
      <c r="D93" s="61"/>
      <c r="E93" s="61"/>
      <c r="F93" s="61"/>
      <c r="G93" s="61"/>
      <c r="H93" s="61"/>
      <c r="I93" s="61"/>
      <c r="J93" s="61"/>
      <c r="K93" s="61"/>
      <c r="L93" s="61"/>
      <c r="M93" s="61"/>
      <c r="N93" s="61"/>
      <c r="O93" s="61"/>
      <c r="P93" s="61"/>
      <c r="Q93" s="61"/>
      <c r="R93" s="61"/>
      <c r="S93" s="61"/>
      <c r="T93" s="61"/>
      <c r="U93" s="61"/>
      <c r="V93" s="61"/>
      <c r="W93" s="61"/>
      <c r="X93" s="61"/>
    </row>
    <row r="94">
      <c r="A94" s="61"/>
      <c r="B94" s="61"/>
      <c r="C94" s="61"/>
      <c r="D94" s="61"/>
      <c r="E94" s="61"/>
      <c r="F94" s="61"/>
      <c r="G94" s="61"/>
      <c r="H94" s="61"/>
      <c r="I94" s="61"/>
      <c r="J94" s="61"/>
      <c r="K94" s="61"/>
      <c r="L94" s="61"/>
      <c r="M94" s="61"/>
      <c r="N94" s="61"/>
      <c r="O94" s="61"/>
      <c r="P94" s="61"/>
      <c r="Q94" s="61"/>
      <c r="R94" s="61"/>
      <c r="S94" s="61"/>
      <c r="T94" s="61"/>
      <c r="U94" s="61"/>
      <c r="V94" s="61"/>
      <c r="W94" s="61"/>
      <c r="X94" s="61"/>
    </row>
    <row r="95">
      <c r="A95" s="61"/>
      <c r="B95" s="61"/>
      <c r="C95" s="61"/>
      <c r="D95" s="61"/>
      <c r="E95" s="61"/>
      <c r="F95" s="61"/>
      <c r="G95" s="61"/>
      <c r="H95" s="61"/>
      <c r="I95" s="61"/>
      <c r="J95" s="61"/>
      <c r="K95" s="61"/>
      <c r="L95" s="61"/>
      <c r="M95" s="61"/>
      <c r="N95" s="61"/>
      <c r="O95" s="61"/>
      <c r="P95" s="61"/>
      <c r="Q95" s="61"/>
      <c r="R95" s="61"/>
      <c r="S95" s="61"/>
      <c r="T95" s="61"/>
      <c r="U95" s="61"/>
      <c r="V95" s="61"/>
      <c r="W95" s="61"/>
      <c r="X95" s="61"/>
    </row>
    <row r="96">
      <c r="A96" s="61"/>
      <c r="B96" s="61"/>
      <c r="C96" s="61"/>
      <c r="D96" s="61"/>
      <c r="E96" s="61"/>
      <c r="F96" s="61"/>
      <c r="G96" s="61"/>
      <c r="H96" s="61"/>
      <c r="I96" s="61"/>
      <c r="J96" s="61"/>
      <c r="K96" s="61"/>
      <c r="L96" s="61"/>
      <c r="M96" s="61"/>
      <c r="N96" s="61"/>
      <c r="O96" s="61"/>
      <c r="P96" s="61"/>
      <c r="Q96" s="61"/>
      <c r="R96" s="61"/>
      <c r="S96" s="61"/>
      <c r="T96" s="61"/>
      <c r="U96" s="61"/>
      <c r="V96" s="61"/>
      <c r="W96" s="61"/>
      <c r="X96" s="61"/>
    </row>
    <row r="97">
      <c r="A97" s="61"/>
      <c r="B97" s="61"/>
      <c r="C97" s="61"/>
      <c r="D97" s="61"/>
      <c r="E97" s="61"/>
      <c r="F97" s="61"/>
      <c r="G97" s="61"/>
      <c r="H97" s="61"/>
      <c r="I97" s="61"/>
      <c r="J97" s="61"/>
      <c r="K97" s="61"/>
      <c r="L97" s="61"/>
      <c r="M97" s="61"/>
      <c r="N97" s="61"/>
      <c r="O97" s="61"/>
      <c r="P97" s="61"/>
      <c r="Q97" s="61"/>
      <c r="R97" s="61"/>
      <c r="S97" s="61"/>
      <c r="T97" s="61"/>
      <c r="U97" s="61"/>
      <c r="V97" s="61"/>
      <c r="W97" s="61"/>
      <c r="X97" s="61"/>
    </row>
    <row r="98">
      <c r="A98" s="61"/>
      <c r="B98" s="61"/>
      <c r="C98" s="61"/>
      <c r="D98" s="61"/>
      <c r="E98" s="61"/>
      <c r="F98" s="61"/>
      <c r="G98" s="61"/>
      <c r="H98" s="61"/>
      <c r="I98" s="61"/>
      <c r="J98" s="61"/>
      <c r="K98" s="61"/>
      <c r="L98" s="61"/>
      <c r="M98" s="61"/>
      <c r="N98" s="61"/>
      <c r="O98" s="61"/>
      <c r="P98" s="61"/>
      <c r="Q98" s="61"/>
      <c r="R98" s="61"/>
      <c r="S98" s="61"/>
      <c r="T98" s="61"/>
      <c r="U98" s="61"/>
      <c r="V98" s="61"/>
      <c r="W98" s="61"/>
      <c r="X98" s="61"/>
    </row>
    <row r="99">
      <c r="A99" s="61"/>
      <c r="B99" s="61"/>
      <c r="C99" s="61"/>
      <c r="D99" s="61"/>
      <c r="E99" s="61"/>
      <c r="F99" s="61"/>
      <c r="G99" s="61"/>
      <c r="H99" s="61"/>
      <c r="I99" s="61"/>
      <c r="J99" s="61"/>
      <c r="K99" s="61"/>
      <c r="L99" s="61"/>
      <c r="M99" s="61"/>
      <c r="N99" s="61"/>
      <c r="O99" s="61"/>
      <c r="P99" s="61"/>
      <c r="Q99" s="61"/>
      <c r="R99" s="61"/>
      <c r="S99" s="61"/>
      <c r="T99" s="61"/>
      <c r="U99" s="61"/>
      <c r="V99" s="61"/>
      <c r="W99" s="61"/>
      <c r="X99" s="61"/>
    </row>
    <row r="100">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row>
    <row r="101">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row>
    <row r="102">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row>
    <row r="103">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row>
    <row r="104">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row>
    <row r="10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row>
    <row r="106">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row>
    <row r="107">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row>
    <row r="108">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row>
    <row r="109">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row>
    <row r="110">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row>
    <row r="111">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row>
    <row r="112">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row>
    <row r="113">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row>
    <row r="114">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row>
    <row r="11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row>
    <row r="116">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row>
    <row r="117">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row>
    <row r="118">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row>
    <row r="119">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row>
    <row r="120">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row>
    <row r="121">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row>
    <row r="122">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row>
    <row r="123">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row>
    <row r="124">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row>
    <row r="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row>
    <row r="126">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row>
    <row r="127">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row>
    <row r="128">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row>
    <row r="129">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row>
    <row r="130">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row>
    <row r="131">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row>
    <row r="132">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row>
    <row r="133">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row>
    <row r="134">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row>
    <row r="13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row>
    <row r="136">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row>
    <row r="137">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row>
    <row r="138">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row>
    <row r="139">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row>
    <row r="140">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row>
    <row r="141">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row>
    <row r="142">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row>
    <row r="143">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row>
    <row r="144">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row>
    <row r="14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row>
    <row r="146">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row>
    <row r="147">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row>
    <row r="148">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row>
    <row r="149">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row>
    <row r="150">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row>
    <row r="151">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row>
    <row r="152">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row>
    <row r="153">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row>
    <row r="154">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row>
    <row r="15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row>
    <row r="156">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row>
    <row r="157">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row>
    <row r="158">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row>
    <row r="159">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row>
    <row r="160">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row>
    <row r="161">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row>
    <row r="162">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row>
    <row r="163">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row>
    <row r="164">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row>
    <row r="16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row>
    <row r="166">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row>
    <row r="167">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row>
    <row r="168">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row>
    <row r="169">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row>
    <row r="170">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row>
    <row r="171">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row>
    <row r="172">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row>
    <row r="173">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row>
    <row r="174">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row>
    <row r="17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row>
    <row r="176">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row>
    <row r="177">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row>
    <row r="178">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row>
    <row r="179">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row>
    <row r="180">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row>
    <row r="181">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row>
    <row r="182">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row>
    <row r="183">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row>
    <row r="184">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row>
    <row r="18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row>
    <row r="186">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row>
    <row r="187">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row>
    <row r="188">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row>
    <row r="189">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row>
    <row r="190">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row>
    <row r="191">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row>
    <row r="192">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row>
    <row r="193">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row>
    <row r="194">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row>
    <row r="19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row>
    <row r="196">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row>
    <row r="197">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row>
    <row r="198">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row>
    <row r="199">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row>
    <row r="200">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row>
    <row r="201">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row>
    <row r="202">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row>
    <row r="203">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row>
    <row r="204">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row>
    <row r="20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row>
    <row r="206">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row>
    <row r="207">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row>
    <row r="208">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row>
    <row r="209">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row>
    <row r="210">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row>
    <row r="211">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row>
    <row r="212">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row>
    <row r="213">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row>
    <row r="214">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row>
    <row r="21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row>
    <row r="216">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row>
    <row r="217">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row>
    <row r="218">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row>
    <row r="219">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row>
    <row r="220">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row>
    <row r="221">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row>
    <row r="222">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row>
    <row r="223">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row>
    <row r="224">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row>
    <row r="2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row>
    <row r="226">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row>
    <row r="227">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row>
    <row r="228">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row>
    <row r="229">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row>
    <row r="230">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row>
    <row r="231">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row>
    <row r="232">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row>
    <row r="233">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row>
    <row r="234">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row>
    <row r="23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row>
    <row r="236">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row>
    <row r="237">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row>
    <row r="238">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row>
    <row r="239">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row>
    <row r="240">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row>
    <row r="241">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row>
    <row r="242">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row>
    <row r="243">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row>
    <row r="244">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row>
    <row r="24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row>
    <row r="246">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row>
    <row r="247">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row>
    <row r="248">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row>
    <row r="249">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row>
    <row r="250">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row>
    <row r="251">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row>
    <row r="252">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row>
    <row r="253">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row>
    <row r="254">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row>
    <row r="25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row>
    <row r="256">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row>
    <row r="257">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row>
    <row r="258">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row>
    <row r="259">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row>
    <row r="260">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row>
    <row r="261">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row>
    <row r="262">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row>
    <row r="263">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row>
    <row r="264">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row>
    <row r="26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row>
    <row r="266">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row>
    <row r="267">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row>
    <row r="268">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row>
    <row r="269">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row>
    <row r="270">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row>
    <row r="271">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row>
    <row r="272">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row>
    <row r="273">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row>
    <row r="274">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row>
    <row r="27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row>
    <row r="276">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row>
    <row r="277">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row>
    <row r="278">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row>
    <row r="279">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row>
    <row r="280">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row>
    <row r="281">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row>
    <row r="282">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row>
    <row r="283">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row>
    <row r="284">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row>
    <row r="28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row>
    <row r="286">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row>
    <row r="287">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row>
    <row r="288">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row>
    <row r="289">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row>
    <row r="290">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row>
    <row r="291">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row>
    <row r="292">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row>
    <row r="293">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row>
    <row r="294">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row>
    <row r="29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row>
    <row r="296">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row>
    <row r="297">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row>
    <row r="298">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row>
    <row r="299">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row>
    <row r="300">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row>
    <row r="301">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row>
    <row r="302">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row>
    <row r="303">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row>
    <row r="304">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row>
    <row r="30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row>
    <row r="306">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row>
    <row r="307">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row>
    <row r="308">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row>
    <row r="309">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row>
    <row r="310">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row>
    <row r="311">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row>
    <row r="312">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row>
    <row r="313">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row>
    <row r="314">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row>
    <row r="31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row>
    <row r="316">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row>
    <row r="317">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row>
    <row r="318">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row>
    <row r="319">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row>
    <row r="320">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row>
    <row r="321">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row>
    <row r="322">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row>
    <row r="323">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row>
    <row r="324">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row>
    <row r="3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row>
    <row r="326">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row>
    <row r="327">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row>
    <row r="328">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row>
    <row r="329">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row>
    <row r="330">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row>
    <row r="331">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row>
    <row r="332">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row>
    <row r="333">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row>
    <row r="334">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row>
    <row r="33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row>
    <row r="336">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row>
    <row r="337">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row>
    <row r="338">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row>
    <row r="339">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row>
    <row r="340">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row>
    <row r="341">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row>
    <row r="342">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row>
    <row r="343">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row>
    <row r="344">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row>
    <row r="34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row>
    <row r="346">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row>
    <row r="347">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row>
    <row r="348">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row>
    <row r="349">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row>
    <row r="350">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row>
    <row r="351">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row>
    <row r="352">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row>
    <row r="353">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row>
    <row r="354">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row>
    <row r="35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row>
    <row r="356">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row>
    <row r="357">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row>
    <row r="358">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row>
    <row r="359">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row>
    <row r="360">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row>
    <row r="361">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row>
    <row r="362">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row>
    <row r="363">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row>
    <row r="364">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row>
    <row r="36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row>
    <row r="366">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row>
    <row r="367">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row>
    <row r="368">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row>
    <row r="369">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row>
    <row r="370">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row>
    <row r="371">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row>
    <row r="372">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row>
    <row r="373">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row>
    <row r="374">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row>
    <row r="37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row>
    <row r="376">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row>
    <row r="377">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row>
    <row r="378">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row>
    <row r="379">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row>
    <row r="380">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row>
    <row r="381">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row>
    <row r="382">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row>
    <row r="383">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row>
    <row r="384">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row>
    <row r="38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row>
    <row r="386">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row>
    <row r="387">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row>
    <row r="388">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row>
    <row r="389">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row>
    <row r="390">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row>
    <row r="391">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row>
    <row r="392">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row>
    <row r="393">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row>
    <row r="394">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row>
    <row r="39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row>
    <row r="396">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row>
    <row r="397">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row>
    <row r="398">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row>
    <row r="399">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row>
    <row r="400">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row>
    <row r="401">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row>
    <row r="402">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row>
    <row r="403">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row>
    <row r="404">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row>
    <row r="40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row>
    <row r="406">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row>
    <row r="407">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row>
    <row r="408">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row>
    <row r="409">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row>
    <row r="410">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row>
    <row r="411">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row>
    <row r="412">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row>
    <row r="413">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row>
    <row r="414">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row>
    <row r="41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row>
    <row r="416">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row>
    <row r="417">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row>
    <row r="418">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row>
    <row r="419">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row>
    <row r="420">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row>
    <row r="421">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row>
    <row r="422">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row>
    <row r="423">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row>
    <row r="424">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row>
    <row r="4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row>
    <row r="426">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row>
    <row r="427">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row>
    <row r="428">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row>
    <row r="429">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row>
    <row r="430">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row>
    <row r="431">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row>
    <row r="432">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row>
    <row r="433">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row>
    <row r="434">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row>
    <row r="43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row>
    <row r="436">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row>
    <row r="437">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row>
    <row r="438">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row>
    <row r="439">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row>
    <row r="440">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row>
    <row r="441">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row>
    <row r="442">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row>
    <row r="443">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row>
    <row r="444">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row>
    <row r="44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row>
    <row r="446">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row>
    <row r="447">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row>
    <row r="448">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row>
    <row r="449">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row>
    <row r="450">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row>
    <row r="451">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row>
    <row r="452">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row>
    <row r="453">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row>
    <row r="454">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row>
    <row r="45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row>
    <row r="456">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row>
    <row r="457">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row>
    <row r="458">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row>
    <row r="459">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row>
    <row r="460">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row>
    <row r="461">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row>
    <row r="462">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row>
    <row r="463">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row>
    <row r="464">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row>
    <row r="46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row>
    <row r="466">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row>
    <row r="467">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row>
    <row r="468">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row>
    <row r="469">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row>
    <row r="470">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row>
    <row r="471">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row>
    <row r="472">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row>
    <row r="473">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row>
    <row r="474">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row>
    <row r="47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row>
    <row r="476">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row>
    <row r="477">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row>
    <row r="478">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row>
    <row r="479">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row>
    <row r="480">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row>
    <row r="481">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row>
    <row r="482">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row>
    <row r="483">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row>
    <row r="484">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row>
    <row r="48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row>
    <row r="486">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row>
    <row r="487">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row>
    <row r="488">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row>
    <row r="489">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row>
    <row r="490">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row>
    <row r="491">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row>
    <row r="492">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row>
    <row r="493">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row>
    <row r="494">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row>
    <row r="49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row>
    <row r="496">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row>
    <row r="497">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row>
    <row r="498">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row>
    <row r="499">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row>
    <row r="500">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row>
    <row r="501">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row>
    <row r="502">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row>
    <row r="503">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row>
    <row r="504">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row>
    <row r="50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row>
    <row r="506">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row>
    <row r="507">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row>
    <row r="508">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row>
    <row r="509">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row>
    <row r="510">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row>
    <row r="511">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row>
    <row r="512">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row>
    <row r="513">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row>
    <row r="514">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row>
    <row r="51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row>
    <row r="516">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row>
    <row r="517">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row>
    <row r="518">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row>
    <row r="519">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row>
    <row r="520">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row>
    <row r="521">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row>
    <row r="522">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row>
    <row r="523">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row>
    <row r="524">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row>
    <row r="5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row>
    <row r="526">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row>
    <row r="527">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row>
    <row r="528">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row>
    <row r="529">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row>
    <row r="530">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row>
    <row r="531">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row>
    <row r="532">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row>
    <row r="533">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row>
    <row r="534">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row>
    <row r="53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row>
    <row r="536">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row>
    <row r="537">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row>
    <row r="538">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row>
    <row r="539">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row>
    <row r="540">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row>
    <row r="541">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row>
    <row r="542">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row>
    <row r="543">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row>
    <row r="544">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row>
    <row r="54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row>
    <row r="546">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row>
    <row r="547">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row>
    <row r="548">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row>
    <row r="549">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row>
    <row r="550">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row>
    <row r="551">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row>
    <row r="552">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row>
    <row r="553">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row>
    <row r="554">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row>
    <row r="55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row>
    <row r="556">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row>
    <row r="557">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row>
    <row r="558">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row>
    <row r="559">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row>
    <row r="560">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row>
    <row r="561">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row>
    <row r="562">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row>
    <row r="563">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row>
    <row r="564">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row>
    <row r="56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row>
    <row r="566">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row>
    <row r="567">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row>
    <row r="568">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row>
    <row r="569">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row>
    <row r="570">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row>
    <row r="571">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row>
    <row r="572">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row>
    <row r="573">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row>
    <row r="574">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row>
    <row r="57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row>
    <row r="576">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row>
    <row r="577">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row>
    <row r="578">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row>
    <row r="579">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row>
    <row r="580">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row>
    <row r="581">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row>
    <row r="582">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row>
    <row r="583">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row>
    <row r="584">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row>
    <row r="58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row>
    <row r="586">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row>
    <row r="587">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row>
    <row r="588">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row>
    <row r="589">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row>
    <row r="590">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row>
    <row r="591">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row>
    <row r="592">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row>
    <row r="593">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row>
    <row r="594">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row>
    <row r="59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row>
    <row r="596">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row>
    <row r="597">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row>
    <row r="598">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row>
    <row r="599">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row>
    <row r="600">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row>
    <row r="601">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row>
    <row r="602">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row>
    <row r="603">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row>
    <row r="604">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row>
    <row r="60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row>
    <row r="606">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row>
    <row r="607">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row>
    <row r="608">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row>
    <row r="609">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row>
    <row r="610">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row>
    <row r="611">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row>
    <row r="612">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row>
    <row r="613">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row>
    <row r="614">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row>
    <row r="61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row>
    <row r="616">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row>
    <row r="617">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row>
    <row r="618">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row>
    <row r="619">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row>
    <row r="620">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row>
    <row r="621">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row>
    <row r="622">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row>
    <row r="623">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row>
    <row r="624">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row>
    <row r="6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row>
    <row r="626">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row>
    <row r="627">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row>
    <row r="628">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row>
    <row r="629">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row>
    <row r="630">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row>
    <row r="631">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row>
    <row r="632">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row>
    <row r="633">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row>
    <row r="634">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row>
    <row r="63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row>
    <row r="636">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row>
    <row r="637">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row>
    <row r="638">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row>
    <row r="639">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row>
    <row r="640">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row>
    <row r="641">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row>
    <row r="642">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row>
    <row r="643">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row>
    <row r="644">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row>
    <row r="64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row>
    <row r="646">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row>
    <row r="647">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row>
    <row r="648">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row>
    <row r="649">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row>
    <row r="650">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row>
    <row r="651">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row>
    <row r="652">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row>
    <row r="653">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row>
    <row r="654">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row>
    <row r="65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row>
    <row r="656">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row>
    <row r="657">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row>
    <row r="658">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row>
    <row r="659">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row>
    <row r="660">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row>
    <row r="661">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row>
    <row r="662">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row>
    <row r="663">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row>
    <row r="664">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row>
    <row r="66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row>
    <row r="666">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row>
    <row r="667">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row>
    <row r="668">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row>
    <row r="669">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row>
    <row r="670">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row>
    <row r="671">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row>
    <row r="672">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row>
    <row r="673">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row>
    <row r="674">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row>
    <row r="67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row>
    <row r="676">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row>
    <row r="677">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row>
    <row r="678">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row>
    <row r="679">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row>
    <row r="680">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row>
    <row r="681">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row>
    <row r="682">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row>
    <row r="683">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row>
    <row r="684">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row>
    <row r="68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row>
    <row r="686">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row>
    <row r="687">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row>
    <row r="688">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row>
    <row r="689">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row>
    <row r="690">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row>
    <row r="691">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row>
    <row r="692">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row>
    <row r="693">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row>
    <row r="694">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row>
    <row r="69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row>
    <row r="696">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row>
    <row r="697">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row>
    <row r="698">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row>
    <row r="699">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row>
    <row r="700">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row>
    <row r="701">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row>
    <row r="702">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row>
    <row r="703">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row>
    <row r="704">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row>
    <row r="70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row>
    <row r="706">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row>
    <row r="707">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row>
    <row r="708">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row>
    <row r="709">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row>
    <row r="710">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row>
    <row r="711">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row>
    <row r="712">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row>
    <row r="713">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row>
    <row r="714">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row>
    <row r="71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row>
    <row r="716">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row>
    <row r="717">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row>
    <row r="718">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row>
    <row r="719">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row>
    <row r="720">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row>
    <row r="721">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row>
    <row r="722">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row>
    <row r="723">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row>
    <row r="724">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row>
    <row r="7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row>
    <row r="726">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row>
    <row r="727">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row>
    <row r="728">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row>
    <row r="729">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row>
    <row r="730">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row>
    <row r="731">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row>
    <row r="732">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row>
    <row r="733">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row>
    <row r="734">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row>
    <row r="73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row>
    <row r="736">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row>
    <row r="737">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row>
    <row r="738">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row>
    <row r="739">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row>
    <row r="740">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row>
    <row r="741">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row>
    <row r="742">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row>
    <row r="743">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row>
    <row r="744">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row>
    <row r="74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row>
    <row r="746">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row>
    <row r="747">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row>
    <row r="748">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row>
    <row r="749">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row>
    <row r="750">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row>
    <row r="751">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row>
    <row r="752">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row>
    <row r="753">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row>
    <row r="754">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row>
    <row r="75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row>
    <row r="756">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row>
    <row r="757">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row>
    <row r="758">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row>
    <row r="759">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row>
    <row r="760">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row>
    <row r="761">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row>
    <row r="762">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row>
    <row r="763">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row>
    <row r="764">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row>
    <row r="76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row>
    <row r="766">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row>
    <row r="767">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row>
    <row r="768">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row>
    <row r="769">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row>
    <row r="770">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row>
    <row r="771">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row>
    <row r="772">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row>
    <row r="773">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row>
    <row r="774">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row>
    <row r="77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row>
    <row r="776">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row>
    <row r="777">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row>
    <row r="778">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row>
    <row r="779">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row>
    <row r="780">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row>
    <row r="781">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row>
    <row r="782">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row>
    <row r="783">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row>
    <row r="784">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row>
    <row r="78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row>
    <row r="786">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row>
    <row r="787">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row>
    <row r="788">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row>
    <row r="789">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row>
    <row r="790">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row>
    <row r="791">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row>
    <row r="792">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row>
    <row r="793">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row>
    <row r="794">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row>
    <row r="79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row>
    <row r="796">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row>
    <row r="797">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row>
    <row r="798">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row>
    <row r="799">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row>
    <row r="800">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row>
    <row r="801">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row>
    <row r="802">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row>
    <row r="803">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row>
    <row r="804">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row>
    <row r="80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row>
    <row r="806">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row>
    <row r="807">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row>
    <row r="808">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row>
    <row r="809">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row>
    <row r="810">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row>
    <row r="811">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row>
    <row r="812">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row>
    <row r="813">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row>
    <row r="814">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row>
    <row r="81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row>
    <row r="816">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row>
    <row r="817">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row>
    <row r="818">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row>
    <row r="819">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row>
    <row r="820">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row>
    <row r="821">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row>
    <row r="822">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row>
    <row r="823">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row>
    <row r="824">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row>
    <row r="8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row>
    <row r="826">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row>
    <row r="827">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row>
    <row r="828">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row>
    <row r="829">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row>
    <row r="830">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row>
    <row r="831">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row>
    <row r="832">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row>
    <row r="833">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row>
    <row r="834">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row>
    <row r="83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row>
    <row r="836">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row>
    <row r="837">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row>
    <row r="838">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row>
    <row r="839">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row>
    <row r="840">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row>
    <row r="841">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row>
    <row r="842">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row>
    <row r="843">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row>
    <row r="844">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row>
    <row r="84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row>
    <row r="846">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row>
    <row r="847">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row>
    <row r="848">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row>
    <row r="849">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row>
    <row r="850">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row>
    <row r="851">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row>
    <row r="852">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row>
    <row r="853">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row>
    <row r="854">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row>
    <row r="85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row>
    <row r="856">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row>
    <row r="857">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row>
    <row r="858">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row>
    <row r="859">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row>
    <row r="860">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row>
    <row r="861">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row>
    <row r="862">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row>
    <row r="863">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row>
    <row r="864">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row>
    <row r="86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row>
    <row r="866">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row>
    <row r="867">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row>
    <row r="868">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row>
    <row r="869">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row>
    <row r="870">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row>
    <row r="871">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row>
    <row r="872">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row>
    <row r="873">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row>
    <row r="874">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row>
    <row r="87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row>
    <row r="876">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row>
    <row r="877">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row>
    <row r="878">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row>
    <row r="879">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row>
    <row r="880">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row>
    <row r="881">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row>
    <row r="882">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row>
    <row r="883">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row>
    <row r="884">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row>
    <row r="88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row>
    <row r="886">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row>
    <row r="887">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row>
    <row r="888">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row>
    <row r="889">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row>
    <row r="890">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row>
    <row r="891">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row>
    <row r="892">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row>
    <row r="893">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row>
    <row r="894">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row>
    <row r="89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row>
    <row r="896">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row>
    <row r="897">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row>
    <row r="898">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row>
    <row r="899">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row>
    <row r="900">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row>
    <row r="901">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row>
    <row r="902">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row>
    <row r="903">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row>
    <row r="904">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row>
    <row r="90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row>
    <row r="906">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row>
    <row r="907">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row>
    <row r="908">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row>
    <row r="909">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row>
    <row r="910">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row>
    <row r="911">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row>
    <row r="912">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row>
    <row r="913">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row>
    <row r="914">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row>
    <row r="91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row>
    <row r="916">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row>
    <row r="917">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row>
    <row r="918">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row>
    <row r="919">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row>
    <row r="920">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row>
    <row r="921">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row>
    <row r="922">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row>
    <row r="923">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row>
    <row r="924">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row>
    <row r="9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row>
    <row r="926">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row>
    <row r="927">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row>
    <row r="928">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row>
    <row r="929">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row>
    <row r="930">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row>
    <row r="931">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row>
    <row r="932">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row>
    <row r="933">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row>
    <row r="934">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row>
    <row r="93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row>
    <row r="936">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row>
    <row r="937">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row>
    <row r="938">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row>
    <row r="939">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row>
    <row r="940">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row>
    <row r="941">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row>
    <row r="942">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row>
    <row r="943">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row>
    <row r="944">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row>
    <row r="94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row>
    <row r="946">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row>
    <row r="947">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row>
    <row r="948">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row>
    <row r="949">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row>
    <row r="950">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row>
    <row r="951">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row>
    <row r="952">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row>
    <row r="953">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row>
    <row r="954">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row>
    <row r="95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row>
    <row r="956">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row>
    <row r="957">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row>
    <row r="958">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row>
    <row r="959">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row>
    <row r="960">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row>
    <row r="961">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row>
    <row r="962">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row>
    <row r="963">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row>
    <row r="964">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row>
    <row r="96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row>
    <row r="966">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row>
    <row r="967">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row>
    <row r="968">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row>
    <row r="969">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row>
    <row r="970">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row>
    <row r="971">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row>
    <row r="972">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row>
    <row r="973">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row>
    <row r="974">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row>
    <row r="97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row>
    <row r="976">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row>
    <row r="977">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row>
    <row r="978">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row>
    <row r="979">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row>
    <row r="980">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row>
    <row r="981">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row>
    <row r="982">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row>
    <row r="983">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row>
    <row r="984">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row>
    <row r="98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row>
    <row r="986">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row>
    <row r="987">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row>
    <row r="988">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row>
    <row r="989">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row>
    <row r="990">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row>
    <row r="991">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row>
    <row r="992">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row>
    <row r="993">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row>
    <row r="994">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row>
    <row r="99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row>
    <row r="996">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row>
    <row r="997">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row>
    <row r="998">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row>
    <row r="999">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row>
    <row r="2">
      <c r="A2" s="66" t="s">
        <v>313</v>
      </c>
    </row>
    <row r="3">
      <c r="A3" s="61" t="s">
        <v>314</v>
      </c>
    </row>
    <row r="4">
      <c r="A4" s="64" t="s">
        <v>0</v>
      </c>
      <c r="B4" s="64" t="s">
        <v>269</v>
      </c>
      <c r="C4" s="64" t="s">
        <v>270</v>
      </c>
      <c r="D4" s="64" t="s">
        <v>315</v>
      </c>
      <c r="F4" s="64" t="s">
        <v>0</v>
      </c>
      <c r="G4" s="64" t="s">
        <v>269</v>
      </c>
      <c r="H4" s="64" t="s">
        <v>270</v>
      </c>
      <c r="I4" s="64" t="s">
        <v>315</v>
      </c>
    </row>
    <row r="5">
      <c r="A5" s="61" t="s">
        <v>272</v>
      </c>
      <c r="B5" s="61" t="s">
        <v>214</v>
      </c>
      <c r="C5" s="61" t="s">
        <v>274</v>
      </c>
      <c r="D5" s="67">
        <v>25709.0</v>
      </c>
      <c r="F5" s="61" t="s">
        <v>272</v>
      </c>
      <c r="G5" s="61" t="s">
        <v>287</v>
      </c>
      <c r="H5" s="61" t="s">
        <v>316</v>
      </c>
      <c r="I5" s="67">
        <v>25709.0</v>
      </c>
    </row>
    <row r="6">
      <c r="A6" s="61" t="s">
        <v>276</v>
      </c>
      <c r="B6" s="61" t="s">
        <v>278</v>
      </c>
      <c r="C6" s="61" t="s">
        <v>279</v>
      </c>
      <c r="D6" s="67">
        <v>25600.0</v>
      </c>
      <c r="F6" s="61" t="s">
        <v>276</v>
      </c>
      <c r="G6" s="61" t="s">
        <v>287</v>
      </c>
      <c r="H6" s="61" t="s">
        <v>299</v>
      </c>
      <c r="I6" s="67">
        <v>25600.0</v>
      </c>
    </row>
    <row r="7">
      <c r="A7" s="61" t="s">
        <v>281</v>
      </c>
      <c r="B7" s="61" t="s">
        <v>283</v>
      </c>
      <c r="C7" s="61" t="s">
        <v>274</v>
      </c>
      <c r="D7" s="67">
        <v>23500.0</v>
      </c>
      <c r="F7" s="61" t="s">
        <v>281</v>
      </c>
      <c r="G7" s="61" t="s">
        <v>287</v>
      </c>
      <c r="H7" s="61" t="s">
        <v>299</v>
      </c>
      <c r="I7" s="67">
        <v>23500.0</v>
      </c>
    </row>
    <row r="8">
      <c r="A8" s="61" t="s">
        <v>285</v>
      </c>
      <c r="B8" s="61" t="s">
        <v>214</v>
      </c>
      <c r="C8" s="61" t="s">
        <v>274</v>
      </c>
      <c r="D8" s="67">
        <v>26500.0</v>
      </c>
      <c r="F8" s="61" t="s">
        <v>285</v>
      </c>
      <c r="G8" s="61" t="s">
        <v>287</v>
      </c>
      <c r="H8" s="61" t="s">
        <v>317</v>
      </c>
      <c r="I8" s="67">
        <v>26500.0</v>
      </c>
    </row>
    <row r="9">
      <c r="A9" s="61" t="s">
        <v>290</v>
      </c>
      <c r="B9" s="61" t="s">
        <v>287</v>
      </c>
      <c r="C9" s="61" t="s">
        <v>288</v>
      </c>
      <c r="D9" s="67">
        <v>24700.0</v>
      </c>
      <c r="F9" s="61" t="s">
        <v>290</v>
      </c>
      <c r="G9" s="61" t="s">
        <v>287</v>
      </c>
      <c r="H9" s="61" t="s">
        <v>318</v>
      </c>
      <c r="I9" s="67">
        <v>24700.0</v>
      </c>
    </row>
    <row r="10">
      <c r="A10" s="61" t="s">
        <v>294</v>
      </c>
      <c r="B10" s="61" t="s">
        <v>283</v>
      </c>
      <c r="C10" s="61" t="s">
        <v>292</v>
      </c>
      <c r="D10" s="67">
        <v>26500.0</v>
      </c>
      <c r="F10" s="61" t="s">
        <v>294</v>
      </c>
      <c r="G10" s="61" t="s">
        <v>287</v>
      </c>
      <c r="H10" s="61" t="s">
        <v>319</v>
      </c>
      <c r="I10" s="67">
        <v>26500.0</v>
      </c>
    </row>
    <row r="11">
      <c r="A11" s="61" t="s">
        <v>297</v>
      </c>
      <c r="B11" s="61" t="s">
        <v>278</v>
      </c>
      <c r="C11" s="61" t="s">
        <v>274</v>
      </c>
      <c r="D11" s="67">
        <v>30600.0</v>
      </c>
      <c r="F11" s="61" t="s">
        <v>297</v>
      </c>
      <c r="G11" s="61" t="s">
        <v>287</v>
      </c>
      <c r="H11" s="61" t="s">
        <v>320</v>
      </c>
      <c r="I11" s="67">
        <v>30600.0</v>
      </c>
    </row>
    <row r="12">
      <c r="A12" s="61" t="s">
        <v>301</v>
      </c>
      <c r="B12" s="61" t="s">
        <v>283</v>
      </c>
      <c r="C12" s="61" t="s">
        <v>292</v>
      </c>
      <c r="D12" s="67">
        <v>28400.0</v>
      </c>
      <c r="F12" s="61" t="s">
        <v>301</v>
      </c>
      <c r="G12" s="61" t="s">
        <v>287</v>
      </c>
      <c r="H12" s="61" t="s">
        <v>321</v>
      </c>
      <c r="I12" s="67">
        <v>28400.0</v>
      </c>
    </row>
    <row r="13">
      <c r="A13" s="61" t="s">
        <v>304</v>
      </c>
      <c r="B13" s="61" t="s">
        <v>214</v>
      </c>
      <c r="C13" s="61" t="s">
        <v>299</v>
      </c>
      <c r="D13" s="67">
        <v>32800.0</v>
      </c>
      <c r="F13" s="61" t="s">
        <v>304</v>
      </c>
      <c r="G13" s="61" t="s">
        <v>287</v>
      </c>
      <c r="H13" s="61" t="s">
        <v>322</v>
      </c>
      <c r="I13" s="67">
        <v>32800.0</v>
      </c>
    </row>
    <row r="14">
      <c r="A14" s="61" t="s">
        <v>307</v>
      </c>
      <c r="B14" s="61" t="s">
        <v>214</v>
      </c>
      <c r="C14" s="61" t="s">
        <v>299</v>
      </c>
      <c r="D14" s="67">
        <v>25900.0</v>
      </c>
      <c r="F14" s="61" t="s">
        <v>307</v>
      </c>
      <c r="G14" s="61" t="s">
        <v>287</v>
      </c>
      <c r="H14" s="61" t="s">
        <v>323</v>
      </c>
      <c r="I14" s="67">
        <v>25900.0</v>
      </c>
    </row>
    <row r="15">
      <c r="A15" s="61" t="s">
        <v>324</v>
      </c>
      <c r="B15" s="61" t="s">
        <v>287</v>
      </c>
      <c r="C15" s="61" t="s">
        <v>288</v>
      </c>
      <c r="D15" s="67">
        <v>26900.0</v>
      </c>
      <c r="F15" s="61" t="s">
        <v>324</v>
      </c>
      <c r="G15" s="61" t="s">
        <v>287</v>
      </c>
      <c r="H15" s="61" t="s">
        <v>325</v>
      </c>
      <c r="I15" s="67">
        <v>26900.0</v>
      </c>
    </row>
    <row r="16">
      <c r="A16" s="61" t="s">
        <v>326</v>
      </c>
      <c r="B16" s="61" t="s">
        <v>287</v>
      </c>
      <c r="C16" s="61" t="s">
        <v>288</v>
      </c>
      <c r="D16" s="67">
        <v>47200.0</v>
      </c>
      <c r="F16" s="61" t="s">
        <v>326</v>
      </c>
      <c r="G16" s="61" t="s">
        <v>278</v>
      </c>
      <c r="H16" s="61" t="s">
        <v>327</v>
      </c>
      <c r="I16" s="67">
        <v>47200.0</v>
      </c>
    </row>
    <row r="17">
      <c r="A17" s="61" t="s">
        <v>328</v>
      </c>
      <c r="B17" s="61" t="s">
        <v>287</v>
      </c>
      <c r="C17" s="61" t="s">
        <v>279</v>
      </c>
      <c r="D17" s="67">
        <v>29800.0</v>
      </c>
      <c r="F17" s="61" t="s">
        <v>328</v>
      </c>
      <c r="G17" s="61" t="s">
        <v>278</v>
      </c>
      <c r="H17" s="61" t="s">
        <v>329</v>
      </c>
      <c r="I17" s="67">
        <v>29800.0</v>
      </c>
    </row>
    <row r="18">
      <c r="A18" s="61" t="s">
        <v>330</v>
      </c>
      <c r="B18" s="61" t="s">
        <v>278</v>
      </c>
      <c r="C18" s="61" t="s">
        <v>323</v>
      </c>
      <c r="D18" s="67">
        <v>31200.0</v>
      </c>
      <c r="F18" s="61" t="s">
        <v>330</v>
      </c>
      <c r="G18" s="61" t="s">
        <v>278</v>
      </c>
      <c r="H18" s="61" t="s">
        <v>329</v>
      </c>
      <c r="I18" s="67">
        <v>31200.0</v>
      </c>
    </row>
    <row r="19">
      <c r="A19" s="61" t="s">
        <v>331</v>
      </c>
      <c r="B19" s="61" t="s">
        <v>278</v>
      </c>
      <c r="C19" s="61" t="s">
        <v>332</v>
      </c>
      <c r="D19" s="67">
        <v>49500.0</v>
      </c>
      <c r="F19" s="61" t="s">
        <v>331</v>
      </c>
      <c r="G19" s="61" t="s">
        <v>278</v>
      </c>
      <c r="H19" s="61" t="s">
        <v>333</v>
      </c>
      <c r="I19" s="67">
        <v>49500.0</v>
      </c>
    </row>
    <row r="20">
      <c r="A20" s="61" t="s">
        <v>334</v>
      </c>
      <c r="B20" s="61" t="s">
        <v>278</v>
      </c>
      <c r="C20" s="61" t="s">
        <v>335</v>
      </c>
      <c r="D20" s="67">
        <v>58300.0</v>
      </c>
      <c r="F20" s="61" t="s">
        <v>334</v>
      </c>
      <c r="G20" s="61" t="s">
        <v>278</v>
      </c>
      <c r="H20" s="61" t="s">
        <v>336</v>
      </c>
      <c r="I20" s="67">
        <v>58300.0</v>
      </c>
    </row>
    <row r="21">
      <c r="A21" s="61" t="s">
        <v>337</v>
      </c>
      <c r="B21" s="61" t="s">
        <v>278</v>
      </c>
      <c r="C21" s="61" t="s">
        <v>335</v>
      </c>
      <c r="D21" s="67">
        <v>36400.0</v>
      </c>
      <c r="F21" s="61" t="s">
        <v>337</v>
      </c>
      <c r="G21" s="61" t="s">
        <v>278</v>
      </c>
      <c r="H21" s="61" t="s">
        <v>338</v>
      </c>
      <c r="I21" s="67">
        <v>36400.0</v>
      </c>
    </row>
    <row r="22">
      <c r="A22" s="61" t="s">
        <v>339</v>
      </c>
      <c r="B22" s="61" t="s">
        <v>214</v>
      </c>
      <c r="C22" s="61" t="s">
        <v>279</v>
      </c>
      <c r="D22" s="67">
        <v>38500.0</v>
      </c>
      <c r="F22" s="61" t="s">
        <v>339</v>
      </c>
      <c r="G22" s="61" t="s">
        <v>278</v>
      </c>
      <c r="H22" s="61" t="s">
        <v>340</v>
      </c>
      <c r="I22" s="67">
        <v>38500.0</v>
      </c>
    </row>
    <row r="23">
      <c r="A23" s="61" t="s">
        <v>341</v>
      </c>
      <c r="B23" s="61" t="s">
        <v>214</v>
      </c>
      <c r="C23" s="61" t="s">
        <v>318</v>
      </c>
      <c r="D23" s="67">
        <v>39400.0</v>
      </c>
      <c r="F23" s="61" t="s">
        <v>341</v>
      </c>
      <c r="G23" s="61" t="s">
        <v>278</v>
      </c>
      <c r="H23" s="61" t="s">
        <v>332</v>
      </c>
      <c r="I23" s="67">
        <v>39400.0</v>
      </c>
    </row>
    <row r="24">
      <c r="A24" s="61" t="s">
        <v>342</v>
      </c>
      <c r="B24" s="61" t="s">
        <v>214</v>
      </c>
      <c r="C24" s="61" t="s">
        <v>279</v>
      </c>
      <c r="D24" s="67">
        <v>42500.0</v>
      </c>
      <c r="F24" s="61" t="s">
        <v>342</v>
      </c>
      <c r="G24" s="61" t="s">
        <v>283</v>
      </c>
      <c r="H24" s="61" t="s">
        <v>335</v>
      </c>
      <c r="I24" s="67">
        <v>42500.0</v>
      </c>
    </row>
    <row r="25">
      <c r="A25" s="61" t="s">
        <v>343</v>
      </c>
      <c r="B25" s="61" t="s">
        <v>287</v>
      </c>
      <c r="C25" s="61" t="s">
        <v>279</v>
      </c>
      <c r="D25" s="67">
        <v>49727.0</v>
      </c>
      <c r="F25" s="61" t="s">
        <v>343</v>
      </c>
      <c r="G25" s="61" t="s">
        <v>283</v>
      </c>
      <c r="H25" s="61" t="s">
        <v>335</v>
      </c>
      <c r="I25" s="67">
        <v>49727.0</v>
      </c>
    </row>
    <row r="26">
      <c r="A26" s="61" t="s">
        <v>344</v>
      </c>
      <c r="B26" s="61" t="s">
        <v>287</v>
      </c>
      <c r="C26" s="61" t="s">
        <v>279</v>
      </c>
      <c r="D26" s="67">
        <v>49000.0</v>
      </c>
      <c r="F26" s="61" t="s">
        <v>344</v>
      </c>
      <c r="G26" s="61" t="s">
        <v>283</v>
      </c>
      <c r="H26" s="61" t="s">
        <v>345</v>
      </c>
      <c r="I26" s="67">
        <v>49000.0</v>
      </c>
    </row>
    <row r="27">
      <c r="A27" s="61" t="s">
        <v>346</v>
      </c>
      <c r="B27" s="61" t="s">
        <v>278</v>
      </c>
      <c r="C27" s="61" t="s">
        <v>327</v>
      </c>
      <c r="D27" s="67">
        <v>79600.0</v>
      </c>
      <c r="F27" s="61" t="s">
        <v>346</v>
      </c>
      <c r="G27" s="61" t="s">
        <v>283</v>
      </c>
      <c r="H27" s="61" t="s">
        <v>347</v>
      </c>
      <c r="I27" s="67">
        <v>79600.0</v>
      </c>
    </row>
    <row r="28">
      <c r="A28" s="61" t="s">
        <v>348</v>
      </c>
      <c r="B28" s="61" t="s">
        <v>278</v>
      </c>
      <c r="C28" s="61" t="s">
        <v>322</v>
      </c>
      <c r="D28" s="67">
        <v>56500.0</v>
      </c>
      <c r="F28" s="61" t="s">
        <v>348</v>
      </c>
      <c r="G28" s="61" t="s">
        <v>283</v>
      </c>
      <c r="H28" s="61" t="s">
        <v>347</v>
      </c>
      <c r="I28" s="67">
        <v>56500.0</v>
      </c>
    </row>
    <row r="29">
      <c r="A29" s="61" t="s">
        <v>349</v>
      </c>
      <c r="B29" s="61" t="s">
        <v>283</v>
      </c>
      <c r="C29" s="61" t="s">
        <v>329</v>
      </c>
      <c r="D29" s="67">
        <v>59900.0</v>
      </c>
      <c r="F29" s="61" t="s">
        <v>349</v>
      </c>
      <c r="G29" s="61" t="s">
        <v>283</v>
      </c>
      <c r="H29" s="61" t="s">
        <v>292</v>
      </c>
      <c r="I29" s="67">
        <v>59900.0</v>
      </c>
    </row>
    <row r="30">
      <c r="A30" s="61" t="s">
        <v>350</v>
      </c>
      <c r="B30" s="61" t="s">
        <v>283</v>
      </c>
      <c r="C30" s="61" t="s">
        <v>292</v>
      </c>
      <c r="D30" s="67">
        <v>48500.0</v>
      </c>
      <c r="F30" s="61" t="s">
        <v>350</v>
      </c>
      <c r="G30" s="61" t="s">
        <v>283</v>
      </c>
      <c r="H30" s="61" t="s">
        <v>292</v>
      </c>
      <c r="I30" s="67">
        <v>48500.0</v>
      </c>
    </row>
    <row r="31">
      <c r="A31" s="61" t="s">
        <v>351</v>
      </c>
      <c r="B31" s="61" t="s">
        <v>214</v>
      </c>
      <c r="C31" s="61" t="s">
        <v>319</v>
      </c>
      <c r="D31" s="67">
        <v>41200.0</v>
      </c>
      <c r="F31" s="61" t="s">
        <v>351</v>
      </c>
      <c r="G31" s="61" t="s">
        <v>283</v>
      </c>
      <c r="H31" s="61" t="s">
        <v>292</v>
      </c>
      <c r="I31" s="67">
        <v>41200.0</v>
      </c>
    </row>
    <row r="32">
      <c r="A32" s="61" t="s">
        <v>352</v>
      </c>
      <c r="B32" s="61" t="s">
        <v>214</v>
      </c>
      <c r="C32" s="61" t="s">
        <v>320</v>
      </c>
      <c r="D32" s="67">
        <v>52100.0</v>
      </c>
      <c r="F32" s="61" t="s">
        <v>352</v>
      </c>
      <c r="G32" s="61" t="s">
        <v>283</v>
      </c>
      <c r="H32" s="61" t="s">
        <v>292</v>
      </c>
      <c r="I32" s="67">
        <v>52100.0</v>
      </c>
    </row>
    <row r="33">
      <c r="A33" s="61" t="s">
        <v>353</v>
      </c>
      <c r="B33" s="61" t="s">
        <v>283</v>
      </c>
      <c r="C33" s="61" t="s">
        <v>329</v>
      </c>
      <c r="D33" s="67">
        <v>65200.0</v>
      </c>
      <c r="F33" s="61" t="s">
        <v>353</v>
      </c>
      <c r="G33" s="61" t="s">
        <v>283</v>
      </c>
      <c r="H33" s="61" t="s">
        <v>292</v>
      </c>
      <c r="I33" s="67">
        <v>65200.0</v>
      </c>
    </row>
    <row r="34">
      <c r="A34" s="61" t="s">
        <v>354</v>
      </c>
      <c r="B34" s="61" t="s">
        <v>283</v>
      </c>
      <c r="C34" s="61" t="s">
        <v>292</v>
      </c>
      <c r="D34" s="67">
        <v>54600.0</v>
      </c>
      <c r="F34" s="61" t="s">
        <v>354</v>
      </c>
      <c r="G34" s="61" t="s">
        <v>283</v>
      </c>
      <c r="H34" s="61" t="s">
        <v>274</v>
      </c>
      <c r="I34" s="67">
        <v>54600.0</v>
      </c>
    </row>
    <row r="35">
      <c r="A35" s="61" t="s">
        <v>355</v>
      </c>
      <c r="B35" s="61" t="s">
        <v>283</v>
      </c>
      <c r="C35" s="61" t="s">
        <v>292</v>
      </c>
      <c r="D35" s="67">
        <v>51300.0</v>
      </c>
      <c r="F35" s="61" t="s">
        <v>355</v>
      </c>
      <c r="G35" s="61" t="s">
        <v>214</v>
      </c>
      <c r="H35" s="61" t="s">
        <v>274</v>
      </c>
      <c r="I35" s="67">
        <v>51300.0</v>
      </c>
    </row>
    <row r="36">
      <c r="A36" s="61" t="s">
        <v>356</v>
      </c>
      <c r="B36" s="61" t="s">
        <v>283</v>
      </c>
      <c r="C36" s="61" t="s">
        <v>347</v>
      </c>
      <c r="D36" s="67">
        <v>102500.0</v>
      </c>
      <c r="F36" s="61" t="s">
        <v>356</v>
      </c>
      <c r="G36" s="61" t="s">
        <v>214</v>
      </c>
      <c r="H36" s="61" t="s">
        <v>274</v>
      </c>
      <c r="I36" s="67">
        <v>102500.0</v>
      </c>
    </row>
    <row r="37">
      <c r="A37" s="61" t="s">
        <v>357</v>
      </c>
      <c r="B37" s="61" t="s">
        <v>287</v>
      </c>
      <c r="C37" s="61" t="s">
        <v>345</v>
      </c>
      <c r="D37" s="67">
        <v>65270.0</v>
      </c>
      <c r="F37" s="61" t="s">
        <v>357</v>
      </c>
      <c r="G37" s="61" t="s">
        <v>214</v>
      </c>
      <c r="H37" s="61" t="s">
        <v>274</v>
      </c>
      <c r="I37" s="67">
        <v>65270.0</v>
      </c>
    </row>
    <row r="38">
      <c r="A38" s="61" t="s">
        <v>358</v>
      </c>
      <c r="B38" s="61" t="s">
        <v>287</v>
      </c>
      <c r="C38" s="61" t="s">
        <v>333</v>
      </c>
      <c r="D38" s="67">
        <v>78600.0</v>
      </c>
      <c r="F38" s="61" t="s">
        <v>358</v>
      </c>
      <c r="G38" s="61" t="s">
        <v>214</v>
      </c>
      <c r="H38" s="61" t="s">
        <v>279</v>
      </c>
      <c r="I38" s="67">
        <v>78600.0</v>
      </c>
    </row>
    <row r="39">
      <c r="A39" s="61" t="s">
        <v>359</v>
      </c>
      <c r="B39" s="61" t="s">
        <v>287</v>
      </c>
      <c r="C39" s="61" t="s">
        <v>340</v>
      </c>
      <c r="D39" s="67">
        <v>145000.0</v>
      </c>
      <c r="F39" s="61" t="s">
        <v>359</v>
      </c>
      <c r="G39" s="61" t="s">
        <v>214</v>
      </c>
      <c r="H39" s="61" t="s">
        <v>279</v>
      </c>
      <c r="I39" s="67">
        <v>145000.0</v>
      </c>
    </row>
    <row r="40">
      <c r="A40" s="61" t="s">
        <v>360</v>
      </c>
      <c r="B40" s="61" t="s">
        <v>283</v>
      </c>
      <c r="C40" s="61" t="s">
        <v>347</v>
      </c>
      <c r="D40" s="67">
        <v>86055.0</v>
      </c>
      <c r="F40" s="61" t="s">
        <v>360</v>
      </c>
      <c r="G40" s="61" t="s">
        <v>214</v>
      </c>
      <c r="H40" s="61" t="s">
        <v>279</v>
      </c>
      <c r="I40" s="67">
        <v>86055.0</v>
      </c>
    </row>
    <row r="41">
      <c r="A41" s="61" t="s">
        <v>361</v>
      </c>
      <c r="B41" s="61" t="s">
        <v>214</v>
      </c>
      <c r="C41" s="61" t="s">
        <v>321</v>
      </c>
      <c r="D41" s="67">
        <v>125600.0</v>
      </c>
      <c r="F41" s="61" t="s">
        <v>361</v>
      </c>
      <c r="G41" s="61" t="s">
        <v>214</v>
      </c>
      <c r="H41" s="61" t="s">
        <v>279</v>
      </c>
      <c r="I41" s="67">
        <v>125600.0</v>
      </c>
    </row>
    <row r="42">
      <c r="A42" s="61" t="s">
        <v>362</v>
      </c>
      <c r="B42" s="61" t="s">
        <v>287</v>
      </c>
      <c r="C42" s="61" t="s">
        <v>316</v>
      </c>
      <c r="D42" s="67">
        <v>86500.0</v>
      </c>
      <c r="F42" s="61" t="s">
        <v>362</v>
      </c>
      <c r="G42" s="61" t="s">
        <v>214</v>
      </c>
      <c r="H42" s="61" t="s">
        <v>279</v>
      </c>
      <c r="I42" s="67">
        <v>86500.0</v>
      </c>
    </row>
    <row r="43">
      <c r="A43" s="61" t="s">
        <v>363</v>
      </c>
      <c r="B43" s="61" t="s">
        <v>287</v>
      </c>
      <c r="C43" s="61" t="s">
        <v>338</v>
      </c>
      <c r="D43" s="67">
        <v>108357.0</v>
      </c>
      <c r="F43" s="61" t="s">
        <v>363</v>
      </c>
      <c r="G43" s="61" t="s">
        <v>214</v>
      </c>
      <c r="H43" s="61" t="s">
        <v>279</v>
      </c>
      <c r="I43" s="67">
        <v>108357.0</v>
      </c>
    </row>
    <row r="44">
      <c r="A44" s="61" t="s">
        <v>364</v>
      </c>
      <c r="B44" s="61" t="s">
        <v>214</v>
      </c>
      <c r="C44" s="61" t="s">
        <v>317</v>
      </c>
      <c r="D44" s="67">
        <v>115000.0</v>
      </c>
      <c r="F44" s="61" t="s">
        <v>364</v>
      </c>
      <c r="G44" s="61" t="s">
        <v>214</v>
      </c>
      <c r="H44" s="61" t="s">
        <v>288</v>
      </c>
      <c r="I44" s="67">
        <v>115000.0</v>
      </c>
    </row>
    <row r="45">
      <c r="A45" s="61" t="s">
        <v>365</v>
      </c>
      <c r="B45" s="61" t="s">
        <v>283</v>
      </c>
      <c r="C45" s="61" t="s">
        <v>325</v>
      </c>
      <c r="D45" s="67">
        <v>142000.0</v>
      </c>
      <c r="F45" s="61" t="s">
        <v>365</v>
      </c>
      <c r="G45" s="61" t="s">
        <v>214</v>
      </c>
      <c r="H45" s="61" t="s">
        <v>288</v>
      </c>
      <c r="I45" s="67">
        <v>142000.0</v>
      </c>
    </row>
    <row r="46">
      <c r="A46" s="61" t="s">
        <v>366</v>
      </c>
      <c r="B46" s="61" t="s">
        <v>214</v>
      </c>
      <c r="C46" s="61" t="s">
        <v>336</v>
      </c>
      <c r="D46" s="67">
        <v>141200.0</v>
      </c>
      <c r="F46" s="61" t="s">
        <v>366</v>
      </c>
      <c r="G46" s="61" t="s">
        <v>214</v>
      </c>
      <c r="H46" s="61" t="s">
        <v>288</v>
      </c>
      <c r="I46" s="67">
        <v>141200.0</v>
      </c>
    </row>
  </sheetData>
  <mergeCells count="1">
    <mergeCell ref="A2:I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55.13"/>
  </cols>
  <sheetData>
    <row r="1">
      <c r="A1" s="61"/>
      <c r="B1" s="61"/>
      <c r="C1" s="61"/>
      <c r="D1" s="61"/>
      <c r="E1" s="61"/>
      <c r="F1" s="61"/>
      <c r="G1" s="61"/>
      <c r="H1" s="61"/>
      <c r="I1" s="61"/>
      <c r="J1" s="61"/>
      <c r="K1" s="61"/>
      <c r="L1" s="61"/>
      <c r="M1" s="61"/>
      <c r="N1" s="61"/>
      <c r="O1" s="61"/>
      <c r="P1" s="61"/>
      <c r="Q1" s="61"/>
      <c r="R1" s="61"/>
      <c r="S1" s="61"/>
      <c r="T1" s="61"/>
      <c r="U1" s="61"/>
      <c r="V1" s="61"/>
      <c r="W1" s="61"/>
      <c r="X1" s="61"/>
      <c r="Y1" s="61"/>
      <c r="Z1" s="61"/>
      <c r="AA1" s="61"/>
    </row>
    <row r="2">
      <c r="A2" s="68" t="s">
        <v>367</v>
      </c>
      <c r="B2" s="68" t="s">
        <v>2</v>
      </c>
      <c r="C2" s="68" t="s">
        <v>368</v>
      </c>
      <c r="D2" s="68" t="s">
        <v>369</v>
      </c>
      <c r="E2" s="68" t="s">
        <v>370</v>
      </c>
      <c r="F2" s="69" t="s">
        <v>371</v>
      </c>
      <c r="G2" s="61"/>
      <c r="H2" s="70" t="s">
        <v>372</v>
      </c>
      <c r="I2" s="61"/>
      <c r="J2" s="61"/>
      <c r="K2" s="61"/>
      <c r="L2" s="61"/>
      <c r="M2" s="61"/>
      <c r="N2" s="61"/>
      <c r="O2" s="61"/>
      <c r="P2" s="61"/>
      <c r="Q2" s="61"/>
      <c r="R2" s="61"/>
      <c r="S2" s="61"/>
      <c r="T2" s="61"/>
      <c r="U2" s="61"/>
      <c r="V2" s="61"/>
      <c r="W2" s="61"/>
      <c r="X2" s="61"/>
      <c r="Y2" s="61"/>
      <c r="Z2" s="61"/>
      <c r="AA2" s="61"/>
    </row>
    <row r="3">
      <c r="A3" s="61" t="s">
        <v>373</v>
      </c>
      <c r="B3" s="61" t="s">
        <v>374</v>
      </c>
      <c r="C3" s="61" t="s">
        <v>375</v>
      </c>
      <c r="D3" s="71">
        <v>4378.0</v>
      </c>
      <c r="E3" s="71">
        <v>4159.0</v>
      </c>
      <c r="F3" s="72">
        <f t="shared" ref="F3:F121" si="1">D3-E3</f>
        <v>219</v>
      </c>
      <c r="G3" s="61"/>
      <c r="H3" s="70" t="s">
        <v>376</v>
      </c>
      <c r="I3" s="61"/>
      <c r="J3" s="61"/>
      <c r="K3" s="61"/>
      <c r="L3" s="61"/>
      <c r="M3" s="61"/>
      <c r="N3" s="61"/>
      <c r="O3" s="61"/>
      <c r="P3" s="61"/>
      <c r="Q3" s="61"/>
      <c r="R3" s="61"/>
      <c r="S3" s="61"/>
      <c r="T3" s="61"/>
      <c r="U3" s="61"/>
      <c r="V3" s="61"/>
      <c r="W3" s="61"/>
      <c r="X3" s="61"/>
      <c r="Y3" s="61"/>
      <c r="Z3" s="61"/>
      <c r="AA3" s="61"/>
    </row>
    <row r="4">
      <c r="A4" s="61" t="s">
        <v>373</v>
      </c>
      <c r="B4" s="61" t="s">
        <v>374</v>
      </c>
      <c r="C4" s="61" t="s">
        <v>377</v>
      </c>
      <c r="D4" s="71">
        <v>5254.0</v>
      </c>
      <c r="E4" s="71">
        <v>4203.0</v>
      </c>
      <c r="F4" s="72">
        <f t="shared" si="1"/>
        <v>1051</v>
      </c>
      <c r="G4" s="61"/>
      <c r="H4" s="70" t="s">
        <v>378</v>
      </c>
      <c r="I4" s="61"/>
      <c r="J4" s="61"/>
      <c r="K4" s="61"/>
      <c r="L4" s="61"/>
      <c r="M4" s="61"/>
      <c r="N4" s="61"/>
      <c r="O4" s="61"/>
      <c r="P4" s="61"/>
      <c r="Q4" s="61"/>
      <c r="R4" s="61"/>
      <c r="S4" s="61"/>
      <c r="T4" s="61"/>
      <c r="U4" s="61"/>
      <c r="V4" s="61"/>
      <c r="W4" s="61"/>
      <c r="X4" s="61"/>
      <c r="Y4" s="61"/>
      <c r="Z4" s="61"/>
      <c r="AA4" s="61"/>
    </row>
    <row r="5">
      <c r="A5" s="61" t="s">
        <v>373</v>
      </c>
      <c r="B5" s="61" t="s">
        <v>374</v>
      </c>
      <c r="C5" s="61" t="s">
        <v>379</v>
      </c>
      <c r="D5" s="71">
        <v>6130.0</v>
      </c>
      <c r="E5" s="71">
        <v>6682.0</v>
      </c>
      <c r="F5" s="72">
        <f t="shared" si="1"/>
        <v>-552</v>
      </c>
      <c r="G5" s="61"/>
      <c r="H5" s="70" t="s">
        <v>380</v>
      </c>
      <c r="I5" s="61"/>
      <c r="J5" s="61"/>
      <c r="K5" s="61"/>
      <c r="L5" s="61"/>
      <c r="M5" s="61"/>
      <c r="N5" s="61"/>
      <c r="O5" s="61"/>
      <c r="P5" s="61"/>
      <c r="Q5" s="61"/>
      <c r="R5" s="61"/>
      <c r="S5" s="61"/>
      <c r="T5" s="61"/>
      <c r="U5" s="61"/>
      <c r="V5" s="61"/>
      <c r="W5" s="61"/>
      <c r="X5" s="61"/>
      <c r="Y5" s="61"/>
      <c r="Z5" s="61"/>
      <c r="AA5" s="61"/>
    </row>
    <row r="6">
      <c r="A6" s="61" t="s">
        <v>373</v>
      </c>
      <c r="B6" s="61" t="s">
        <v>374</v>
      </c>
      <c r="C6" s="61" t="s">
        <v>381</v>
      </c>
      <c r="D6" s="71">
        <v>7443.0</v>
      </c>
      <c r="E6" s="71">
        <v>7220.0</v>
      </c>
      <c r="F6" s="72">
        <f t="shared" si="1"/>
        <v>223</v>
      </c>
      <c r="G6" s="61"/>
      <c r="H6" s="61"/>
      <c r="I6" s="61"/>
      <c r="J6" s="61"/>
      <c r="K6" s="61"/>
      <c r="L6" s="61"/>
      <c r="M6" s="61"/>
      <c r="N6" s="61"/>
      <c r="O6" s="61"/>
      <c r="P6" s="61"/>
      <c r="Q6" s="61"/>
      <c r="R6" s="61"/>
      <c r="S6" s="61"/>
      <c r="T6" s="61"/>
      <c r="U6" s="61"/>
      <c r="V6" s="61"/>
      <c r="W6" s="61"/>
      <c r="X6" s="61"/>
      <c r="Y6" s="61"/>
      <c r="Z6" s="61"/>
      <c r="AA6" s="61"/>
    </row>
    <row r="7">
      <c r="A7" s="61" t="s">
        <v>373</v>
      </c>
      <c r="B7" s="61" t="s">
        <v>374</v>
      </c>
      <c r="C7" s="61" t="s">
        <v>382</v>
      </c>
      <c r="D7" s="71">
        <v>13135.0</v>
      </c>
      <c r="E7" s="71">
        <v>15631.0</v>
      </c>
      <c r="F7" s="72">
        <f t="shared" si="1"/>
        <v>-2496</v>
      </c>
      <c r="G7" s="69" t="s">
        <v>383</v>
      </c>
      <c r="H7" s="56" t="str">
        <f>IFERROR(__xludf.DUMMYFUNCTION("QUERY(B:D, ""select* where D is not null and D!=0"")")," Region")</f>
        <v> Region</v>
      </c>
      <c r="I7" s="61" t="str">
        <f>IFERROR(__xludf.DUMMYFUNCTION("""COMPUTED_VALUE""")," App")</f>
        <v> App</v>
      </c>
      <c r="J7" s="61" t="str">
        <f>IFERROR(__xludf.DUMMYFUNCTION("""COMPUTED_VALUE""")," Actual Sales")</f>
        <v> Actual Sales</v>
      </c>
      <c r="K7" s="69" t="s">
        <v>384</v>
      </c>
      <c r="L7" s="56" t="str">
        <f>IFERROR(__xludf.DUMMYFUNCTION("QUERY(B:D,""select D, B"")")," Actual Sales")</f>
        <v> Actual Sales</v>
      </c>
      <c r="M7" s="61" t="str">
        <f>IFERROR(__xludf.DUMMYFUNCTION("""COMPUTED_VALUE""")," Region")</f>
        <v> Region</v>
      </c>
      <c r="N7" s="61"/>
      <c r="O7" s="56"/>
      <c r="P7" s="61"/>
      <c r="Q7" s="61"/>
      <c r="R7" s="61"/>
      <c r="S7" s="61"/>
      <c r="T7" s="61"/>
      <c r="U7" s="61"/>
      <c r="V7" s="61"/>
      <c r="W7" s="61"/>
      <c r="X7" s="61"/>
      <c r="Y7" s="61"/>
      <c r="Z7" s="61"/>
      <c r="AA7" s="61"/>
    </row>
    <row r="8">
      <c r="A8" s="61" t="s">
        <v>373</v>
      </c>
      <c r="B8" s="61" t="s">
        <v>374</v>
      </c>
      <c r="C8" s="61" t="s">
        <v>385</v>
      </c>
      <c r="D8" s="71">
        <v>7443.0</v>
      </c>
      <c r="E8" s="71">
        <v>7815.0</v>
      </c>
      <c r="F8" s="72">
        <f t="shared" si="1"/>
        <v>-372</v>
      </c>
      <c r="G8" s="61"/>
      <c r="H8" s="61" t="str">
        <f>IFERROR(__xludf.DUMMYFUNCTION("""COMPUTED_VALUE"""),"Asia")</f>
        <v>Asia</v>
      </c>
      <c r="I8" s="61" t="str">
        <f>IFERROR(__xludf.DUMMYFUNCTION("""COMPUTED_VALUE"""),"Arcade")</f>
        <v>Arcade</v>
      </c>
      <c r="J8" s="61">
        <f>IFERROR(__xludf.DUMMYFUNCTION("""COMPUTED_VALUE"""),4378.0)</f>
        <v>4378</v>
      </c>
      <c r="K8" s="61"/>
      <c r="L8" s="61">
        <f>IFERROR(__xludf.DUMMYFUNCTION("""COMPUTED_VALUE"""),4378.0)</f>
        <v>4378</v>
      </c>
      <c r="M8" s="61" t="str">
        <f>IFERROR(__xludf.DUMMYFUNCTION("""COMPUTED_VALUE"""),"Asia")</f>
        <v>Asia</v>
      </c>
      <c r="N8" s="69" t="s">
        <v>386</v>
      </c>
      <c r="O8" s="56" t="str">
        <f>IFERROR(__xludf.DUMMYFUNCTION("QUERY(B:G, ""SELECT B, SUM(D), SUM(E) WHERE B IS NOT NULL GROUP BY B LABEL SUM(D) 'Total Sales', SUM(E) 'Total Budget'"")")," Region")</f>
        <v> Region</v>
      </c>
      <c r="P8" s="61" t="str">
        <f>IFERROR(__xludf.DUMMYFUNCTION("""COMPUTED_VALUE"""),"Total Sales")</f>
        <v>Total Sales</v>
      </c>
      <c r="Q8" s="61" t="str">
        <f>IFERROR(__xludf.DUMMYFUNCTION("""COMPUTED_VALUE"""),"Total Budget")</f>
        <v>Total Budget</v>
      </c>
      <c r="R8" s="61"/>
      <c r="S8" s="61"/>
      <c r="T8" s="61"/>
      <c r="U8" s="61"/>
      <c r="V8" s="61"/>
      <c r="W8" s="61"/>
      <c r="X8" s="61"/>
      <c r="Y8" s="61"/>
      <c r="Z8" s="61"/>
      <c r="AA8" s="61"/>
    </row>
    <row r="9">
      <c r="A9" s="61" t="s">
        <v>373</v>
      </c>
      <c r="B9" s="61" t="s">
        <v>387</v>
      </c>
      <c r="C9" s="61" t="s">
        <v>375</v>
      </c>
      <c r="D9" s="71">
        <v>15890.0</v>
      </c>
      <c r="E9" s="71">
        <v>12712.0</v>
      </c>
      <c r="F9" s="72">
        <f t="shared" si="1"/>
        <v>3178</v>
      </c>
      <c r="G9" s="61"/>
      <c r="H9" s="61" t="str">
        <f>IFERROR(__xludf.DUMMYFUNCTION("""COMPUTED_VALUE"""),"Asia")</f>
        <v>Asia</v>
      </c>
      <c r="I9" s="61" t="str">
        <f>IFERROR(__xludf.DUMMYFUNCTION("""COMPUTED_VALUE"""),"Aviatrr")</f>
        <v>Aviatrr</v>
      </c>
      <c r="J9" s="61">
        <f>IFERROR(__xludf.DUMMYFUNCTION("""COMPUTED_VALUE"""),5254.0)</f>
        <v>5254</v>
      </c>
      <c r="K9" s="61"/>
      <c r="L9" s="61">
        <f>IFERROR(__xludf.DUMMYFUNCTION("""COMPUTED_VALUE"""),5254.0)</f>
        <v>5254</v>
      </c>
      <c r="M9" s="61" t="str">
        <f>IFERROR(__xludf.DUMMYFUNCTION("""COMPUTED_VALUE"""),"Asia")</f>
        <v>Asia</v>
      </c>
      <c r="N9" s="61"/>
      <c r="O9" s="61" t="str">
        <f>IFERROR(__xludf.DUMMYFUNCTION("""COMPUTED_VALUE"""),"Asia")</f>
        <v>Asia</v>
      </c>
      <c r="P9" s="61">
        <f>IFERROR(__xludf.DUMMYFUNCTION("""COMPUTED_VALUE"""),73059.0)</f>
        <v>73059</v>
      </c>
      <c r="Q9" s="61">
        <f>IFERROR(__xludf.DUMMYFUNCTION("""COMPUTED_VALUE"""),74842.0)</f>
        <v>74842</v>
      </c>
      <c r="R9" s="61"/>
      <c r="S9" s="61"/>
      <c r="T9" s="61"/>
      <c r="U9" s="61"/>
      <c r="V9" s="61"/>
      <c r="W9" s="61"/>
      <c r="X9" s="61"/>
      <c r="Y9" s="61"/>
      <c r="Z9" s="61"/>
      <c r="AA9" s="61"/>
    </row>
    <row r="10">
      <c r="A10" s="61" t="s">
        <v>373</v>
      </c>
      <c r="B10" s="61" t="s">
        <v>387</v>
      </c>
      <c r="C10" s="61" t="s">
        <v>377</v>
      </c>
      <c r="D10" s="71">
        <v>11917.0</v>
      </c>
      <c r="E10" s="71">
        <v>14181.0</v>
      </c>
      <c r="F10" s="72">
        <f t="shared" si="1"/>
        <v>-2264</v>
      </c>
      <c r="G10" s="61"/>
      <c r="H10" s="61" t="str">
        <f>IFERROR(__xludf.DUMMYFUNCTION("""COMPUTED_VALUE"""),"Asia")</f>
        <v>Asia</v>
      </c>
      <c r="I10" s="61" t="str">
        <f>IFERROR(__xludf.DUMMYFUNCTION("""COMPUTED_VALUE"""),"Baden")</f>
        <v>Baden</v>
      </c>
      <c r="J10" s="61">
        <f>IFERROR(__xludf.DUMMYFUNCTION("""COMPUTED_VALUE"""),6130.0)</f>
        <v>6130</v>
      </c>
      <c r="K10" s="61"/>
      <c r="L10" s="61">
        <f>IFERROR(__xludf.DUMMYFUNCTION("""COMPUTED_VALUE"""),6130.0)</f>
        <v>6130</v>
      </c>
      <c r="M10" s="61" t="str">
        <f>IFERROR(__xludf.DUMMYFUNCTION("""COMPUTED_VALUE"""),"Asia")</f>
        <v>Asia</v>
      </c>
      <c r="N10" s="61"/>
      <c r="O10" s="61" t="str">
        <f>IFERROR(__xludf.DUMMYFUNCTION("""COMPUTED_VALUE"""),"Australia")</f>
        <v>Australia</v>
      </c>
      <c r="P10" s="61">
        <f>IFERROR(__xludf.DUMMYFUNCTION("""COMPUTED_VALUE"""),78933.0)</f>
        <v>78933</v>
      </c>
      <c r="Q10" s="61">
        <f>IFERROR(__xludf.DUMMYFUNCTION("""COMPUTED_VALUE"""),78285.0)</f>
        <v>78285</v>
      </c>
      <c r="R10" s="61"/>
      <c r="S10" s="61"/>
      <c r="T10" s="61"/>
      <c r="U10" s="61"/>
      <c r="V10" s="61"/>
      <c r="W10" s="61"/>
      <c r="X10" s="61"/>
      <c r="Y10" s="61"/>
      <c r="Z10" s="61"/>
      <c r="AA10" s="61"/>
    </row>
    <row r="11">
      <c r="A11" s="61" t="s">
        <v>373</v>
      </c>
      <c r="B11" s="61" t="s">
        <v>387</v>
      </c>
      <c r="C11" s="61" t="s">
        <v>379</v>
      </c>
      <c r="D11" s="71">
        <v>1490.0</v>
      </c>
      <c r="E11" s="71">
        <v>1296.0</v>
      </c>
      <c r="F11" s="72">
        <f t="shared" si="1"/>
        <v>194</v>
      </c>
      <c r="G11" s="61"/>
      <c r="H11" s="61" t="str">
        <f>IFERROR(__xludf.DUMMYFUNCTION("""COMPUTED_VALUE"""),"Asia")</f>
        <v>Asia</v>
      </c>
      <c r="I11" s="61" t="str">
        <f>IFERROR(__xludf.DUMMYFUNCTION("""COMPUTED_VALUE"""),"deRamblr")</f>
        <v>deRamblr</v>
      </c>
      <c r="J11" s="61">
        <f>IFERROR(__xludf.DUMMYFUNCTION("""COMPUTED_VALUE"""),7443.0)</f>
        <v>7443</v>
      </c>
      <c r="K11" s="61"/>
      <c r="L11" s="61">
        <f>IFERROR(__xludf.DUMMYFUNCTION("""COMPUTED_VALUE"""),7443.0)</f>
        <v>7443</v>
      </c>
      <c r="M11" s="61" t="str">
        <f>IFERROR(__xludf.DUMMYFUNCTION("""COMPUTED_VALUE"""),"Asia")</f>
        <v>Asia</v>
      </c>
      <c r="N11" s="61"/>
      <c r="O11" s="61" t="str">
        <f>IFERROR(__xludf.DUMMYFUNCTION("""COMPUTED_VALUE"""),"Europe")</f>
        <v>Europe</v>
      </c>
      <c r="P11" s="61">
        <f>IFERROR(__xludf.DUMMYFUNCTION("""COMPUTED_VALUE"""),135574.0)</f>
        <v>135574</v>
      </c>
      <c r="Q11" s="61">
        <f>IFERROR(__xludf.DUMMYFUNCTION("""COMPUTED_VALUE"""),137531.0)</f>
        <v>137531</v>
      </c>
      <c r="R11" s="61"/>
      <c r="S11" s="61"/>
      <c r="T11" s="61"/>
      <c r="U11" s="61"/>
      <c r="V11" s="61"/>
      <c r="W11" s="61"/>
      <c r="X11" s="61"/>
      <c r="Y11" s="61"/>
      <c r="Z11" s="61"/>
      <c r="AA11" s="61"/>
    </row>
    <row r="12">
      <c r="A12" s="61" t="s">
        <v>373</v>
      </c>
      <c r="B12" s="61" t="s">
        <v>387</v>
      </c>
      <c r="C12" s="61" t="s">
        <v>381</v>
      </c>
      <c r="D12" s="71">
        <v>497.0</v>
      </c>
      <c r="E12" s="71">
        <v>586.0</v>
      </c>
      <c r="F12" s="72">
        <f t="shared" si="1"/>
        <v>-89</v>
      </c>
      <c r="G12" s="61"/>
      <c r="H12" s="61" t="str">
        <f>IFERROR(__xludf.DUMMYFUNCTION("""COMPUTED_VALUE"""),"Asia")</f>
        <v>Asia</v>
      </c>
      <c r="I12" s="61" t="str">
        <f>IFERROR(__xludf.DUMMYFUNCTION("""COMPUTED_VALUE"""),"Fightrr")</f>
        <v>Fightrr</v>
      </c>
      <c r="J12" s="61">
        <f>IFERROR(__xludf.DUMMYFUNCTION("""COMPUTED_VALUE"""),13135.0)</f>
        <v>13135</v>
      </c>
      <c r="K12" s="61"/>
      <c r="L12" s="61">
        <f>IFERROR(__xludf.DUMMYFUNCTION("""COMPUTED_VALUE"""),13135.0)</f>
        <v>13135</v>
      </c>
      <c r="M12" s="61" t="str">
        <f>IFERROR(__xludf.DUMMYFUNCTION("""COMPUTED_VALUE"""),"Asia")</f>
        <v>Asia</v>
      </c>
      <c r="N12" s="61"/>
      <c r="O12" s="61" t="str">
        <f>IFERROR(__xludf.DUMMYFUNCTION("""COMPUTED_VALUE"""),"North America")</f>
        <v>North America</v>
      </c>
      <c r="P12" s="61">
        <f>IFERROR(__xludf.DUMMYFUNCTION("""COMPUTED_VALUE"""),88873.0)</f>
        <v>88873</v>
      </c>
      <c r="Q12" s="61">
        <f>IFERROR(__xludf.DUMMYFUNCTION("""COMPUTED_VALUE"""),87847.0)</f>
        <v>87847</v>
      </c>
      <c r="R12" s="61"/>
      <c r="S12" s="61"/>
      <c r="T12" s="61"/>
      <c r="U12" s="61"/>
      <c r="V12" s="61"/>
      <c r="W12" s="61"/>
      <c r="X12" s="61"/>
      <c r="Y12" s="61"/>
      <c r="Z12" s="61"/>
      <c r="AA12" s="61"/>
    </row>
    <row r="13">
      <c r="A13" s="61" t="s">
        <v>373</v>
      </c>
      <c r="B13" s="61" t="s">
        <v>387</v>
      </c>
      <c r="C13" s="61" t="s">
        <v>382</v>
      </c>
      <c r="D13" s="71">
        <v>993.0</v>
      </c>
      <c r="E13" s="71">
        <v>1122.0</v>
      </c>
      <c r="F13" s="72">
        <f t="shared" si="1"/>
        <v>-129</v>
      </c>
      <c r="G13" s="61"/>
      <c r="H13" s="61" t="str">
        <f>IFERROR(__xludf.DUMMYFUNCTION("""COMPUTED_VALUE"""),"Asia")</f>
        <v>Asia</v>
      </c>
      <c r="I13" s="61" t="str">
        <f>IFERROR(__xludf.DUMMYFUNCTION("""COMPUTED_VALUE"""),"Twistrr")</f>
        <v>Twistrr</v>
      </c>
      <c r="J13" s="61">
        <f>IFERROR(__xludf.DUMMYFUNCTION("""COMPUTED_VALUE"""),7443.0)</f>
        <v>7443</v>
      </c>
      <c r="K13" s="61"/>
      <c r="L13" s="61">
        <f>IFERROR(__xludf.DUMMYFUNCTION("""COMPUTED_VALUE"""),7443.0)</f>
        <v>7443</v>
      </c>
      <c r="M13" s="61" t="str">
        <f>IFERROR(__xludf.DUMMYFUNCTION("""COMPUTED_VALUE"""),"Asia")</f>
        <v>Asia</v>
      </c>
      <c r="N13" s="61"/>
      <c r="O13" s="61" t="str">
        <f>IFERROR(__xludf.DUMMYFUNCTION("""COMPUTED_VALUE"""),"South America")</f>
        <v>South America</v>
      </c>
      <c r="P13" s="61">
        <f>IFERROR(__xludf.DUMMYFUNCTION("""COMPUTED_VALUE"""),42569.0)</f>
        <v>42569</v>
      </c>
      <c r="Q13" s="61">
        <f>IFERROR(__xludf.DUMMYFUNCTION("""COMPUTED_VALUE"""),41846.0)</f>
        <v>41846</v>
      </c>
      <c r="R13" s="61"/>
      <c r="S13" s="61"/>
      <c r="T13" s="61"/>
      <c r="U13" s="61"/>
      <c r="V13" s="61"/>
      <c r="W13" s="61"/>
      <c r="X13" s="61"/>
      <c r="Y13" s="61"/>
      <c r="Z13" s="61"/>
      <c r="AA13" s="61"/>
    </row>
    <row r="14">
      <c r="A14" s="61" t="s">
        <v>373</v>
      </c>
      <c r="B14" s="61" t="s">
        <v>387</v>
      </c>
      <c r="C14" s="61" t="s">
        <v>388</v>
      </c>
      <c r="D14" s="71">
        <v>2483.0</v>
      </c>
      <c r="E14" s="71">
        <v>2111.0</v>
      </c>
      <c r="F14" s="72">
        <f t="shared" si="1"/>
        <v>372</v>
      </c>
      <c r="G14" s="61"/>
      <c r="H14" s="61" t="str">
        <f>IFERROR(__xludf.DUMMYFUNCTION("""COMPUTED_VALUE"""),"Australia")</f>
        <v>Australia</v>
      </c>
      <c r="I14" s="61" t="str">
        <f>IFERROR(__xludf.DUMMYFUNCTION("""COMPUTED_VALUE"""),"Arcade")</f>
        <v>Arcade</v>
      </c>
      <c r="J14" s="61">
        <f>IFERROR(__xludf.DUMMYFUNCTION("""COMPUTED_VALUE"""),15890.0)</f>
        <v>15890</v>
      </c>
      <c r="K14" s="61"/>
      <c r="L14" s="61">
        <f>IFERROR(__xludf.DUMMYFUNCTION("""COMPUTED_VALUE"""),15890.0)</f>
        <v>15890</v>
      </c>
      <c r="M14" s="61" t="str">
        <f>IFERROR(__xludf.DUMMYFUNCTION("""COMPUTED_VALUE"""),"Australia")</f>
        <v>Australia</v>
      </c>
      <c r="N14" s="61"/>
      <c r="O14" s="61"/>
      <c r="P14" s="61"/>
      <c r="Q14" s="61"/>
      <c r="R14" s="61"/>
      <c r="S14" s="61"/>
      <c r="T14" s="61"/>
      <c r="U14" s="61"/>
      <c r="V14" s="61"/>
      <c r="W14" s="61"/>
      <c r="X14" s="61"/>
      <c r="Y14" s="61"/>
      <c r="Z14" s="61"/>
      <c r="AA14" s="61"/>
    </row>
    <row r="15">
      <c r="A15" s="61" t="s">
        <v>373</v>
      </c>
      <c r="B15" s="61" t="s">
        <v>387</v>
      </c>
      <c r="C15" s="61" t="s">
        <v>389</v>
      </c>
      <c r="D15" s="71">
        <v>2979.0</v>
      </c>
      <c r="E15" s="71">
        <v>2919.0</v>
      </c>
      <c r="F15" s="72">
        <f t="shared" si="1"/>
        <v>60</v>
      </c>
      <c r="G15" s="61"/>
      <c r="H15" s="61" t="str">
        <f>IFERROR(__xludf.DUMMYFUNCTION("""COMPUTED_VALUE"""),"Australia")</f>
        <v>Australia</v>
      </c>
      <c r="I15" s="61" t="str">
        <f>IFERROR(__xludf.DUMMYFUNCTION("""COMPUTED_VALUE"""),"Aviatrr")</f>
        <v>Aviatrr</v>
      </c>
      <c r="J15" s="61">
        <f>IFERROR(__xludf.DUMMYFUNCTION("""COMPUTED_VALUE"""),11917.0)</f>
        <v>11917</v>
      </c>
      <c r="K15" s="61"/>
      <c r="L15" s="61">
        <f>IFERROR(__xludf.DUMMYFUNCTION("""COMPUTED_VALUE"""),11917.0)</f>
        <v>11917</v>
      </c>
      <c r="M15" s="61" t="str">
        <f>IFERROR(__xludf.DUMMYFUNCTION("""COMPUTED_VALUE"""),"Australia")</f>
        <v>Australia</v>
      </c>
      <c r="N15" s="61"/>
      <c r="O15" s="61"/>
      <c r="P15" s="61"/>
      <c r="Q15" s="61"/>
      <c r="R15" s="61"/>
      <c r="S15" s="61"/>
      <c r="T15" s="61"/>
      <c r="U15" s="61"/>
      <c r="V15" s="61"/>
      <c r="W15" s="61"/>
      <c r="X15" s="61"/>
      <c r="Y15" s="61"/>
      <c r="Z15" s="61"/>
      <c r="AA15" s="61"/>
    </row>
    <row r="16">
      <c r="A16" s="61" t="s">
        <v>373</v>
      </c>
      <c r="B16" s="61" t="s">
        <v>387</v>
      </c>
      <c r="C16" s="61" t="s">
        <v>390</v>
      </c>
      <c r="D16" s="71">
        <v>3972.0</v>
      </c>
      <c r="E16" s="71">
        <v>4051.0</v>
      </c>
      <c r="F16" s="72">
        <f t="shared" si="1"/>
        <v>-79</v>
      </c>
      <c r="G16" s="61"/>
      <c r="H16" s="61" t="str">
        <f>IFERROR(__xludf.DUMMYFUNCTION("""COMPUTED_VALUE"""),"Australia")</f>
        <v>Australia</v>
      </c>
      <c r="I16" s="61" t="str">
        <f>IFERROR(__xludf.DUMMYFUNCTION("""COMPUTED_VALUE"""),"Baden")</f>
        <v>Baden</v>
      </c>
      <c r="J16" s="61">
        <f>IFERROR(__xludf.DUMMYFUNCTION("""COMPUTED_VALUE"""),1490.0)</f>
        <v>1490</v>
      </c>
      <c r="K16" s="61"/>
      <c r="L16" s="61">
        <f>IFERROR(__xludf.DUMMYFUNCTION("""COMPUTED_VALUE"""),1490.0)</f>
        <v>1490</v>
      </c>
      <c r="M16" s="61" t="str">
        <f>IFERROR(__xludf.DUMMYFUNCTION("""COMPUTED_VALUE"""),"Australia")</f>
        <v>Australia</v>
      </c>
      <c r="N16" s="61"/>
      <c r="O16" s="61"/>
      <c r="P16" s="61"/>
      <c r="Q16" s="61"/>
      <c r="R16" s="61"/>
      <c r="S16" s="61"/>
      <c r="T16" s="61"/>
      <c r="U16" s="61"/>
      <c r="V16" s="61"/>
      <c r="W16" s="61"/>
      <c r="X16" s="61"/>
      <c r="Y16" s="61"/>
      <c r="Z16" s="61"/>
      <c r="AA16" s="61"/>
    </row>
    <row r="17">
      <c r="A17" s="61" t="s">
        <v>373</v>
      </c>
      <c r="B17" s="61" t="s">
        <v>387</v>
      </c>
      <c r="C17" s="61" t="s">
        <v>391</v>
      </c>
      <c r="D17" s="71">
        <v>4469.0</v>
      </c>
      <c r="E17" s="71">
        <v>5363.0</v>
      </c>
      <c r="F17" s="72">
        <f t="shared" si="1"/>
        <v>-894</v>
      </c>
      <c r="G17" s="61"/>
      <c r="H17" s="61" t="str">
        <f>IFERROR(__xludf.DUMMYFUNCTION("""COMPUTED_VALUE"""),"Australia")</f>
        <v>Australia</v>
      </c>
      <c r="I17" s="61" t="str">
        <f>IFERROR(__xludf.DUMMYFUNCTION("""COMPUTED_VALUE"""),"deRamblr")</f>
        <v>deRamblr</v>
      </c>
      <c r="J17" s="61">
        <f>IFERROR(__xludf.DUMMYFUNCTION("""COMPUTED_VALUE"""),497.0)</f>
        <v>497</v>
      </c>
      <c r="K17" s="61"/>
      <c r="L17" s="61">
        <f>IFERROR(__xludf.DUMMYFUNCTION("""COMPUTED_VALUE"""),497.0)</f>
        <v>497</v>
      </c>
      <c r="M17" s="61" t="str">
        <f>IFERROR(__xludf.DUMMYFUNCTION("""COMPUTED_VALUE"""),"Australia")</f>
        <v>Australia</v>
      </c>
      <c r="N17" s="61"/>
      <c r="O17" s="61"/>
      <c r="P17" s="61"/>
      <c r="Q17" s="61"/>
      <c r="R17" s="61"/>
      <c r="S17" s="61"/>
      <c r="T17" s="61"/>
      <c r="U17" s="61"/>
      <c r="V17" s="61"/>
      <c r="W17" s="61"/>
      <c r="X17" s="61"/>
      <c r="Y17" s="61"/>
      <c r="Z17" s="61"/>
      <c r="AA17" s="61"/>
    </row>
    <row r="18">
      <c r="A18" s="61" t="s">
        <v>373</v>
      </c>
      <c r="B18" s="61" t="s">
        <v>387</v>
      </c>
      <c r="C18" s="61" t="s">
        <v>392</v>
      </c>
      <c r="D18" s="71">
        <v>993.0</v>
      </c>
      <c r="E18" s="71">
        <v>923.0</v>
      </c>
      <c r="F18" s="72">
        <f t="shared" si="1"/>
        <v>70</v>
      </c>
      <c r="G18" s="61"/>
      <c r="H18" s="61" t="str">
        <f>IFERROR(__xludf.DUMMYFUNCTION("""COMPUTED_VALUE"""),"Australia")</f>
        <v>Australia</v>
      </c>
      <c r="I18" s="61" t="str">
        <f>IFERROR(__xludf.DUMMYFUNCTION("""COMPUTED_VALUE"""),"Fightrr")</f>
        <v>Fightrr</v>
      </c>
      <c r="J18" s="61">
        <f>IFERROR(__xludf.DUMMYFUNCTION("""COMPUTED_VALUE"""),993.0)</f>
        <v>993</v>
      </c>
      <c r="K18" s="61"/>
      <c r="L18" s="61">
        <f>IFERROR(__xludf.DUMMYFUNCTION("""COMPUTED_VALUE"""),993.0)</f>
        <v>993</v>
      </c>
      <c r="M18" s="61" t="str">
        <f>IFERROR(__xludf.DUMMYFUNCTION("""COMPUTED_VALUE"""),"Australia")</f>
        <v>Australia</v>
      </c>
      <c r="N18" s="61"/>
      <c r="O18" s="61"/>
      <c r="P18" s="61"/>
      <c r="Q18" s="61"/>
      <c r="R18" s="61"/>
      <c r="S18" s="61"/>
      <c r="T18" s="61"/>
      <c r="U18" s="61"/>
      <c r="V18" s="61"/>
      <c r="W18" s="61"/>
      <c r="X18" s="61"/>
      <c r="Y18" s="61"/>
      <c r="Z18" s="61"/>
      <c r="AA18" s="61"/>
    </row>
    <row r="19">
      <c r="A19" s="61" t="s">
        <v>373</v>
      </c>
      <c r="B19" s="61" t="s">
        <v>387</v>
      </c>
      <c r="C19" s="61" t="s">
        <v>393</v>
      </c>
      <c r="D19" s="71">
        <v>497.0</v>
      </c>
      <c r="E19" s="71">
        <v>467.0</v>
      </c>
      <c r="F19" s="72">
        <f t="shared" si="1"/>
        <v>30</v>
      </c>
      <c r="G19" s="61"/>
      <c r="H19" s="61" t="str">
        <f>IFERROR(__xludf.DUMMYFUNCTION("""COMPUTED_VALUE"""),"Australia")</f>
        <v>Australia</v>
      </c>
      <c r="I19" s="61" t="str">
        <f>IFERROR(__xludf.DUMMYFUNCTION("""COMPUTED_VALUE"""),"Five Labs")</f>
        <v>Five Labs</v>
      </c>
      <c r="J19" s="61">
        <f>IFERROR(__xludf.DUMMYFUNCTION("""COMPUTED_VALUE"""),2483.0)</f>
        <v>2483</v>
      </c>
      <c r="K19" s="61"/>
      <c r="L19" s="61">
        <f>IFERROR(__xludf.DUMMYFUNCTION("""COMPUTED_VALUE"""),2483.0)</f>
        <v>2483</v>
      </c>
      <c r="M19" s="61" t="str">
        <f>IFERROR(__xludf.DUMMYFUNCTION("""COMPUTED_VALUE"""),"Australia")</f>
        <v>Australia</v>
      </c>
      <c r="N19" s="61"/>
      <c r="O19" s="61"/>
      <c r="P19" s="61"/>
      <c r="Q19" s="61"/>
      <c r="R19" s="61"/>
      <c r="S19" s="61"/>
      <c r="T19" s="61"/>
      <c r="U19" s="61"/>
      <c r="V19" s="61"/>
      <c r="W19" s="61"/>
      <c r="X19" s="61"/>
      <c r="Y19" s="61"/>
      <c r="Z19" s="61"/>
      <c r="AA19" s="61"/>
    </row>
    <row r="20">
      <c r="A20" s="61" t="s">
        <v>373</v>
      </c>
      <c r="B20" s="61" t="s">
        <v>387</v>
      </c>
      <c r="C20" s="61" t="s">
        <v>385</v>
      </c>
      <c r="D20" s="71">
        <v>3476.0</v>
      </c>
      <c r="E20" s="71">
        <v>3546.0</v>
      </c>
      <c r="F20" s="72">
        <f t="shared" si="1"/>
        <v>-70</v>
      </c>
      <c r="G20" s="61"/>
      <c r="H20" s="61" t="str">
        <f>IFERROR(__xludf.DUMMYFUNCTION("""COMPUTED_VALUE"""),"Australia")</f>
        <v>Australia</v>
      </c>
      <c r="I20" s="61" t="str">
        <f>IFERROR(__xludf.DUMMYFUNCTION("""COMPUTED_VALUE"""),"Hackrr")</f>
        <v>Hackrr</v>
      </c>
      <c r="J20" s="61">
        <f>IFERROR(__xludf.DUMMYFUNCTION("""COMPUTED_VALUE"""),2979.0)</f>
        <v>2979</v>
      </c>
      <c r="K20" s="61"/>
      <c r="L20" s="61">
        <f>IFERROR(__xludf.DUMMYFUNCTION("""COMPUTED_VALUE"""),2979.0)</f>
        <v>2979</v>
      </c>
      <c r="M20" s="61" t="str">
        <f>IFERROR(__xludf.DUMMYFUNCTION("""COMPUTED_VALUE"""),"Australia")</f>
        <v>Australia</v>
      </c>
      <c r="N20" s="61"/>
      <c r="O20" s="61"/>
      <c r="P20" s="61"/>
      <c r="Q20" s="61"/>
      <c r="R20" s="61"/>
      <c r="S20" s="61"/>
      <c r="T20" s="61"/>
      <c r="U20" s="61"/>
      <c r="V20" s="61"/>
      <c r="W20" s="61"/>
      <c r="X20" s="61"/>
      <c r="Y20" s="61"/>
      <c r="Z20" s="61"/>
      <c r="AA20" s="61"/>
    </row>
    <row r="21">
      <c r="A21" s="61" t="s">
        <v>373</v>
      </c>
      <c r="B21" s="61" t="s">
        <v>394</v>
      </c>
      <c r="C21" s="61" t="s">
        <v>375</v>
      </c>
      <c r="D21" s="71">
        <v>9267.0</v>
      </c>
      <c r="E21" s="71">
        <v>10101.0</v>
      </c>
      <c r="F21" s="72">
        <f t="shared" si="1"/>
        <v>-834</v>
      </c>
      <c r="G21" s="61"/>
      <c r="H21" s="61" t="str">
        <f>IFERROR(__xludf.DUMMYFUNCTION("""COMPUTED_VALUE"""),"Australia")</f>
        <v>Australia</v>
      </c>
      <c r="I21" s="61" t="str">
        <f>IFERROR(__xludf.DUMMYFUNCTION("""COMPUTED_VALUE"""),"Jellyfish")</f>
        <v>Jellyfish</v>
      </c>
      <c r="J21" s="61">
        <f>IFERROR(__xludf.DUMMYFUNCTION("""COMPUTED_VALUE"""),3972.0)</f>
        <v>3972</v>
      </c>
      <c r="K21" s="61"/>
      <c r="L21" s="61">
        <f>IFERROR(__xludf.DUMMYFUNCTION("""COMPUTED_VALUE"""),3972.0)</f>
        <v>3972</v>
      </c>
      <c r="M21" s="61" t="str">
        <f>IFERROR(__xludf.DUMMYFUNCTION("""COMPUTED_VALUE"""),"Australia")</f>
        <v>Australia</v>
      </c>
      <c r="N21" s="61"/>
      <c r="O21" s="61"/>
      <c r="P21" s="61"/>
      <c r="Q21" s="61"/>
      <c r="R21" s="61"/>
      <c r="S21" s="61"/>
      <c r="T21" s="61"/>
      <c r="U21" s="61"/>
      <c r="V21" s="61"/>
      <c r="W21" s="61"/>
      <c r="X21" s="61"/>
      <c r="Y21" s="61"/>
      <c r="Z21" s="61"/>
      <c r="AA21" s="61"/>
    </row>
    <row r="22">
      <c r="A22" s="61" t="s">
        <v>373</v>
      </c>
      <c r="B22" s="61" t="s">
        <v>394</v>
      </c>
      <c r="C22" s="61" t="s">
        <v>377</v>
      </c>
      <c r="D22" s="71">
        <v>9731.0</v>
      </c>
      <c r="E22" s="71">
        <v>9536.0</v>
      </c>
      <c r="F22" s="72">
        <f t="shared" si="1"/>
        <v>195</v>
      </c>
      <c r="G22" s="61"/>
      <c r="H22" s="61" t="str">
        <f>IFERROR(__xludf.DUMMYFUNCTION("""COMPUTED_VALUE"""),"Australia")</f>
        <v>Australia</v>
      </c>
      <c r="I22" s="61" t="str">
        <f>IFERROR(__xludf.DUMMYFUNCTION("""COMPUTED_VALUE"""),"Kryptis")</f>
        <v>Kryptis</v>
      </c>
      <c r="J22" s="61">
        <f>IFERROR(__xludf.DUMMYFUNCTION("""COMPUTED_VALUE"""),4469.0)</f>
        <v>4469</v>
      </c>
      <c r="K22" s="61"/>
      <c r="L22" s="61">
        <f>IFERROR(__xludf.DUMMYFUNCTION("""COMPUTED_VALUE"""),4469.0)</f>
        <v>4469</v>
      </c>
      <c r="M22" s="61" t="str">
        <f>IFERROR(__xludf.DUMMYFUNCTION("""COMPUTED_VALUE"""),"Australia")</f>
        <v>Australia</v>
      </c>
      <c r="N22" s="61"/>
      <c r="O22" s="61"/>
      <c r="P22" s="61"/>
      <c r="Q22" s="61"/>
      <c r="R22" s="61"/>
      <c r="S22" s="61"/>
      <c r="T22" s="61"/>
      <c r="U22" s="61"/>
      <c r="V22" s="61"/>
      <c r="W22" s="61"/>
      <c r="X22" s="61"/>
      <c r="Y22" s="61"/>
      <c r="Z22" s="61"/>
      <c r="AA22" s="61"/>
    </row>
    <row r="23">
      <c r="A23" s="61" t="s">
        <v>373</v>
      </c>
      <c r="B23" s="61" t="s">
        <v>394</v>
      </c>
      <c r="C23" s="61" t="s">
        <v>379</v>
      </c>
      <c r="D23" s="71">
        <v>15754.0</v>
      </c>
      <c r="E23" s="71">
        <v>12603.0</v>
      </c>
      <c r="F23" s="72">
        <f t="shared" si="1"/>
        <v>3151</v>
      </c>
      <c r="G23" s="61"/>
      <c r="H23" s="61" t="str">
        <f>IFERROR(__xludf.DUMMYFUNCTION("""COMPUTED_VALUE"""),"Australia")</f>
        <v>Australia</v>
      </c>
      <c r="I23" s="61" t="str">
        <f>IFERROR(__xludf.DUMMYFUNCTION("""COMPUTED_VALUE"""),"Perino")</f>
        <v>Perino</v>
      </c>
      <c r="J23" s="61">
        <f>IFERROR(__xludf.DUMMYFUNCTION("""COMPUTED_VALUE"""),993.0)</f>
        <v>993</v>
      </c>
      <c r="K23" s="61"/>
      <c r="L23" s="61">
        <f>IFERROR(__xludf.DUMMYFUNCTION("""COMPUTED_VALUE"""),993.0)</f>
        <v>993</v>
      </c>
      <c r="M23" s="61" t="str">
        <f>IFERROR(__xludf.DUMMYFUNCTION("""COMPUTED_VALUE"""),"Australia")</f>
        <v>Australia</v>
      </c>
      <c r="N23" s="61"/>
      <c r="O23" s="61"/>
      <c r="P23" s="61"/>
      <c r="Q23" s="61"/>
      <c r="R23" s="61"/>
      <c r="S23" s="61"/>
      <c r="T23" s="61"/>
      <c r="U23" s="61"/>
      <c r="V23" s="61"/>
      <c r="W23" s="61"/>
      <c r="X23" s="61"/>
      <c r="Y23" s="61"/>
      <c r="Z23" s="61"/>
      <c r="AA23" s="61"/>
    </row>
    <row r="24">
      <c r="A24" s="61" t="s">
        <v>373</v>
      </c>
      <c r="B24" s="61" t="s">
        <v>394</v>
      </c>
      <c r="C24" s="61" t="s">
        <v>381</v>
      </c>
      <c r="D24" s="71">
        <v>927.0</v>
      </c>
      <c r="E24" s="71">
        <v>973.0</v>
      </c>
      <c r="F24" s="72">
        <f t="shared" si="1"/>
        <v>-46</v>
      </c>
      <c r="G24" s="61"/>
      <c r="H24" s="61" t="str">
        <f>IFERROR(__xludf.DUMMYFUNCTION("""COMPUTED_VALUE"""),"Australia")</f>
        <v>Australia</v>
      </c>
      <c r="I24" s="61" t="str">
        <f>IFERROR(__xludf.DUMMYFUNCTION("""COMPUTED_VALUE"""),"Pes")</f>
        <v>Pes</v>
      </c>
      <c r="J24" s="61">
        <f>IFERROR(__xludf.DUMMYFUNCTION("""COMPUTED_VALUE"""),497.0)</f>
        <v>497</v>
      </c>
      <c r="K24" s="61"/>
      <c r="L24" s="61">
        <f>IFERROR(__xludf.DUMMYFUNCTION("""COMPUTED_VALUE"""),497.0)</f>
        <v>497</v>
      </c>
      <c r="M24" s="61" t="str">
        <f>IFERROR(__xludf.DUMMYFUNCTION("""COMPUTED_VALUE"""),"Australia")</f>
        <v>Australia</v>
      </c>
      <c r="N24" s="61"/>
      <c r="O24" s="61"/>
      <c r="P24" s="61"/>
      <c r="Q24" s="61"/>
      <c r="R24" s="61"/>
      <c r="S24" s="61"/>
      <c r="T24" s="61"/>
      <c r="U24" s="61"/>
      <c r="V24" s="61"/>
      <c r="W24" s="61"/>
      <c r="X24" s="61"/>
      <c r="Y24" s="61"/>
      <c r="Z24" s="61"/>
      <c r="AA24" s="61"/>
    </row>
    <row r="25">
      <c r="A25" s="61" t="s">
        <v>373</v>
      </c>
      <c r="B25" s="61" t="s">
        <v>394</v>
      </c>
      <c r="C25" s="61" t="s">
        <v>382</v>
      </c>
      <c r="D25" s="71">
        <v>1390.0</v>
      </c>
      <c r="E25" s="71">
        <v>1460.0</v>
      </c>
      <c r="F25" s="72">
        <f t="shared" si="1"/>
        <v>-70</v>
      </c>
      <c r="G25" s="61"/>
      <c r="H25" s="61" t="str">
        <f>IFERROR(__xludf.DUMMYFUNCTION("""COMPUTED_VALUE"""),"Australia")</f>
        <v>Australia</v>
      </c>
      <c r="I25" s="61" t="str">
        <f>IFERROR(__xludf.DUMMYFUNCTION("""COMPUTED_VALUE"""),"Twistrr")</f>
        <v>Twistrr</v>
      </c>
      <c r="J25" s="61">
        <f>IFERROR(__xludf.DUMMYFUNCTION("""COMPUTED_VALUE"""),3476.0)</f>
        <v>3476</v>
      </c>
      <c r="K25" s="61"/>
      <c r="L25" s="61">
        <f>IFERROR(__xludf.DUMMYFUNCTION("""COMPUTED_VALUE"""),3476.0)</f>
        <v>3476</v>
      </c>
      <c r="M25" s="61" t="str">
        <f>IFERROR(__xludf.DUMMYFUNCTION("""COMPUTED_VALUE"""),"Australia")</f>
        <v>Australia</v>
      </c>
      <c r="N25" s="61"/>
      <c r="O25" s="61"/>
      <c r="P25" s="61"/>
      <c r="Q25" s="61"/>
      <c r="R25" s="61"/>
      <c r="S25" s="61"/>
      <c r="T25" s="61"/>
      <c r="U25" s="61"/>
      <c r="V25" s="61"/>
      <c r="W25" s="61"/>
      <c r="X25" s="61"/>
      <c r="Y25" s="61"/>
      <c r="Z25" s="61"/>
      <c r="AA25" s="61"/>
    </row>
    <row r="26">
      <c r="A26" s="61" t="s">
        <v>373</v>
      </c>
      <c r="B26" s="61" t="s">
        <v>394</v>
      </c>
      <c r="C26" s="61" t="s">
        <v>388</v>
      </c>
      <c r="D26" s="71">
        <v>1853.0</v>
      </c>
      <c r="E26" s="71">
        <v>1612.0</v>
      </c>
      <c r="F26" s="72">
        <f t="shared" si="1"/>
        <v>241</v>
      </c>
      <c r="G26" s="61"/>
      <c r="H26" s="61" t="str">
        <f>IFERROR(__xludf.DUMMYFUNCTION("""COMPUTED_VALUE"""),"Europe")</f>
        <v>Europe</v>
      </c>
      <c r="I26" s="61" t="str">
        <f>IFERROR(__xludf.DUMMYFUNCTION("""COMPUTED_VALUE"""),"Arcade")</f>
        <v>Arcade</v>
      </c>
      <c r="J26" s="61">
        <f>IFERROR(__xludf.DUMMYFUNCTION("""COMPUTED_VALUE"""),9267.0)</f>
        <v>9267</v>
      </c>
      <c r="K26" s="61"/>
      <c r="L26" s="61">
        <f>IFERROR(__xludf.DUMMYFUNCTION("""COMPUTED_VALUE"""),9267.0)</f>
        <v>9267</v>
      </c>
      <c r="M26" s="61" t="str">
        <f>IFERROR(__xludf.DUMMYFUNCTION("""COMPUTED_VALUE"""),"Europe")</f>
        <v>Europe</v>
      </c>
      <c r="N26" s="61"/>
      <c r="O26" s="61"/>
      <c r="P26" s="61"/>
      <c r="Q26" s="61"/>
      <c r="R26" s="61"/>
      <c r="S26" s="61"/>
      <c r="T26" s="61"/>
      <c r="U26" s="61"/>
      <c r="V26" s="61"/>
      <c r="W26" s="61"/>
      <c r="X26" s="61"/>
      <c r="Y26" s="61"/>
      <c r="Z26" s="61"/>
      <c r="AA26" s="61"/>
    </row>
    <row r="27">
      <c r="A27" s="61" t="s">
        <v>373</v>
      </c>
      <c r="B27" s="61" t="s">
        <v>394</v>
      </c>
      <c r="C27" s="61" t="s">
        <v>389</v>
      </c>
      <c r="D27" s="71">
        <v>2317.0</v>
      </c>
      <c r="E27" s="71">
        <v>2039.0</v>
      </c>
      <c r="F27" s="72">
        <f t="shared" si="1"/>
        <v>278</v>
      </c>
      <c r="G27" s="61"/>
      <c r="H27" s="61" t="str">
        <f>IFERROR(__xludf.DUMMYFUNCTION("""COMPUTED_VALUE"""),"Europe")</f>
        <v>Europe</v>
      </c>
      <c r="I27" s="61" t="str">
        <f>IFERROR(__xludf.DUMMYFUNCTION("""COMPUTED_VALUE"""),"Aviatrr")</f>
        <v>Aviatrr</v>
      </c>
      <c r="J27" s="61">
        <f>IFERROR(__xludf.DUMMYFUNCTION("""COMPUTED_VALUE"""),9731.0)</f>
        <v>9731</v>
      </c>
      <c r="K27" s="61"/>
      <c r="L27" s="61">
        <f>IFERROR(__xludf.DUMMYFUNCTION("""COMPUTED_VALUE"""),9731.0)</f>
        <v>9731</v>
      </c>
      <c r="M27" s="61" t="str">
        <f>IFERROR(__xludf.DUMMYFUNCTION("""COMPUTED_VALUE"""),"Europe")</f>
        <v>Europe</v>
      </c>
      <c r="N27" s="61"/>
      <c r="O27" s="61"/>
      <c r="P27" s="61"/>
      <c r="Q27" s="61"/>
      <c r="R27" s="61"/>
      <c r="S27" s="61"/>
      <c r="T27" s="61"/>
      <c r="U27" s="61"/>
      <c r="V27" s="61"/>
      <c r="W27" s="61"/>
      <c r="X27" s="61"/>
      <c r="Y27" s="61"/>
      <c r="Z27" s="61"/>
      <c r="AA27" s="61"/>
    </row>
    <row r="28">
      <c r="A28" s="61" t="s">
        <v>373</v>
      </c>
      <c r="B28" s="61" t="s">
        <v>394</v>
      </c>
      <c r="C28" s="61" t="s">
        <v>390</v>
      </c>
      <c r="D28" s="71">
        <v>927.0</v>
      </c>
      <c r="E28" s="71">
        <v>769.0</v>
      </c>
      <c r="F28" s="72">
        <f t="shared" si="1"/>
        <v>158</v>
      </c>
      <c r="G28" s="61"/>
      <c r="H28" s="61" t="str">
        <f>IFERROR(__xludf.DUMMYFUNCTION("""COMPUTED_VALUE"""),"Europe")</f>
        <v>Europe</v>
      </c>
      <c r="I28" s="61" t="str">
        <f>IFERROR(__xludf.DUMMYFUNCTION("""COMPUTED_VALUE"""),"Baden")</f>
        <v>Baden</v>
      </c>
      <c r="J28" s="61">
        <f>IFERROR(__xludf.DUMMYFUNCTION("""COMPUTED_VALUE"""),15754.0)</f>
        <v>15754</v>
      </c>
      <c r="K28" s="61"/>
      <c r="L28" s="61">
        <f>IFERROR(__xludf.DUMMYFUNCTION("""COMPUTED_VALUE"""),15754.0)</f>
        <v>15754</v>
      </c>
      <c r="M28" s="61" t="str">
        <f>IFERROR(__xludf.DUMMYFUNCTION("""COMPUTED_VALUE"""),"Europe")</f>
        <v>Europe</v>
      </c>
      <c r="N28" s="61"/>
      <c r="O28" s="61"/>
      <c r="P28" s="61"/>
      <c r="Q28" s="61"/>
      <c r="R28" s="61"/>
      <c r="S28" s="61"/>
      <c r="T28" s="61"/>
      <c r="U28" s="61"/>
      <c r="V28" s="61"/>
      <c r="W28" s="61"/>
      <c r="X28" s="61"/>
      <c r="Y28" s="61"/>
      <c r="Z28" s="61"/>
      <c r="AA28" s="61"/>
    </row>
    <row r="29">
      <c r="A29" s="61" t="s">
        <v>373</v>
      </c>
      <c r="B29" s="61" t="s">
        <v>394</v>
      </c>
      <c r="C29" s="61" t="s">
        <v>391</v>
      </c>
      <c r="D29" s="71">
        <v>927.0</v>
      </c>
      <c r="E29" s="71">
        <v>751.0</v>
      </c>
      <c r="F29" s="72">
        <f t="shared" si="1"/>
        <v>176</v>
      </c>
      <c r="G29" s="61"/>
      <c r="H29" s="61" t="str">
        <f>IFERROR(__xludf.DUMMYFUNCTION("""COMPUTED_VALUE"""),"Europe")</f>
        <v>Europe</v>
      </c>
      <c r="I29" s="61" t="str">
        <f>IFERROR(__xludf.DUMMYFUNCTION("""COMPUTED_VALUE"""),"deRamblr")</f>
        <v>deRamblr</v>
      </c>
      <c r="J29" s="61">
        <f>IFERROR(__xludf.DUMMYFUNCTION("""COMPUTED_VALUE"""),927.0)</f>
        <v>927</v>
      </c>
      <c r="K29" s="61"/>
      <c r="L29" s="61">
        <f>IFERROR(__xludf.DUMMYFUNCTION("""COMPUTED_VALUE"""),927.0)</f>
        <v>927</v>
      </c>
      <c r="M29" s="61" t="str">
        <f>IFERROR(__xludf.DUMMYFUNCTION("""COMPUTED_VALUE"""),"Europe")</f>
        <v>Europe</v>
      </c>
      <c r="N29" s="61"/>
      <c r="O29" s="61"/>
      <c r="P29" s="61"/>
      <c r="Q29" s="61"/>
      <c r="R29" s="61"/>
      <c r="S29" s="61"/>
      <c r="T29" s="61"/>
      <c r="U29" s="61"/>
      <c r="V29" s="61"/>
      <c r="W29" s="61"/>
      <c r="X29" s="61"/>
      <c r="Y29" s="61"/>
      <c r="Z29" s="61"/>
      <c r="AA29" s="61"/>
    </row>
    <row r="30">
      <c r="A30" s="61" t="s">
        <v>373</v>
      </c>
      <c r="B30" s="61" t="s">
        <v>394</v>
      </c>
      <c r="C30" s="61" t="s">
        <v>392</v>
      </c>
      <c r="D30" s="71">
        <v>463.0</v>
      </c>
      <c r="E30" s="71">
        <v>505.0</v>
      </c>
      <c r="F30" s="72">
        <f t="shared" si="1"/>
        <v>-42</v>
      </c>
      <c r="G30" s="61"/>
      <c r="H30" s="61" t="str">
        <f>IFERROR(__xludf.DUMMYFUNCTION("""COMPUTED_VALUE"""),"Europe")</f>
        <v>Europe</v>
      </c>
      <c r="I30" s="61" t="str">
        <f>IFERROR(__xludf.DUMMYFUNCTION("""COMPUTED_VALUE"""),"Fightrr")</f>
        <v>Fightrr</v>
      </c>
      <c r="J30" s="61">
        <f>IFERROR(__xludf.DUMMYFUNCTION("""COMPUTED_VALUE"""),1390.0)</f>
        <v>1390</v>
      </c>
      <c r="K30" s="61"/>
      <c r="L30" s="61">
        <f>IFERROR(__xludf.DUMMYFUNCTION("""COMPUTED_VALUE"""),1390.0)</f>
        <v>1390</v>
      </c>
      <c r="M30" s="61" t="str">
        <f>IFERROR(__xludf.DUMMYFUNCTION("""COMPUTED_VALUE"""),"Europe")</f>
        <v>Europe</v>
      </c>
      <c r="N30" s="61"/>
      <c r="O30" s="61"/>
      <c r="P30" s="61"/>
      <c r="Q30" s="61"/>
      <c r="R30" s="61"/>
      <c r="S30" s="61"/>
      <c r="T30" s="61"/>
      <c r="U30" s="61"/>
      <c r="V30" s="61"/>
      <c r="W30" s="61"/>
      <c r="X30" s="61"/>
      <c r="Y30" s="61"/>
      <c r="Z30" s="61"/>
      <c r="AA30" s="61"/>
    </row>
    <row r="31">
      <c r="A31" s="61" t="s">
        <v>373</v>
      </c>
      <c r="B31" s="61" t="s">
        <v>394</v>
      </c>
      <c r="C31" s="61" t="s">
        <v>393</v>
      </c>
      <c r="D31" s="71">
        <v>463.0</v>
      </c>
      <c r="E31" s="71">
        <v>375.0</v>
      </c>
      <c r="F31" s="72">
        <f t="shared" si="1"/>
        <v>88</v>
      </c>
      <c r="G31" s="61"/>
      <c r="H31" s="61" t="str">
        <f>IFERROR(__xludf.DUMMYFUNCTION("""COMPUTED_VALUE"""),"Europe")</f>
        <v>Europe</v>
      </c>
      <c r="I31" s="61" t="str">
        <f>IFERROR(__xludf.DUMMYFUNCTION("""COMPUTED_VALUE"""),"Five Labs")</f>
        <v>Five Labs</v>
      </c>
      <c r="J31" s="61">
        <f>IFERROR(__xludf.DUMMYFUNCTION("""COMPUTED_VALUE"""),1853.0)</f>
        <v>1853</v>
      </c>
      <c r="K31" s="61"/>
      <c r="L31" s="61">
        <f>IFERROR(__xludf.DUMMYFUNCTION("""COMPUTED_VALUE"""),1853.0)</f>
        <v>1853</v>
      </c>
      <c r="M31" s="61" t="str">
        <f>IFERROR(__xludf.DUMMYFUNCTION("""COMPUTED_VALUE"""),"Europe")</f>
        <v>Europe</v>
      </c>
      <c r="N31" s="61"/>
      <c r="O31" s="61"/>
      <c r="P31" s="61"/>
      <c r="Q31" s="61"/>
      <c r="R31" s="61"/>
      <c r="S31" s="61"/>
      <c r="T31" s="61"/>
      <c r="U31" s="61"/>
      <c r="V31" s="61"/>
      <c r="W31" s="61"/>
      <c r="X31" s="61"/>
      <c r="Y31" s="61"/>
      <c r="Z31" s="61"/>
      <c r="AA31" s="61"/>
    </row>
    <row r="32">
      <c r="A32" s="61" t="s">
        <v>373</v>
      </c>
      <c r="B32" s="61" t="s">
        <v>394</v>
      </c>
      <c r="C32" s="61" t="s">
        <v>385</v>
      </c>
      <c r="D32" s="71">
        <v>2317.0</v>
      </c>
      <c r="E32" s="71">
        <v>2780.0</v>
      </c>
      <c r="F32" s="72">
        <f t="shared" si="1"/>
        <v>-463</v>
      </c>
      <c r="G32" s="61"/>
      <c r="H32" s="61" t="str">
        <f>IFERROR(__xludf.DUMMYFUNCTION("""COMPUTED_VALUE"""),"Europe")</f>
        <v>Europe</v>
      </c>
      <c r="I32" s="61" t="str">
        <f>IFERROR(__xludf.DUMMYFUNCTION("""COMPUTED_VALUE"""),"Hackrr")</f>
        <v>Hackrr</v>
      </c>
      <c r="J32" s="61">
        <f>IFERROR(__xludf.DUMMYFUNCTION("""COMPUTED_VALUE"""),2317.0)</f>
        <v>2317</v>
      </c>
      <c r="K32" s="61"/>
      <c r="L32" s="61">
        <f>IFERROR(__xludf.DUMMYFUNCTION("""COMPUTED_VALUE"""),2317.0)</f>
        <v>2317</v>
      </c>
      <c r="M32" s="61" t="str">
        <f>IFERROR(__xludf.DUMMYFUNCTION("""COMPUTED_VALUE"""),"Europe")</f>
        <v>Europe</v>
      </c>
      <c r="N32" s="61"/>
      <c r="O32" s="61"/>
      <c r="P32" s="61"/>
      <c r="Q32" s="61"/>
      <c r="R32" s="61"/>
      <c r="S32" s="61"/>
      <c r="T32" s="61"/>
      <c r="U32" s="61"/>
      <c r="V32" s="61"/>
      <c r="W32" s="61"/>
      <c r="X32" s="61"/>
      <c r="Y32" s="61"/>
      <c r="Z32" s="61"/>
      <c r="AA32" s="61"/>
    </row>
    <row r="33">
      <c r="A33" s="61" t="s">
        <v>373</v>
      </c>
      <c r="B33" s="61" t="s">
        <v>395</v>
      </c>
      <c r="C33" s="61" t="s">
        <v>375</v>
      </c>
      <c r="D33" s="71">
        <v>5361.0</v>
      </c>
      <c r="E33" s="71">
        <v>5575.0</v>
      </c>
      <c r="F33" s="72">
        <f t="shared" si="1"/>
        <v>-214</v>
      </c>
      <c r="G33" s="61"/>
      <c r="H33" s="61" t="str">
        <f>IFERROR(__xludf.DUMMYFUNCTION("""COMPUTED_VALUE"""),"Europe")</f>
        <v>Europe</v>
      </c>
      <c r="I33" s="61" t="str">
        <f>IFERROR(__xludf.DUMMYFUNCTION("""COMPUTED_VALUE"""),"Jellyfish")</f>
        <v>Jellyfish</v>
      </c>
      <c r="J33" s="61">
        <f>IFERROR(__xludf.DUMMYFUNCTION("""COMPUTED_VALUE"""),927.0)</f>
        <v>927</v>
      </c>
      <c r="K33" s="61"/>
      <c r="L33" s="61">
        <f>IFERROR(__xludf.DUMMYFUNCTION("""COMPUTED_VALUE"""),927.0)</f>
        <v>927</v>
      </c>
      <c r="M33" s="61" t="str">
        <f>IFERROR(__xludf.DUMMYFUNCTION("""COMPUTED_VALUE"""),"Europe")</f>
        <v>Europe</v>
      </c>
      <c r="N33" s="61"/>
      <c r="O33" s="61"/>
      <c r="P33" s="61"/>
      <c r="Q33" s="61"/>
      <c r="R33" s="61"/>
      <c r="S33" s="61"/>
      <c r="T33" s="61"/>
      <c r="U33" s="61"/>
      <c r="V33" s="61"/>
      <c r="W33" s="61"/>
      <c r="X33" s="61"/>
      <c r="Y33" s="61"/>
      <c r="Z33" s="61"/>
      <c r="AA33" s="61"/>
    </row>
    <row r="34">
      <c r="A34" s="61" t="s">
        <v>373</v>
      </c>
      <c r="B34" s="61" t="s">
        <v>395</v>
      </c>
      <c r="C34" s="61" t="s">
        <v>377</v>
      </c>
      <c r="D34" s="71">
        <v>5808.0</v>
      </c>
      <c r="E34" s="71">
        <v>6156.0</v>
      </c>
      <c r="F34" s="72">
        <f t="shared" si="1"/>
        <v>-348</v>
      </c>
      <c r="G34" s="61"/>
      <c r="H34" s="61" t="str">
        <f>IFERROR(__xludf.DUMMYFUNCTION("""COMPUTED_VALUE"""),"Europe")</f>
        <v>Europe</v>
      </c>
      <c r="I34" s="61" t="str">
        <f>IFERROR(__xludf.DUMMYFUNCTION("""COMPUTED_VALUE"""),"Kryptis")</f>
        <v>Kryptis</v>
      </c>
      <c r="J34" s="61">
        <f>IFERROR(__xludf.DUMMYFUNCTION("""COMPUTED_VALUE"""),927.0)</f>
        <v>927</v>
      </c>
      <c r="K34" s="61"/>
      <c r="L34" s="61">
        <f>IFERROR(__xludf.DUMMYFUNCTION("""COMPUTED_VALUE"""),927.0)</f>
        <v>927</v>
      </c>
      <c r="M34" s="61" t="str">
        <f>IFERROR(__xludf.DUMMYFUNCTION("""COMPUTED_VALUE"""),"Europe")</f>
        <v>Europe</v>
      </c>
      <c r="N34" s="61"/>
      <c r="O34" s="61"/>
      <c r="P34" s="61"/>
      <c r="Q34" s="61"/>
      <c r="R34" s="61"/>
      <c r="S34" s="61"/>
      <c r="T34" s="61"/>
      <c r="U34" s="61"/>
      <c r="V34" s="61"/>
      <c r="W34" s="61"/>
      <c r="X34" s="61"/>
      <c r="Y34" s="61"/>
      <c r="Z34" s="61"/>
      <c r="AA34" s="61"/>
    </row>
    <row r="35">
      <c r="A35" s="61" t="s">
        <v>373</v>
      </c>
      <c r="B35" s="61" t="s">
        <v>395</v>
      </c>
      <c r="C35" s="61" t="s">
        <v>379</v>
      </c>
      <c r="D35" s="71">
        <v>6701.0</v>
      </c>
      <c r="E35" s="71">
        <v>6500.0</v>
      </c>
      <c r="F35" s="72">
        <f t="shared" si="1"/>
        <v>201</v>
      </c>
      <c r="G35" s="61"/>
      <c r="H35" s="61" t="str">
        <f>IFERROR(__xludf.DUMMYFUNCTION("""COMPUTED_VALUE"""),"Europe")</f>
        <v>Europe</v>
      </c>
      <c r="I35" s="61" t="str">
        <f>IFERROR(__xludf.DUMMYFUNCTION("""COMPUTED_VALUE"""),"Perino")</f>
        <v>Perino</v>
      </c>
      <c r="J35" s="61">
        <f>IFERROR(__xludf.DUMMYFUNCTION("""COMPUTED_VALUE"""),463.0)</f>
        <v>463</v>
      </c>
      <c r="K35" s="61"/>
      <c r="L35" s="61">
        <f>IFERROR(__xludf.DUMMYFUNCTION("""COMPUTED_VALUE"""),463.0)</f>
        <v>463</v>
      </c>
      <c r="M35" s="61" t="str">
        <f>IFERROR(__xludf.DUMMYFUNCTION("""COMPUTED_VALUE"""),"Europe")</f>
        <v>Europe</v>
      </c>
      <c r="N35" s="61"/>
      <c r="O35" s="61"/>
      <c r="P35" s="61"/>
      <c r="Q35" s="61"/>
      <c r="R35" s="61"/>
      <c r="S35" s="61"/>
      <c r="T35" s="61"/>
      <c r="U35" s="61"/>
      <c r="V35" s="61"/>
      <c r="W35" s="61"/>
      <c r="X35" s="61"/>
      <c r="Y35" s="61"/>
      <c r="Z35" s="61"/>
      <c r="AA35" s="61"/>
    </row>
    <row r="36">
      <c r="A36" s="61" t="s">
        <v>373</v>
      </c>
      <c r="B36" s="61" t="s">
        <v>395</v>
      </c>
      <c r="C36" s="61" t="s">
        <v>381</v>
      </c>
      <c r="D36" s="71">
        <v>7148.0</v>
      </c>
      <c r="E36" s="71">
        <v>7934.0</v>
      </c>
      <c r="F36" s="72">
        <f t="shared" si="1"/>
        <v>-786</v>
      </c>
      <c r="G36" s="61"/>
      <c r="H36" s="61" t="str">
        <f>IFERROR(__xludf.DUMMYFUNCTION("""COMPUTED_VALUE"""),"Europe")</f>
        <v>Europe</v>
      </c>
      <c r="I36" s="61" t="str">
        <f>IFERROR(__xludf.DUMMYFUNCTION("""COMPUTED_VALUE"""),"Pes")</f>
        <v>Pes</v>
      </c>
      <c r="J36" s="61">
        <f>IFERROR(__xludf.DUMMYFUNCTION("""COMPUTED_VALUE"""),463.0)</f>
        <v>463</v>
      </c>
      <c r="K36" s="61"/>
      <c r="L36" s="61">
        <f>IFERROR(__xludf.DUMMYFUNCTION("""COMPUTED_VALUE"""),463.0)</f>
        <v>463</v>
      </c>
      <c r="M36" s="61" t="str">
        <f>IFERROR(__xludf.DUMMYFUNCTION("""COMPUTED_VALUE"""),"Europe")</f>
        <v>Europe</v>
      </c>
      <c r="N36" s="61"/>
      <c r="O36" s="61"/>
      <c r="P36" s="61"/>
      <c r="Q36" s="61"/>
      <c r="R36" s="61"/>
      <c r="S36" s="61"/>
      <c r="T36" s="61"/>
      <c r="U36" s="61"/>
      <c r="V36" s="61"/>
      <c r="W36" s="61"/>
      <c r="X36" s="61"/>
      <c r="Y36" s="61"/>
      <c r="Z36" s="61"/>
      <c r="AA36" s="61"/>
    </row>
    <row r="37">
      <c r="A37" s="61" t="s">
        <v>373</v>
      </c>
      <c r="B37" s="61" t="s">
        <v>395</v>
      </c>
      <c r="C37" s="61" t="s">
        <v>382</v>
      </c>
      <c r="D37" s="71">
        <v>8042.0</v>
      </c>
      <c r="E37" s="71">
        <v>6997.0</v>
      </c>
      <c r="F37" s="72">
        <f t="shared" si="1"/>
        <v>1045</v>
      </c>
      <c r="G37" s="61"/>
      <c r="H37" s="61" t="str">
        <f>IFERROR(__xludf.DUMMYFUNCTION("""COMPUTED_VALUE"""),"Europe")</f>
        <v>Europe</v>
      </c>
      <c r="I37" s="61" t="str">
        <f>IFERROR(__xludf.DUMMYFUNCTION("""COMPUTED_VALUE"""),"Twistrr")</f>
        <v>Twistrr</v>
      </c>
      <c r="J37" s="61">
        <f>IFERROR(__xludf.DUMMYFUNCTION("""COMPUTED_VALUE"""),2317.0)</f>
        <v>2317</v>
      </c>
      <c r="K37" s="61"/>
      <c r="L37" s="61">
        <f>IFERROR(__xludf.DUMMYFUNCTION("""COMPUTED_VALUE"""),2317.0)</f>
        <v>2317</v>
      </c>
      <c r="M37" s="61" t="str">
        <f>IFERROR(__xludf.DUMMYFUNCTION("""COMPUTED_VALUE"""),"Europe")</f>
        <v>Europe</v>
      </c>
      <c r="N37" s="61"/>
      <c r="O37" s="61"/>
      <c r="P37" s="61"/>
      <c r="Q37" s="61"/>
      <c r="R37" s="61"/>
      <c r="S37" s="61"/>
      <c r="T37" s="61"/>
      <c r="U37" s="61"/>
      <c r="V37" s="61"/>
      <c r="W37" s="61"/>
      <c r="X37" s="61"/>
      <c r="Y37" s="61"/>
      <c r="Z37" s="61"/>
      <c r="AA37" s="61"/>
    </row>
    <row r="38">
      <c r="A38" s="61" t="s">
        <v>373</v>
      </c>
      <c r="B38" s="61" t="s">
        <v>395</v>
      </c>
      <c r="C38" s="61" t="s">
        <v>388</v>
      </c>
      <c r="D38" s="71">
        <v>447.0</v>
      </c>
      <c r="E38" s="71">
        <v>496.0</v>
      </c>
      <c r="F38" s="72">
        <f t="shared" si="1"/>
        <v>-49</v>
      </c>
      <c r="G38" s="61"/>
      <c r="H38" s="61" t="str">
        <f>IFERROR(__xludf.DUMMYFUNCTION("""COMPUTED_VALUE"""),"North America")</f>
        <v>North America</v>
      </c>
      <c r="I38" s="61" t="str">
        <f>IFERROR(__xludf.DUMMYFUNCTION("""COMPUTED_VALUE"""),"Arcade")</f>
        <v>Arcade</v>
      </c>
      <c r="J38" s="61">
        <f>IFERROR(__xludf.DUMMYFUNCTION("""COMPUTED_VALUE"""),5361.0)</f>
        <v>5361</v>
      </c>
      <c r="K38" s="61"/>
      <c r="L38" s="61">
        <f>IFERROR(__xludf.DUMMYFUNCTION("""COMPUTED_VALUE"""),5361.0)</f>
        <v>5361</v>
      </c>
      <c r="M38" s="61" t="str">
        <f>IFERROR(__xludf.DUMMYFUNCTION("""COMPUTED_VALUE"""),"North America")</f>
        <v>North America</v>
      </c>
      <c r="N38" s="61"/>
      <c r="O38" s="61"/>
      <c r="P38" s="61"/>
      <c r="Q38" s="61"/>
      <c r="R38" s="61"/>
      <c r="S38" s="61"/>
      <c r="T38" s="61"/>
      <c r="U38" s="61"/>
      <c r="V38" s="61"/>
      <c r="W38" s="61"/>
      <c r="X38" s="61"/>
      <c r="Y38" s="61"/>
      <c r="Z38" s="61"/>
      <c r="AA38" s="61"/>
    </row>
    <row r="39">
      <c r="A39" s="61" t="s">
        <v>373</v>
      </c>
      <c r="B39" s="61" t="s">
        <v>395</v>
      </c>
      <c r="C39" s="61" t="s">
        <v>389</v>
      </c>
      <c r="D39" s="71">
        <v>894.0</v>
      </c>
      <c r="E39" s="71">
        <v>1073.0</v>
      </c>
      <c r="F39" s="72">
        <f t="shared" si="1"/>
        <v>-179</v>
      </c>
      <c r="G39" s="61"/>
      <c r="H39" s="61" t="str">
        <f>IFERROR(__xludf.DUMMYFUNCTION("""COMPUTED_VALUE"""),"North America")</f>
        <v>North America</v>
      </c>
      <c r="I39" s="61" t="str">
        <f>IFERROR(__xludf.DUMMYFUNCTION("""COMPUTED_VALUE"""),"Aviatrr")</f>
        <v>Aviatrr</v>
      </c>
      <c r="J39" s="61">
        <f>IFERROR(__xludf.DUMMYFUNCTION("""COMPUTED_VALUE"""),5808.0)</f>
        <v>5808</v>
      </c>
      <c r="K39" s="61"/>
      <c r="L39" s="61">
        <f>IFERROR(__xludf.DUMMYFUNCTION("""COMPUTED_VALUE"""),5808.0)</f>
        <v>5808</v>
      </c>
      <c r="M39" s="61" t="str">
        <f>IFERROR(__xludf.DUMMYFUNCTION("""COMPUTED_VALUE"""),"North America")</f>
        <v>North America</v>
      </c>
      <c r="N39" s="61"/>
      <c r="O39" s="61"/>
      <c r="P39" s="61"/>
      <c r="Q39" s="61"/>
      <c r="R39" s="61"/>
      <c r="S39" s="61"/>
      <c r="T39" s="61"/>
      <c r="U39" s="61"/>
      <c r="V39" s="61"/>
      <c r="W39" s="61"/>
      <c r="X39" s="61"/>
      <c r="Y39" s="61"/>
      <c r="Z39" s="61"/>
      <c r="AA39" s="61"/>
    </row>
    <row r="40">
      <c r="A40" s="61" t="s">
        <v>373</v>
      </c>
      <c r="B40" s="61" t="s">
        <v>395</v>
      </c>
      <c r="C40" s="61" t="s">
        <v>390</v>
      </c>
      <c r="D40" s="71">
        <v>1340.0</v>
      </c>
      <c r="E40" s="71">
        <v>1501.0</v>
      </c>
      <c r="F40" s="72">
        <f t="shared" si="1"/>
        <v>-161</v>
      </c>
      <c r="G40" s="61"/>
      <c r="H40" s="61" t="str">
        <f>IFERROR(__xludf.DUMMYFUNCTION("""COMPUTED_VALUE"""),"North America")</f>
        <v>North America</v>
      </c>
      <c r="I40" s="61" t="str">
        <f>IFERROR(__xludf.DUMMYFUNCTION("""COMPUTED_VALUE"""),"Baden")</f>
        <v>Baden</v>
      </c>
      <c r="J40" s="61">
        <f>IFERROR(__xludf.DUMMYFUNCTION("""COMPUTED_VALUE"""),6701.0)</f>
        <v>6701</v>
      </c>
      <c r="K40" s="61"/>
      <c r="L40" s="61">
        <f>IFERROR(__xludf.DUMMYFUNCTION("""COMPUTED_VALUE"""),6701.0)</f>
        <v>6701</v>
      </c>
      <c r="M40" s="61" t="str">
        <f>IFERROR(__xludf.DUMMYFUNCTION("""COMPUTED_VALUE"""),"North America")</f>
        <v>North America</v>
      </c>
      <c r="N40" s="61"/>
      <c r="O40" s="61"/>
      <c r="P40" s="61"/>
      <c r="Q40" s="61"/>
      <c r="R40" s="61"/>
      <c r="S40" s="61"/>
      <c r="T40" s="61"/>
      <c r="U40" s="61"/>
      <c r="V40" s="61"/>
      <c r="W40" s="61"/>
      <c r="X40" s="61"/>
      <c r="Y40" s="61"/>
      <c r="Z40" s="61"/>
      <c r="AA40" s="61"/>
    </row>
    <row r="41">
      <c r="A41" s="61" t="s">
        <v>373</v>
      </c>
      <c r="B41" s="61" t="s">
        <v>395</v>
      </c>
      <c r="C41" s="61" t="s">
        <v>391</v>
      </c>
      <c r="D41" s="71">
        <v>1787.0</v>
      </c>
      <c r="E41" s="71">
        <v>1984.0</v>
      </c>
      <c r="F41" s="72">
        <f t="shared" si="1"/>
        <v>-197</v>
      </c>
      <c r="G41" s="61"/>
      <c r="H41" s="61" t="str">
        <f>IFERROR(__xludf.DUMMYFUNCTION("""COMPUTED_VALUE"""),"North America")</f>
        <v>North America</v>
      </c>
      <c r="I41" s="61" t="str">
        <f>IFERROR(__xludf.DUMMYFUNCTION("""COMPUTED_VALUE"""),"deRamblr")</f>
        <v>deRamblr</v>
      </c>
      <c r="J41" s="61">
        <f>IFERROR(__xludf.DUMMYFUNCTION("""COMPUTED_VALUE"""),7148.0)</f>
        <v>7148</v>
      </c>
      <c r="K41" s="61"/>
      <c r="L41" s="61">
        <f>IFERROR(__xludf.DUMMYFUNCTION("""COMPUTED_VALUE"""),7148.0)</f>
        <v>7148</v>
      </c>
      <c r="M41" s="61" t="str">
        <f>IFERROR(__xludf.DUMMYFUNCTION("""COMPUTED_VALUE"""),"North America")</f>
        <v>North America</v>
      </c>
      <c r="N41" s="61"/>
      <c r="O41" s="61"/>
      <c r="P41" s="61"/>
      <c r="Q41" s="61"/>
      <c r="R41" s="61"/>
      <c r="S41" s="61"/>
      <c r="T41" s="61"/>
      <c r="U41" s="61"/>
      <c r="V41" s="61"/>
      <c r="W41" s="61"/>
      <c r="X41" s="61"/>
      <c r="Y41" s="61"/>
      <c r="Z41" s="61"/>
      <c r="AA41" s="61"/>
    </row>
    <row r="42">
      <c r="A42" s="61" t="s">
        <v>373</v>
      </c>
      <c r="B42" s="61" t="s">
        <v>395</v>
      </c>
      <c r="C42" s="61" t="s">
        <v>392</v>
      </c>
      <c r="D42" s="71">
        <v>1340.0</v>
      </c>
      <c r="E42" s="71">
        <v>1099.0</v>
      </c>
      <c r="F42" s="72">
        <f t="shared" si="1"/>
        <v>241</v>
      </c>
      <c r="G42" s="61"/>
      <c r="H42" s="61" t="str">
        <f>IFERROR(__xludf.DUMMYFUNCTION("""COMPUTED_VALUE"""),"North America")</f>
        <v>North America</v>
      </c>
      <c r="I42" s="61" t="str">
        <f>IFERROR(__xludf.DUMMYFUNCTION("""COMPUTED_VALUE"""),"Fightrr")</f>
        <v>Fightrr</v>
      </c>
      <c r="J42" s="61">
        <f>IFERROR(__xludf.DUMMYFUNCTION("""COMPUTED_VALUE"""),8042.0)</f>
        <v>8042</v>
      </c>
      <c r="K42" s="61"/>
      <c r="L42" s="61">
        <f>IFERROR(__xludf.DUMMYFUNCTION("""COMPUTED_VALUE"""),8042.0)</f>
        <v>8042</v>
      </c>
      <c r="M42" s="61" t="str">
        <f>IFERROR(__xludf.DUMMYFUNCTION("""COMPUTED_VALUE"""),"North America")</f>
        <v>North America</v>
      </c>
      <c r="N42" s="61"/>
      <c r="O42" s="61"/>
      <c r="P42" s="61"/>
      <c r="Q42" s="61"/>
      <c r="R42" s="61"/>
      <c r="S42" s="61"/>
      <c r="T42" s="61"/>
      <c r="U42" s="61"/>
      <c r="V42" s="61"/>
      <c r="W42" s="61"/>
      <c r="X42" s="61"/>
      <c r="Y42" s="61"/>
      <c r="Z42" s="61"/>
      <c r="AA42" s="61"/>
    </row>
    <row r="43">
      <c r="A43" s="61" t="s">
        <v>373</v>
      </c>
      <c r="B43" s="61" t="s">
        <v>395</v>
      </c>
      <c r="C43" s="61" t="s">
        <v>393</v>
      </c>
      <c r="D43" s="71">
        <v>4468.0</v>
      </c>
      <c r="E43" s="71">
        <v>5138.0</v>
      </c>
      <c r="F43" s="72">
        <f t="shared" si="1"/>
        <v>-670</v>
      </c>
      <c r="G43" s="61"/>
      <c r="H43" s="61" t="str">
        <f>IFERROR(__xludf.DUMMYFUNCTION("""COMPUTED_VALUE"""),"North America")</f>
        <v>North America</v>
      </c>
      <c r="I43" s="61" t="str">
        <f>IFERROR(__xludf.DUMMYFUNCTION("""COMPUTED_VALUE"""),"Five Labs")</f>
        <v>Five Labs</v>
      </c>
      <c r="J43" s="61">
        <f>IFERROR(__xludf.DUMMYFUNCTION("""COMPUTED_VALUE"""),447.0)</f>
        <v>447</v>
      </c>
      <c r="K43" s="61"/>
      <c r="L43" s="61">
        <f>IFERROR(__xludf.DUMMYFUNCTION("""COMPUTED_VALUE"""),447.0)</f>
        <v>447</v>
      </c>
      <c r="M43" s="61" t="str">
        <f>IFERROR(__xludf.DUMMYFUNCTION("""COMPUTED_VALUE"""),"North America")</f>
        <v>North America</v>
      </c>
      <c r="N43" s="61"/>
      <c r="O43" s="61"/>
      <c r="P43" s="61"/>
      <c r="Q43" s="61"/>
      <c r="R43" s="61"/>
      <c r="S43" s="61"/>
      <c r="T43" s="61"/>
      <c r="U43" s="61"/>
      <c r="V43" s="61"/>
      <c r="W43" s="61"/>
      <c r="X43" s="61"/>
      <c r="Y43" s="61"/>
      <c r="Z43" s="61"/>
      <c r="AA43" s="61"/>
    </row>
    <row r="44">
      <c r="A44" s="61" t="s">
        <v>373</v>
      </c>
      <c r="B44" s="61" t="s">
        <v>395</v>
      </c>
      <c r="C44" s="61" t="s">
        <v>385</v>
      </c>
      <c r="D44" s="71">
        <v>1340.0</v>
      </c>
      <c r="E44" s="71">
        <v>1380.0</v>
      </c>
      <c r="F44" s="72">
        <f t="shared" si="1"/>
        <v>-40</v>
      </c>
      <c r="G44" s="61"/>
      <c r="H44" s="61" t="str">
        <f>IFERROR(__xludf.DUMMYFUNCTION("""COMPUTED_VALUE"""),"North America")</f>
        <v>North America</v>
      </c>
      <c r="I44" s="61" t="str">
        <f>IFERROR(__xludf.DUMMYFUNCTION("""COMPUTED_VALUE"""),"Hackrr")</f>
        <v>Hackrr</v>
      </c>
      <c r="J44" s="61">
        <f>IFERROR(__xludf.DUMMYFUNCTION("""COMPUTED_VALUE"""),894.0)</f>
        <v>894</v>
      </c>
      <c r="K44" s="61"/>
      <c r="L44" s="61">
        <f>IFERROR(__xludf.DUMMYFUNCTION("""COMPUTED_VALUE"""),894.0)</f>
        <v>894</v>
      </c>
      <c r="M44" s="61" t="str">
        <f>IFERROR(__xludf.DUMMYFUNCTION("""COMPUTED_VALUE"""),"North America")</f>
        <v>North America</v>
      </c>
      <c r="N44" s="61"/>
      <c r="O44" s="61"/>
      <c r="P44" s="61"/>
      <c r="Q44" s="61"/>
      <c r="R44" s="61"/>
      <c r="S44" s="61"/>
      <c r="T44" s="61"/>
      <c r="U44" s="61"/>
      <c r="V44" s="61"/>
      <c r="W44" s="61"/>
      <c r="X44" s="61"/>
      <c r="Y44" s="61"/>
      <c r="Z44" s="61"/>
      <c r="AA44" s="61"/>
    </row>
    <row r="45">
      <c r="A45" s="61" t="s">
        <v>373</v>
      </c>
      <c r="B45" s="61" t="s">
        <v>396</v>
      </c>
      <c r="C45" s="61" t="s">
        <v>375</v>
      </c>
      <c r="D45" s="71">
        <v>5108.0</v>
      </c>
      <c r="E45" s="71">
        <v>4240.0</v>
      </c>
      <c r="F45" s="72">
        <f t="shared" si="1"/>
        <v>868</v>
      </c>
      <c r="G45" s="61"/>
      <c r="H45" s="61" t="str">
        <f>IFERROR(__xludf.DUMMYFUNCTION("""COMPUTED_VALUE"""),"North America")</f>
        <v>North America</v>
      </c>
      <c r="I45" s="61" t="str">
        <f>IFERROR(__xludf.DUMMYFUNCTION("""COMPUTED_VALUE"""),"Jellyfish")</f>
        <v>Jellyfish</v>
      </c>
      <c r="J45" s="61">
        <f>IFERROR(__xludf.DUMMYFUNCTION("""COMPUTED_VALUE"""),1340.0)</f>
        <v>1340</v>
      </c>
      <c r="K45" s="61"/>
      <c r="L45" s="61">
        <f>IFERROR(__xludf.DUMMYFUNCTION("""COMPUTED_VALUE"""),1340.0)</f>
        <v>1340</v>
      </c>
      <c r="M45" s="61" t="str">
        <f>IFERROR(__xludf.DUMMYFUNCTION("""COMPUTED_VALUE"""),"North America")</f>
        <v>North America</v>
      </c>
      <c r="N45" s="61"/>
      <c r="O45" s="61"/>
      <c r="P45" s="61"/>
      <c r="Q45" s="61"/>
      <c r="R45" s="61"/>
      <c r="S45" s="61"/>
      <c r="T45" s="61"/>
      <c r="U45" s="61"/>
      <c r="V45" s="61"/>
      <c r="W45" s="61"/>
      <c r="X45" s="61"/>
      <c r="Y45" s="61"/>
      <c r="Z45" s="61"/>
      <c r="AA45" s="61"/>
    </row>
    <row r="46">
      <c r="A46" s="61" t="s">
        <v>373</v>
      </c>
      <c r="B46" s="61" t="s">
        <v>396</v>
      </c>
      <c r="C46" s="61" t="s">
        <v>377</v>
      </c>
      <c r="D46" s="71">
        <v>0.0</v>
      </c>
      <c r="E46" s="71">
        <v>0.0</v>
      </c>
      <c r="F46" s="72">
        <f t="shared" si="1"/>
        <v>0</v>
      </c>
      <c r="G46" s="61"/>
      <c r="H46" s="61" t="str">
        <f>IFERROR(__xludf.DUMMYFUNCTION("""COMPUTED_VALUE"""),"North America")</f>
        <v>North America</v>
      </c>
      <c r="I46" s="61" t="str">
        <f>IFERROR(__xludf.DUMMYFUNCTION("""COMPUTED_VALUE"""),"Kryptis")</f>
        <v>Kryptis</v>
      </c>
      <c r="J46" s="61">
        <f>IFERROR(__xludf.DUMMYFUNCTION("""COMPUTED_VALUE"""),1787.0)</f>
        <v>1787</v>
      </c>
      <c r="K46" s="61"/>
      <c r="L46" s="61">
        <f>IFERROR(__xludf.DUMMYFUNCTION("""COMPUTED_VALUE"""),1787.0)</f>
        <v>1787</v>
      </c>
      <c r="M46" s="61" t="str">
        <f>IFERROR(__xludf.DUMMYFUNCTION("""COMPUTED_VALUE"""),"North America")</f>
        <v>North America</v>
      </c>
      <c r="N46" s="61"/>
      <c r="O46" s="61"/>
      <c r="P46" s="61"/>
      <c r="Q46" s="61"/>
      <c r="R46" s="61"/>
      <c r="S46" s="61"/>
      <c r="T46" s="61"/>
      <c r="U46" s="61"/>
      <c r="V46" s="61"/>
      <c r="W46" s="61"/>
      <c r="X46" s="61"/>
      <c r="Y46" s="61"/>
      <c r="Z46" s="61"/>
      <c r="AA46" s="61"/>
    </row>
    <row r="47">
      <c r="A47" s="61" t="s">
        <v>373</v>
      </c>
      <c r="B47" s="61" t="s">
        <v>396</v>
      </c>
      <c r="C47" s="61" t="s">
        <v>379</v>
      </c>
      <c r="D47" s="71">
        <v>0.0</v>
      </c>
      <c r="E47" s="71">
        <v>0.0</v>
      </c>
      <c r="F47" s="72">
        <f t="shared" si="1"/>
        <v>0</v>
      </c>
      <c r="G47" s="61"/>
      <c r="H47" s="61" t="str">
        <f>IFERROR(__xludf.DUMMYFUNCTION("""COMPUTED_VALUE"""),"North America")</f>
        <v>North America</v>
      </c>
      <c r="I47" s="61" t="str">
        <f>IFERROR(__xludf.DUMMYFUNCTION("""COMPUTED_VALUE"""),"Perino")</f>
        <v>Perino</v>
      </c>
      <c r="J47" s="61">
        <f>IFERROR(__xludf.DUMMYFUNCTION("""COMPUTED_VALUE"""),1340.0)</f>
        <v>1340</v>
      </c>
      <c r="K47" s="61"/>
      <c r="L47" s="61">
        <f>IFERROR(__xludf.DUMMYFUNCTION("""COMPUTED_VALUE"""),1340.0)</f>
        <v>1340</v>
      </c>
      <c r="M47" s="61" t="str">
        <f>IFERROR(__xludf.DUMMYFUNCTION("""COMPUTED_VALUE"""),"North America")</f>
        <v>North America</v>
      </c>
      <c r="N47" s="61"/>
      <c r="O47" s="61"/>
      <c r="P47" s="61"/>
      <c r="Q47" s="61"/>
      <c r="R47" s="61"/>
      <c r="S47" s="61"/>
      <c r="T47" s="61"/>
      <c r="U47" s="61"/>
      <c r="V47" s="61"/>
      <c r="W47" s="61"/>
      <c r="X47" s="61"/>
      <c r="Y47" s="61"/>
      <c r="Z47" s="61"/>
      <c r="AA47" s="61"/>
    </row>
    <row r="48">
      <c r="A48" s="61" t="s">
        <v>373</v>
      </c>
      <c r="B48" s="61" t="s">
        <v>396</v>
      </c>
      <c r="C48" s="61" t="s">
        <v>381</v>
      </c>
      <c r="D48" s="71">
        <v>0.0</v>
      </c>
      <c r="E48" s="71">
        <v>0.0</v>
      </c>
      <c r="F48" s="72">
        <f t="shared" si="1"/>
        <v>0</v>
      </c>
      <c r="G48" s="61"/>
      <c r="H48" s="61" t="str">
        <f>IFERROR(__xludf.DUMMYFUNCTION("""COMPUTED_VALUE"""),"North America")</f>
        <v>North America</v>
      </c>
      <c r="I48" s="61" t="str">
        <f>IFERROR(__xludf.DUMMYFUNCTION("""COMPUTED_VALUE"""),"Pes")</f>
        <v>Pes</v>
      </c>
      <c r="J48" s="61">
        <f>IFERROR(__xludf.DUMMYFUNCTION("""COMPUTED_VALUE"""),4468.0)</f>
        <v>4468</v>
      </c>
      <c r="K48" s="61"/>
      <c r="L48" s="61">
        <f>IFERROR(__xludf.DUMMYFUNCTION("""COMPUTED_VALUE"""),4468.0)</f>
        <v>4468</v>
      </c>
      <c r="M48" s="61" t="str">
        <f>IFERROR(__xludf.DUMMYFUNCTION("""COMPUTED_VALUE"""),"North America")</f>
        <v>North America</v>
      </c>
      <c r="N48" s="61"/>
      <c r="O48" s="61"/>
      <c r="P48" s="61"/>
      <c r="Q48" s="61"/>
      <c r="R48" s="61"/>
      <c r="S48" s="61"/>
      <c r="T48" s="61"/>
      <c r="U48" s="61"/>
      <c r="V48" s="61"/>
      <c r="W48" s="61"/>
      <c r="X48" s="61"/>
      <c r="Y48" s="61"/>
      <c r="Z48" s="61"/>
      <c r="AA48" s="61"/>
    </row>
    <row r="49">
      <c r="A49" s="61" t="s">
        <v>373</v>
      </c>
      <c r="B49" s="61" t="s">
        <v>396</v>
      </c>
      <c r="C49" s="61" t="s">
        <v>382</v>
      </c>
      <c r="D49" s="71">
        <v>851.0</v>
      </c>
      <c r="E49" s="71">
        <v>996.0</v>
      </c>
      <c r="F49" s="72">
        <f t="shared" si="1"/>
        <v>-145</v>
      </c>
      <c r="G49" s="61"/>
      <c r="H49" s="61" t="str">
        <f>IFERROR(__xludf.DUMMYFUNCTION("""COMPUTED_VALUE"""),"North America")</f>
        <v>North America</v>
      </c>
      <c r="I49" s="61" t="str">
        <f>IFERROR(__xludf.DUMMYFUNCTION("""COMPUTED_VALUE"""),"Twistrr")</f>
        <v>Twistrr</v>
      </c>
      <c r="J49" s="61">
        <f>IFERROR(__xludf.DUMMYFUNCTION("""COMPUTED_VALUE"""),1340.0)</f>
        <v>1340</v>
      </c>
      <c r="K49" s="61"/>
      <c r="L49" s="61">
        <f>IFERROR(__xludf.DUMMYFUNCTION("""COMPUTED_VALUE"""),1340.0)</f>
        <v>1340</v>
      </c>
      <c r="M49" s="61" t="str">
        <f>IFERROR(__xludf.DUMMYFUNCTION("""COMPUTED_VALUE"""),"North America")</f>
        <v>North America</v>
      </c>
      <c r="N49" s="61"/>
      <c r="O49" s="61"/>
      <c r="P49" s="61"/>
      <c r="Q49" s="61"/>
      <c r="R49" s="61"/>
      <c r="S49" s="61"/>
      <c r="T49" s="61"/>
      <c r="U49" s="61"/>
      <c r="V49" s="61"/>
      <c r="W49" s="61"/>
      <c r="X49" s="61"/>
      <c r="Y49" s="61"/>
      <c r="Z49" s="61"/>
      <c r="AA49" s="61"/>
    </row>
    <row r="50">
      <c r="A50" s="61" t="s">
        <v>373</v>
      </c>
      <c r="B50" s="61" t="s">
        <v>396</v>
      </c>
      <c r="C50" s="61" t="s">
        <v>388</v>
      </c>
      <c r="D50" s="71">
        <v>2554.0</v>
      </c>
      <c r="E50" s="71">
        <v>3065.0</v>
      </c>
      <c r="F50" s="72">
        <f t="shared" si="1"/>
        <v>-511</v>
      </c>
      <c r="G50" s="61"/>
      <c r="H50" s="61" t="str">
        <f>IFERROR(__xludf.DUMMYFUNCTION("""COMPUTED_VALUE"""),"South America")</f>
        <v>South America</v>
      </c>
      <c r="I50" s="61" t="str">
        <f>IFERROR(__xludf.DUMMYFUNCTION("""COMPUTED_VALUE"""),"Arcade")</f>
        <v>Arcade</v>
      </c>
      <c r="J50" s="61">
        <f>IFERROR(__xludf.DUMMYFUNCTION("""COMPUTED_VALUE"""),5108.0)</f>
        <v>5108</v>
      </c>
      <c r="K50" s="61"/>
      <c r="L50" s="61">
        <f>IFERROR(__xludf.DUMMYFUNCTION("""COMPUTED_VALUE"""),5108.0)</f>
        <v>5108</v>
      </c>
      <c r="M50" s="61" t="str">
        <f>IFERROR(__xludf.DUMMYFUNCTION("""COMPUTED_VALUE"""),"South America")</f>
        <v>South America</v>
      </c>
      <c r="N50" s="61"/>
      <c r="O50" s="61"/>
      <c r="P50" s="61"/>
      <c r="Q50" s="61"/>
      <c r="R50" s="61"/>
      <c r="S50" s="61"/>
      <c r="T50" s="61"/>
      <c r="U50" s="61"/>
      <c r="V50" s="61"/>
      <c r="W50" s="61"/>
      <c r="X50" s="61"/>
      <c r="Y50" s="61"/>
      <c r="Z50" s="61"/>
      <c r="AA50" s="61"/>
    </row>
    <row r="51">
      <c r="A51" s="61" t="s">
        <v>373</v>
      </c>
      <c r="B51" s="61" t="s">
        <v>396</v>
      </c>
      <c r="C51" s="61" t="s">
        <v>389</v>
      </c>
      <c r="D51" s="71">
        <v>8514.0</v>
      </c>
      <c r="E51" s="71">
        <v>9280.0</v>
      </c>
      <c r="F51" s="72">
        <f t="shared" si="1"/>
        <v>-766</v>
      </c>
      <c r="G51" s="61"/>
      <c r="H51" s="61" t="str">
        <f>IFERROR(__xludf.DUMMYFUNCTION("""COMPUTED_VALUE"""),"South America")</f>
        <v>South America</v>
      </c>
      <c r="I51" s="61" t="str">
        <f>IFERROR(__xludf.DUMMYFUNCTION("""COMPUTED_VALUE"""),"Fightrr")</f>
        <v>Fightrr</v>
      </c>
      <c r="J51" s="61">
        <f>IFERROR(__xludf.DUMMYFUNCTION("""COMPUTED_VALUE"""),851.0)</f>
        <v>851</v>
      </c>
      <c r="K51" s="61"/>
      <c r="L51" s="61">
        <f>IFERROR(__xludf.DUMMYFUNCTION("""COMPUTED_VALUE"""),0.0)</f>
        <v>0</v>
      </c>
      <c r="M51" s="61" t="str">
        <f>IFERROR(__xludf.DUMMYFUNCTION("""COMPUTED_VALUE"""),"South America")</f>
        <v>South America</v>
      </c>
      <c r="N51" s="61"/>
      <c r="O51" s="61"/>
      <c r="P51" s="61"/>
      <c r="Q51" s="61"/>
      <c r="R51" s="61"/>
      <c r="S51" s="61"/>
      <c r="T51" s="61"/>
      <c r="U51" s="61"/>
      <c r="V51" s="61"/>
      <c r="W51" s="61"/>
      <c r="X51" s="61"/>
      <c r="Y51" s="61"/>
      <c r="Z51" s="61"/>
      <c r="AA51" s="61"/>
    </row>
    <row r="52">
      <c r="A52" s="61" t="s">
        <v>373</v>
      </c>
      <c r="B52" s="61" t="s">
        <v>396</v>
      </c>
      <c r="C52" s="61" t="s">
        <v>390</v>
      </c>
      <c r="D52" s="71">
        <v>0.0</v>
      </c>
      <c r="E52" s="71">
        <v>0.0</v>
      </c>
      <c r="F52" s="72">
        <f t="shared" si="1"/>
        <v>0</v>
      </c>
      <c r="G52" s="61"/>
      <c r="H52" s="61" t="str">
        <f>IFERROR(__xludf.DUMMYFUNCTION("""COMPUTED_VALUE"""),"South America")</f>
        <v>South America</v>
      </c>
      <c r="I52" s="61" t="str">
        <f>IFERROR(__xludf.DUMMYFUNCTION("""COMPUTED_VALUE"""),"Five Labs")</f>
        <v>Five Labs</v>
      </c>
      <c r="J52" s="61">
        <f>IFERROR(__xludf.DUMMYFUNCTION("""COMPUTED_VALUE"""),2554.0)</f>
        <v>2554</v>
      </c>
      <c r="K52" s="61"/>
      <c r="L52" s="61">
        <f>IFERROR(__xludf.DUMMYFUNCTION("""COMPUTED_VALUE"""),0.0)</f>
        <v>0</v>
      </c>
      <c r="M52" s="61" t="str">
        <f>IFERROR(__xludf.DUMMYFUNCTION("""COMPUTED_VALUE"""),"South America")</f>
        <v>South America</v>
      </c>
      <c r="N52" s="61"/>
      <c r="O52" s="61"/>
      <c r="P52" s="61"/>
      <c r="Q52" s="61"/>
      <c r="R52" s="61"/>
      <c r="S52" s="61"/>
      <c r="T52" s="61"/>
      <c r="U52" s="61"/>
      <c r="V52" s="61"/>
      <c r="W52" s="61"/>
      <c r="X52" s="61"/>
      <c r="Y52" s="61"/>
      <c r="Z52" s="61"/>
      <c r="AA52" s="61"/>
    </row>
    <row r="53">
      <c r="A53" s="61" t="s">
        <v>373</v>
      </c>
      <c r="B53" s="61" t="s">
        <v>396</v>
      </c>
      <c r="C53" s="61" t="s">
        <v>391</v>
      </c>
      <c r="D53" s="71">
        <v>0.0</v>
      </c>
      <c r="E53" s="71">
        <v>0.0</v>
      </c>
      <c r="F53" s="72">
        <f t="shared" si="1"/>
        <v>0</v>
      </c>
      <c r="G53" s="61"/>
      <c r="H53" s="61" t="str">
        <f>IFERROR(__xludf.DUMMYFUNCTION("""COMPUTED_VALUE"""),"South America")</f>
        <v>South America</v>
      </c>
      <c r="I53" s="61" t="str">
        <f>IFERROR(__xludf.DUMMYFUNCTION("""COMPUTED_VALUE"""),"Hackrr")</f>
        <v>Hackrr</v>
      </c>
      <c r="J53" s="61">
        <f>IFERROR(__xludf.DUMMYFUNCTION("""COMPUTED_VALUE"""),8514.0)</f>
        <v>8514</v>
      </c>
      <c r="K53" s="61"/>
      <c r="L53" s="61">
        <f>IFERROR(__xludf.DUMMYFUNCTION("""COMPUTED_VALUE"""),0.0)</f>
        <v>0</v>
      </c>
      <c r="M53" s="61" t="str">
        <f>IFERROR(__xludf.DUMMYFUNCTION("""COMPUTED_VALUE"""),"South America")</f>
        <v>South America</v>
      </c>
      <c r="N53" s="61"/>
      <c r="O53" s="61"/>
      <c r="P53" s="61"/>
      <c r="Q53" s="61"/>
      <c r="R53" s="61"/>
      <c r="S53" s="61"/>
      <c r="T53" s="61"/>
      <c r="U53" s="61"/>
      <c r="V53" s="61"/>
      <c r="W53" s="61"/>
      <c r="X53" s="61"/>
      <c r="Y53" s="61"/>
      <c r="Z53" s="61"/>
      <c r="AA53" s="61"/>
    </row>
    <row r="54">
      <c r="A54" s="61" t="s">
        <v>373</v>
      </c>
      <c r="B54" s="61" t="s">
        <v>396</v>
      </c>
      <c r="C54" s="61" t="s">
        <v>392</v>
      </c>
      <c r="D54" s="71">
        <v>0.0</v>
      </c>
      <c r="E54" s="71">
        <v>0.0</v>
      </c>
      <c r="F54" s="72">
        <f t="shared" si="1"/>
        <v>0</v>
      </c>
      <c r="G54" s="61"/>
      <c r="H54" s="61" t="str">
        <f>IFERROR(__xludf.DUMMYFUNCTION("""COMPUTED_VALUE"""),"South America")</f>
        <v>South America</v>
      </c>
      <c r="I54" s="61" t="str">
        <f>IFERROR(__xludf.DUMMYFUNCTION("""COMPUTED_VALUE"""),"Pes")</f>
        <v>Pes</v>
      </c>
      <c r="J54" s="61">
        <f>IFERROR(__xludf.DUMMYFUNCTION("""COMPUTED_VALUE"""),12771.0)</f>
        <v>12771</v>
      </c>
      <c r="K54" s="61"/>
      <c r="L54" s="61">
        <f>IFERROR(__xludf.DUMMYFUNCTION("""COMPUTED_VALUE"""),851.0)</f>
        <v>851</v>
      </c>
      <c r="M54" s="61" t="str">
        <f>IFERROR(__xludf.DUMMYFUNCTION("""COMPUTED_VALUE"""),"South America")</f>
        <v>South America</v>
      </c>
      <c r="N54" s="61"/>
      <c r="O54" s="61"/>
      <c r="P54" s="61"/>
      <c r="Q54" s="61"/>
      <c r="R54" s="61"/>
      <c r="S54" s="61"/>
      <c r="T54" s="61"/>
      <c r="U54" s="61"/>
      <c r="V54" s="61"/>
      <c r="W54" s="61"/>
      <c r="X54" s="61"/>
      <c r="Y54" s="61"/>
      <c r="Z54" s="61"/>
      <c r="AA54" s="61"/>
    </row>
    <row r="55">
      <c r="A55" s="61" t="s">
        <v>373</v>
      </c>
      <c r="B55" s="61" t="s">
        <v>396</v>
      </c>
      <c r="C55" s="61" t="s">
        <v>393</v>
      </c>
      <c r="D55" s="71">
        <v>12771.0</v>
      </c>
      <c r="E55" s="71">
        <v>13410.0</v>
      </c>
      <c r="F55" s="72">
        <f t="shared" si="1"/>
        <v>-639</v>
      </c>
      <c r="G55" s="61"/>
      <c r="H55" s="61" t="str">
        <f>IFERROR(__xludf.DUMMYFUNCTION("""COMPUTED_VALUE"""),"South America")</f>
        <v>South America</v>
      </c>
      <c r="I55" s="61" t="str">
        <f>IFERROR(__xludf.DUMMYFUNCTION("""COMPUTED_VALUE"""),"Twistrr")</f>
        <v>Twistrr</v>
      </c>
      <c r="J55" s="61">
        <f>IFERROR(__xludf.DUMMYFUNCTION("""COMPUTED_VALUE"""),12771.0)</f>
        <v>12771</v>
      </c>
      <c r="K55" s="61"/>
      <c r="L55" s="61">
        <f>IFERROR(__xludf.DUMMYFUNCTION("""COMPUTED_VALUE"""),2554.0)</f>
        <v>2554</v>
      </c>
      <c r="M55" s="61" t="str">
        <f>IFERROR(__xludf.DUMMYFUNCTION("""COMPUTED_VALUE"""),"South America")</f>
        <v>South America</v>
      </c>
      <c r="N55" s="61"/>
      <c r="O55" s="61"/>
      <c r="P55" s="61"/>
      <c r="Q55" s="61"/>
      <c r="R55" s="61"/>
      <c r="S55" s="61"/>
      <c r="T55" s="61"/>
      <c r="U55" s="61"/>
      <c r="V55" s="61"/>
      <c r="W55" s="61"/>
      <c r="X55" s="61"/>
      <c r="Y55" s="61"/>
      <c r="Z55" s="61"/>
      <c r="AA55" s="61"/>
    </row>
    <row r="56">
      <c r="A56" s="61" t="s">
        <v>373</v>
      </c>
      <c r="B56" s="61" t="s">
        <v>396</v>
      </c>
      <c r="C56" s="61" t="s">
        <v>385</v>
      </c>
      <c r="D56" s="71">
        <v>12771.0</v>
      </c>
      <c r="E56" s="71">
        <v>10855.0</v>
      </c>
      <c r="F56" s="72">
        <f t="shared" si="1"/>
        <v>1916</v>
      </c>
      <c r="G56" s="61"/>
      <c r="H56" s="61" t="str">
        <f>IFERROR(__xludf.DUMMYFUNCTION("""COMPUTED_VALUE"""),"Asia")</f>
        <v>Asia</v>
      </c>
      <c r="I56" s="61" t="str">
        <f>IFERROR(__xludf.DUMMYFUNCTION("""COMPUTED_VALUE"""),"Halotot")</f>
        <v>Halotot</v>
      </c>
      <c r="J56" s="61">
        <f>IFERROR(__xludf.DUMMYFUNCTION("""COMPUTED_VALUE"""),3513.0)</f>
        <v>3513</v>
      </c>
      <c r="K56" s="61"/>
      <c r="L56" s="61">
        <f>IFERROR(__xludf.DUMMYFUNCTION("""COMPUTED_VALUE"""),8514.0)</f>
        <v>8514</v>
      </c>
      <c r="M56" s="61" t="str">
        <f>IFERROR(__xludf.DUMMYFUNCTION("""COMPUTED_VALUE"""),"South America")</f>
        <v>South America</v>
      </c>
      <c r="N56" s="61"/>
      <c r="O56" s="61"/>
      <c r="P56" s="61"/>
      <c r="Q56" s="61"/>
      <c r="R56" s="61"/>
      <c r="S56" s="61"/>
      <c r="T56" s="61"/>
      <c r="U56" s="61"/>
      <c r="V56" s="61"/>
      <c r="W56" s="61"/>
      <c r="X56" s="61"/>
      <c r="Y56" s="61"/>
      <c r="Z56" s="61"/>
      <c r="AA56" s="61"/>
    </row>
    <row r="57">
      <c r="A57" s="61" t="s">
        <v>397</v>
      </c>
      <c r="B57" s="61" t="s">
        <v>374</v>
      </c>
      <c r="C57" s="61" t="s">
        <v>398</v>
      </c>
      <c r="D57" s="71">
        <v>0.0</v>
      </c>
      <c r="E57" s="71">
        <v>0.0</v>
      </c>
      <c r="F57" s="72">
        <f t="shared" si="1"/>
        <v>0</v>
      </c>
      <c r="G57" s="61"/>
      <c r="H57" s="61" t="str">
        <f>IFERROR(__xludf.DUMMYFUNCTION("""COMPUTED_VALUE"""),"Asia")</f>
        <v>Asia</v>
      </c>
      <c r="I57" s="61" t="str">
        <f>IFERROR(__xludf.DUMMYFUNCTION("""COMPUTED_VALUE"""),"Inkly")</f>
        <v>Inkly</v>
      </c>
      <c r="J57" s="61">
        <f>IFERROR(__xludf.DUMMYFUNCTION("""COMPUTED_VALUE"""),2928.0)</f>
        <v>2928</v>
      </c>
      <c r="K57" s="61"/>
      <c r="L57" s="61">
        <f>IFERROR(__xludf.DUMMYFUNCTION("""COMPUTED_VALUE"""),0.0)</f>
        <v>0</v>
      </c>
      <c r="M57" s="61" t="str">
        <f>IFERROR(__xludf.DUMMYFUNCTION("""COMPUTED_VALUE"""),"South America")</f>
        <v>South America</v>
      </c>
      <c r="N57" s="61"/>
      <c r="O57" s="61"/>
      <c r="P57" s="61"/>
      <c r="Q57" s="61"/>
      <c r="R57" s="61"/>
      <c r="S57" s="61"/>
      <c r="T57" s="61"/>
      <c r="U57" s="61"/>
      <c r="V57" s="61"/>
      <c r="W57" s="61"/>
      <c r="X57" s="61"/>
      <c r="Y57" s="61"/>
      <c r="Z57" s="61"/>
      <c r="AA57" s="61"/>
    </row>
    <row r="58">
      <c r="A58" s="61" t="s">
        <v>397</v>
      </c>
      <c r="B58" s="61" t="s">
        <v>374</v>
      </c>
      <c r="C58" s="61" t="s">
        <v>399</v>
      </c>
      <c r="D58" s="71">
        <v>0.0</v>
      </c>
      <c r="E58" s="71">
        <v>0.0</v>
      </c>
      <c r="F58" s="72">
        <f t="shared" si="1"/>
        <v>0</v>
      </c>
      <c r="G58" s="61"/>
      <c r="H58" s="61" t="str">
        <f>IFERROR(__xludf.DUMMYFUNCTION("""COMPUTED_VALUE"""),"Asia")</f>
        <v>Asia</v>
      </c>
      <c r="I58" s="61" t="str">
        <f>IFERROR(__xludf.DUMMYFUNCTION("""COMPUTED_VALUE"""),"Kind Ape")</f>
        <v>Kind Ape</v>
      </c>
      <c r="J58" s="61">
        <f>IFERROR(__xludf.DUMMYFUNCTION("""COMPUTED_VALUE"""),1757.0)</f>
        <v>1757</v>
      </c>
      <c r="K58" s="61"/>
      <c r="L58" s="61">
        <f>IFERROR(__xludf.DUMMYFUNCTION("""COMPUTED_VALUE"""),0.0)</f>
        <v>0</v>
      </c>
      <c r="M58" s="61" t="str">
        <f>IFERROR(__xludf.DUMMYFUNCTION("""COMPUTED_VALUE"""),"South America")</f>
        <v>South America</v>
      </c>
      <c r="N58" s="61"/>
      <c r="O58" s="61"/>
      <c r="P58" s="61"/>
      <c r="Q58" s="61"/>
      <c r="R58" s="61"/>
      <c r="S58" s="61"/>
      <c r="T58" s="61"/>
      <c r="U58" s="61"/>
      <c r="V58" s="61"/>
      <c r="W58" s="61"/>
      <c r="X58" s="61"/>
      <c r="Y58" s="61"/>
      <c r="Z58" s="61"/>
      <c r="AA58" s="61"/>
    </row>
    <row r="59">
      <c r="A59" s="61" t="s">
        <v>397</v>
      </c>
      <c r="B59" s="61" t="s">
        <v>374</v>
      </c>
      <c r="C59" s="61" t="s">
        <v>400</v>
      </c>
      <c r="D59" s="71">
        <v>0.0</v>
      </c>
      <c r="E59" s="71">
        <v>0.0</v>
      </c>
      <c r="F59" s="72">
        <f t="shared" si="1"/>
        <v>0</v>
      </c>
      <c r="G59" s="61"/>
      <c r="H59" s="61" t="str">
        <f>IFERROR(__xludf.DUMMYFUNCTION("""COMPUTED_VALUE"""),"Asia")</f>
        <v>Asia</v>
      </c>
      <c r="I59" s="61" t="str">
        <f>IFERROR(__xludf.DUMMYFUNCTION("""COMPUTED_VALUE"""),"Mirrrr")</f>
        <v>Mirrrr</v>
      </c>
      <c r="J59" s="61">
        <f>IFERROR(__xludf.DUMMYFUNCTION("""COMPUTED_VALUE"""),3513.0)</f>
        <v>3513</v>
      </c>
      <c r="K59" s="61"/>
      <c r="L59" s="61">
        <f>IFERROR(__xludf.DUMMYFUNCTION("""COMPUTED_VALUE"""),0.0)</f>
        <v>0</v>
      </c>
      <c r="M59" s="61" t="str">
        <f>IFERROR(__xludf.DUMMYFUNCTION("""COMPUTED_VALUE"""),"South America")</f>
        <v>South America</v>
      </c>
      <c r="N59" s="61"/>
      <c r="O59" s="61"/>
      <c r="P59" s="61"/>
      <c r="Q59" s="61"/>
      <c r="R59" s="61"/>
      <c r="S59" s="61"/>
      <c r="T59" s="61"/>
      <c r="U59" s="61"/>
      <c r="V59" s="61"/>
      <c r="W59" s="61"/>
      <c r="X59" s="61"/>
      <c r="Y59" s="61"/>
      <c r="Z59" s="61"/>
      <c r="AA59" s="61"/>
    </row>
    <row r="60">
      <c r="A60" s="61" t="s">
        <v>397</v>
      </c>
      <c r="B60" s="61" t="s">
        <v>374</v>
      </c>
      <c r="C60" s="61" t="s">
        <v>401</v>
      </c>
      <c r="D60" s="71">
        <v>0.0</v>
      </c>
      <c r="E60" s="71">
        <v>0.0</v>
      </c>
      <c r="F60" s="72">
        <f t="shared" si="1"/>
        <v>0</v>
      </c>
      <c r="G60" s="61"/>
      <c r="H60" s="61" t="str">
        <f>IFERROR(__xludf.DUMMYFUNCTION("""COMPUTED_VALUE"""),"Asia")</f>
        <v>Asia</v>
      </c>
      <c r="I60" s="61" t="str">
        <f>IFERROR(__xludf.DUMMYFUNCTION("""COMPUTED_VALUE"""),"Sleops")</f>
        <v>Sleops</v>
      </c>
      <c r="J60" s="61">
        <f>IFERROR(__xludf.DUMMYFUNCTION("""COMPUTED_VALUE"""),878.0)</f>
        <v>878</v>
      </c>
      <c r="K60" s="61"/>
      <c r="L60" s="61">
        <f>IFERROR(__xludf.DUMMYFUNCTION("""COMPUTED_VALUE"""),12771.0)</f>
        <v>12771</v>
      </c>
      <c r="M60" s="61" t="str">
        <f>IFERROR(__xludf.DUMMYFUNCTION("""COMPUTED_VALUE"""),"South America")</f>
        <v>South America</v>
      </c>
      <c r="N60" s="61"/>
      <c r="O60" s="61"/>
      <c r="P60" s="61"/>
      <c r="Q60" s="61"/>
      <c r="R60" s="61"/>
      <c r="S60" s="61"/>
      <c r="T60" s="61"/>
      <c r="U60" s="61"/>
      <c r="V60" s="61"/>
      <c r="W60" s="61"/>
      <c r="X60" s="61"/>
      <c r="Y60" s="61"/>
      <c r="Z60" s="61"/>
      <c r="AA60" s="61"/>
    </row>
    <row r="61">
      <c r="A61" s="61" t="s">
        <v>397</v>
      </c>
      <c r="B61" s="61" t="s">
        <v>374</v>
      </c>
      <c r="C61" s="61" t="s">
        <v>402</v>
      </c>
      <c r="D61" s="71">
        <v>3513.0</v>
      </c>
      <c r="E61" s="71">
        <v>2951.0</v>
      </c>
      <c r="F61" s="72">
        <f t="shared" si="1"/>
        <v>562</v>
      </c>
      <c r="G61" s="61"/>
      <c r="H61" s="61" t="str">
        <f>IFERROR(__xludf.DUMMYFUNCTION("""COMPUTED_VALUE"""),"Asia")</f>
        <v>Asia</v>
      </c>
      <c r="I61" s="61" t="str">
        <f>IFERROR(__xludf.DUMMYFUNCTION("""COMPUTED_VALUE"""),"Voltage")</f>
        <v>Voltage</v>
      </c>
      <c r="J61" s="61">
        <f>IFERROR(__xludf.DUMMYFUNCTION("""COMPUTED_VALUE"""),3513.0)</f>
        <v>3513</v>
      </c>
      <c r="K61" s="61"/>
      <c r="L61" s="61">
        <f>IFERROR(__xludf.DUMMYFUNCTION("""COMPUTED_VALUE"""),12771.0)</f>
        <v>12771</v>
      </c>
      <c r="M61" s="61" t="str">
        <f>IFERROR(__xludf.DUMMYFUNCTION("""COMPUTED_VALUE"""),"South America")</f>
        <v>South America</v>
      </c>
      <c r="N61" s="61"/>
      <c r="O61" s="61"/>
      <c r="P61" s="61"/>
      <c r="Q61" s="61"/>
      <c r="R61" s="61"/>
      <c r="S61" s="61"/>
      <c r="T61" s="61"/>
      <c r="U61" s="61"/>
      <c r="V61" s="61"/>
      <c r="W61" s="61"/>
      <c r="X61" s="61"/>
      <c r="Y61" s="61"/>
      <c r="Z61" s="61"/>
      <c r="AA61" s="61"/>
    </row>
    <row r="62">
      <c r="A62" s="61" t="s">
        <v>397</v>
      </c>
      <c r="B62" s="61" t="s">
        <v>374</v>
      </c>
      <c r="C62" s="61" t="s">
        <v>403</v>
      </c>
      <c r="D62" s="71">
        <v>2928.0</v>
      </c>
      <c r="E62" s="71">
        <v>3426.0</v>
      </c>
      <c r="F62" s="72">
        <f t="shared" si="1"/>
        <v>-498</v>
      </c>
      <c r="G62" s="61"/>
      <c r="H62" s="61" t="str">
        <f>IFERROR(__xludf.DUMMYFUNCTION("""COMPUTED_VALUE"""),"Asia")</f>
        <v>Asia</v>
      </c>
      <c r="I62" s="61" t="str">
        <f>IFERROR(__xludf.DUMMYFUNCTION("""COMPUTED_VALUE"""),"WenCaL")</f>
        <v>WenCaL</v>
      </c>
      <c r="J62" s="61">
        <f>IFERROR(__xludf.DUMMYFUNCTION("""COMPUTED_VALUE"""),13174.0)</f>
        <v>13174</v>
      </c>
      <c r="K62" s="61"/>
      <c r="L62" s="61">
        <f>IFERROR(__xludf.DUMMYFUNCTION("""COMPUTED_VALUE"""),0.0)</f>
        <v>0</v>
      </c>
      <c r="M62" s="61" t="str">
        <f>IFERROR(__xludf.DUMMYFUNCTION("""COMPUTED_VALUE"""),"Asia")</f>
        <v>Asia</v>
      </c>
      <c r="N62" s="61"/>
      <c r="O62" s="61"/>
      <c r="P62" s="61"/>
      <c r="Q62" s="61"/>
      <c r="R62" s="61"/>
      <c r="S62" s="61"/>
      <c r="T62" s="61"/>
      <c r="U62" s="61"/>
      <c r="V62" s="61"/>
      <c r="W62" s="61"/>
      <c r="X62" s="61"/>
      <c r="Y62" s="61"/>
      <c r="Z62" s="61"/>
      <c r="AA62" s="61"/>
    </row>
    <row r="63">
      <c r="A63" s="61" t="s">
        <v>397</v>
      </c>
      <c r="B63" s="61" t="s">
        <v>374</v>
      </c>
      <c r="C63" s="61" t="s">
        <v>404</v>
      </c>
      <c r="D63" s="71">
        <v>1757.0</v>
      </c>
      <c r="E63" s="71">
        <v>1634.0</v>
      </c>
      <c r="F63" s="72">
        <f t="shared" si="1"/>
        <v>123</v>
      </c>
      <c r="G63" s="61"/>
      <c r="H63" s="61" t="str">
        <f>IFERROR(__xludf.DUMMYFUNCTION("""COMPUTED_VALUE"""),"Australia")</f>
        <v>Australia</v>
      </c>
      <c r="I63" s="61" t="str">
        <f>IFERROR(__xludf.DUMMYFUNCTION("""COMPUTED_VALUE"""),"Kind Ape")</f>
        <v>Kind Ape</v>
      </c>
      <c r="J63" s="61">
        <f>IFERROR(__xludf.DUMMYFUNCTION("""COMPUTED_VALUE"""),2342.0)</f>
        <v>2342</v>
      </c>
      <c r="K63" s="61"/>
      <c r="L63" s="61">
        <f>IFERROR(__xludf.DUMMYFUNCTION("""COMPUTED_VALUE"""),0.0)</f>
        <v>0</v>
      </c>
      <c r="M63" s="61" t="str">
        <f>IFERROR(__xludf.DUMMYFUNCTION("""COMPUTED_VALUE"""),"Asia")</f>
        <v>Asia</v>
      </c>
      <c r="N63" s="61"/>
      <c r="O63" s="61"/>
      <c r="P63" s="61"/>
      <c r="Q63" s="61"/>
      <c r="R63" s="61"/>
      <c r="S63" s="61"/>
      <c r="T63" s="61"/>
      <c r="U63" s="61"/>
      <c r="V63" s="61"/>
      <c r="W63" s="61"/>
      <c r="X63" s="61"/>
      <c r="Y63" s="61"/>
      <c r="Z63" s="61"/>
      <c r="AA63" s="61"/>
    </row>
    <row r="64">
      <c r="A64" s="61" t="s">
        <v>397</v>
      </c>
      <c r="B64" s="61" t="s">
        <v>374</v>
      </c>
      <c r="C64" s="61" t="s">
        <v>405</v>
      </c>
      <c r="D64" s="71">
        <v>3513.0</v>
      </c>
      <c r="E64" s="71">
        <v>3794.0</v>
      </c>
      <c r="F64" s="72">
        <f t="shared" si="1"/>
        <v>-281</v>
      </c>
      <c r="G64" s="61"/>
      <c r="H64" s="61" t="str">
        <f>IFERROR(__xludf.DUMMYFUNCTION("""COMPUTED_VALUE"""),"Australia")</f>
        <v>Australia</v>
      </c>
      <c r="I64" s="61" t="str">
        <f>IFERROR(__xludf.DUMMYFUNCTION("""COMPUTED_VALUE"""),"Mirrrr")</f>
        <v>Mirrrr</v>
      </c>
      <c r="J64" s="61">
        <f>IFERROR(__xludf.DUMMYFUNCTION("""COMPUTED_VALUE"""),4977.0)</f>
        <v>4977</v>
      </c>
      <c r="K64" s="61"/>
      <c r="L64" s="61">
        <f>IFERROR(__xludf.DUMMYFUNCTION("""COMPUTED_VALUE"""),0.0)</f>
        <v>0</v>
      </c>
      <c r="M64" s="61" t="str">
        <f>IFERROR(__xludf.DUMMYFUNCTION("""COMPUTED_VALUE"""),"Asia")</f>
        <v>Asia</v>
      </c>
      <c r="N64" s="61"/>
      <c r="O64" s="61"/>
      <c r="P64" s="61"/>
      <c r="Q64" s="61"/>
      <c r="R64" s="61"/>
      <c r="S64" s="61"/>
      <c r="T64" s="61"/>
      <c r="U64" s="61"/>
      <c r="V64" s="61"/>
      <c r="W64" s="61"/>
      <c r="X64" s="61"/>
      <c r="Y64" s="61"/>
      <c r="Z64" s="61"/>
      <c r="AA64" s="61"/>
    </row>
    <row r="65">
      <c r="A65" s="61" t="s">
        <v>397</v>
      </c>
      <c r="B65" s="61" t="s">
        <v>374</v>
      </c>
      <c r="C65" s="61" t="s">
        <v>406</v>
      </c>
      <c r="D65" s="71">
        <v>0.0</v>
      </c>
      <c r="E65" s="71">
        <v>0.0</v>
      </c>
      <c r="F65" s="72">
        <f t="shared" si="1"/>
        <v>0</v>
      </c>
      <c r="G65" s="61"/>
      <c r="H65" s="61" t="str">
        <f>IFERROR(__xludf.DUMMYFUNCTION("""COMPUTED_VALUE"""),"Australia")</f>
        <v>Australia</v>
      </c>
      <c r="I65" s="61" t="str">
        <f>IFERROR(__xludf.DUMMYFUNCTION("""COMPUTED_VALUE"""),"Pet Feed")</f>
        <v>Pet Feed</v>
      </c>
      <c r="J65" s="61">
        <f>IFERROR(__xludf.DUMMYFUNCTION("""COMPUTED_VALUE"""),7612.0)</f>
        <v>7612</v>
      </c>
      <c r="K65" s="61"/>
      <c r="L65" s="61">
        <f>IFERROR(__xludf.DUMMYFUNCTION("""COMPUTED_VALUE"""),0.0)</f>
        <v>0</v>
      </c>
      <c r="M65" s="61" t="str">
        <f>IFERROR(__xludf.DUMMYFUNCTION("""COMPUTED_VALUE"""),"Asia")</f>
        <v>Asia</v>
      </c>
      <c r="N65" s="61"/>
      <c r="O65" s="61"/>
      <c r="P65" s="61"/>
      <c r="Q65" s="61"/>
      <c r="R65" s="61"/>
      <c r="S65" s="61"/>
      <c r="T65" s="61"/>
      <c r="U65" s="61"/>
      <c r="V65" s="61"/>
      <c r="W65" s="61"/>
      <c r="X65" s="61"/>
      <c r="Y65" s="61"/>
      <c r="Z65" s="61"/>
      <c r="AA65" s="61"/>
    </row>
    <row r="66">
      <c r="A66" s="61" t="s">
        <v>397</v>
      </c>
      <c r="B66" s="61" t="s">
        <v>374</v>
      </c>
      <c r="C66" s="61" t="s">
        <v>407</v>
      </c>
      <c r="D66" s="71">
        <v>0.0</v>
      </c>
      <c r="E66" s="71">
        <v>0.0</v>
      </c>
      <c r="F66" s="72">
        <f t="shared" si="1"/>
        <v>0</v>
      </c>
      <c r="G66" s="61"/>
      <c r="H66" s="61" t="str">
        <f>IFERROR(__xludf.DUMMYFUNCTION("""COMPUTED_VALUE"""),"Australia")</f>
        <v>Australia</v>
      </c>
      <c r="I66" s="61" t="str">
        <f>IFERROR(__xludf.DUMMYFUNCTION("""COMPUTED_VALUE"""),"Rehire")</f>
        <v>Rehire</v>
      </c>
      <c r="J66" s="61">
        <f>IFERROR(__xludf.DUMMYFUNCTION("""COMPUTED_VALUE"""),6734.0)</f>
        <v>6734</v>
      </c>
      <c r="K66" s="61"/>
      <c r="L66" s="61">
        <f>IFERROR(__xludf.DUMMYFUNCTION("""COMPUTED_VALUE"""),3513.0)</f>
        <v>3513</v>
      </c>
      <c r="M66" s="61" t="str">
        <f>IFERROR(__xludf.DUMMYFUNCTION("""COMPUTED_VALUE"""),"Asia")</f>
        <v>Asia</v>
      </c>
      <c r="N66" s="61"/>
      <c r="O66" s="61"/>
      <c r="P66" s="61"/>
      <c r="Q66" s="61"/>
      <c r="R66" s="61"/>
      <c r="S66" s="61"/>
      <c r="T66" s="61"/>
      <c r="U66" s="61"/>
      <c r="V66" s="61"/>
      <c r="W66" s="61"/>
      <c r="X66" s="61"/>
      <c r="Y66" s="61"/>
      <c r="Z66" s="61"/>
      <c r="AA66" s="61"/>
    </row>
    <row r="67">
      <c r="A67" s="61" t="s">
        <v>397</v>
      </c>
      <c r="B67" s="61" t="s">
        <v>374</v>
      </c>
      <c r="C67" s="61" t="s">
        <v>408</v>
      </c>
      <c r="D67" s="71">
        <v>0.0</v>
      </c>
      <c r="E67" s="71">
        <v>0.0</v>
      </c>
      <c r="F67" s="72">
        <f t="shared" si="1"/>
        <v>0</v>
      </c>
      <c r="G67" s="61"/>
      <c r="H67" s="61" t="str">
        <f>IFERROR(__xludf.DUMMYFUNCTION("""COMPUTED_VALUE"""),"Australia")</f>
        <v>Australia</v>
      </c>
      <c r="I67" s="61" t="str">
        <f>IFERROR(__xludf.DUMMYFUNCTION("""COMPUTED_VALUE"""),"Right App")</f>
        <v>Right App</v>
      </c>
      <c r="J67" s="61">
        <f>IFERROR(__xludf.DUMMYFUNCTION("""COMPUTED_VALUE"""),1171.0)</f>
        <v>1171</v>
      </c>
      <c r="K67" s="61"/>
      <c r="L67" s="61">
        <f>IFERROR(__xludf.DUMMYFUNCTION("""COMPUTED_VALUE"""),2928.0)</f>
        <v>2928</v>
      </c>
      <c r="M67" s="61" t="str">
        <f>IFERROR(__xludf.DUMMYFUNCTION("""COMPUTED_VALUE"""),"Asia")</f>
        <v>Asia</v>
      </c>
      <c r="N67" s="61"/>
      <c r="O67" s="61"/>
      <c r="P67" s="61"/>
      <c r="Q67" s="61"/>
      <c r="R67" s="61"/>
      <c r="S67" s="61"/>
      <c r="T67" s="61"/>
      <c r="U67" s="61"/>
      <c r="V67" s="61"/>
      <c r="W67" s="61"/>
      <c r="X67" s="61"/>
      <c r="Y67" s="61"/>
      <c r="Z67" s="61"/>
      <c r="AA67" s="61"/>
    </row>
    <row r="68">
      <c r="A68" s="61" t="s">
        <v>397</v>
      </c>
      <c r="B68" s="61" t="s">
        <v>374</v>
      </c>
      <c r="C68" s="61" t="s">
        <v>409</v>
      </c>
      <c r="D68" s="71">
        <v>0.0</v>
      </c>
      <c r="E68" s="71">
        <v>0.0</v>
      </c>
      <c r="F68" s="72">
        <f t="shared" si="1"/>
        <v>0</v>
      </c>
      <c r="G68" s="61"/>
      <c r="H68" s="61" t="str">
        <f>IFERROR(__xludf.DUMMYFUNCTION("""COMPUTED_VALUE"""),"Australia")</f>
        <v>Australia</v>
      </c>
      <c r="I68" s="61" t="str">
        <f>IFERROR(__xludf.DUMMYFUNCTION("""COMPUTED_VALUE"""),"WenCaL")</f>
        <v>WenCaL</v>
      </c>
      <c r="J68" s="61">
        <f>IFERROR(__xludf.DUMMYFUNCTION("""COMPUTED_VALUE"""),6441.0)</f>
        <v>6441</v>
      </c>
      <c r="K68" s="61"/>
      <c r="L68" s="61">
        <f>IFERROR(__xludf.DUMMYFUNCTION("""COMPUTED_VALUE"""),1757.0)</f>
        <v>1757</v>
      </c>
      <c r="M68" s="61" t="str">
        <f>IFERROR(__xludf.DUMMYFUNCTION("""COMPUTED_VALUE"""),"Asia")</f>
        <v>Asia</v>
      </c>
      <c r="N68" s="61"/>
      <c r="O68" s="61"/>
      <c r="P68" s="61"/>
      <c r="Q68" s="61"/>
      <c r="R68" s="61"/>
      <c r="S68" s="61"/>
      <c r="T68" s="61"/>
      <c r="U68" s="61"/>
      <c r="V68" s="61"/>
      <c r="W68" s="61"/>
      <c r="X68" s="61"/>
      <c r="Y68" s="61"/>
      <c r="Z68" s="61"/>
      <c r="AA68" s="61"/>
    </row>
    <row r="69">
      <c r="A69" s="61" t="s">
        <v>397</v>
      </c>
      <c r="B69" s="61" t="s">
        <v>374</v>
      </c>
      <c r="C69" s="61" t="s">
        <v>410</v>
      </c>
      <c r="D69" s="71">
        <v>878.0</v>
      </c>
      <c r="E69" s="71">
        <v>948.0</v>
      </c>
      <c r="F69" s="72">
        <f t="shared" si="1"/>
        <v>-70</v>
      </c>
      <c r="G69" s="61"/>
      <c r="H69" s="61" t="str">
        <f>IFERROR(__xludf.DUMMYFUNCTION("""COMPUTED_VALUE"""),"Europe")</f>
        <v>Europe</v>
      </c>
      <c r="I69" s="61" t="str">
        <f>IFERROR(__xludf.DUMMYFUNCTION("""COMPUTED_VALUE"""),"Blend")</f>
        <v>Blend</v>
      </c>
      <c r="J69" s="61">
        <f>IFERROR(__xludf.DUMMYFUNCTION("""COMPUTED_VALUE"""),911.0)</f>
        <v>911</v>
      </c>
      <c r="K69" s="61"/>
      <c r="L69" s="61">
        <f>IFERROR(__xludf.DUMMYFUNCTION("""COMPUTED_VALUE"""),3513.0)</f>
        <v>3513</v>
      </c>
      <c r="M69" s="61" t="str">
        <f>IFERROR(__xludf.DUMMYFUNCTION("""COMPUTED_VALUE"""),"Asia")</f>
        <v>Asia</v>
      </c>
      <c r="N69" s="61"/>
      <c r="O69" s="61"/>
      <c r="P69" s="61"/>
      <c r="Q69" s="61"/>
      <c r="R69" s="61"/>
      <c r="S69" s="61"/>
      <c r="T69" s="61"/>
      <c r="U69" s="61"/>
      <c r="V69" s="61"/>
      <c r="W69" s="61"/>
      <c r="X69" s="61"/>
      <c r="Y69" s="61"/>
      <c r="Z69" s="61"/>
      <c r="AA69" s="61"/>
    </row>
    <row r="70">
      <c r="A70" s="61" t="s">
        <v>397</v>
      </c>
      <c r="B70" s="61" t="s">
        <v>374</v>
      </c>
      <c r="C70" s="61" t="s">
        <v>411</v>
      </c>
      <c r="D70" s="71">
        <v>3513.0</v>
      </c>
      <c r="E70" s="71">
        <v>2810.0</v>
      </c>
      <c r="F70" s="72">
        <f t="shared" si="1"/>
        <v>703</v>
      </c>
      <c r="G70" s="61"/>
      <c r="H70" s="61" t="str">
        <f>IFERROR(__xludf.DUMMYFUNCTION("""COMPUTED_VALUE"""),"Europe")</f>
        <v>Europe</v>
      </c>
      <c r="I70" s="61" t="str">
        <f>IFERROR(__xludf.DUMMYFUNCTION("""COMPUTED_VALUE"""),"Dasring")</f>
        <v>Dasring</v>
      </c>
      <c r="J70" s="61">
        <f>IFERROR(__xludf.DUMMYFUNCTION("""COMPUTED_VALUE"""),2277.0)</f>
        <v>2277</v>
      </c>
      <c r="K70" s="61"/>
      <c r="L70" s="61">
        <f>IFERROR(__xludf.DUMMYFUNCTION("""COMPUTED_VALUE"""),0.0)</f>
        <v>0</v>
      </c>
      <c r="M70" s="61" t="str">
        <f>IFERROR(__xludf.DUMMYFUNCTION("""COMPUTED_VALUE"""),"Asia")</f>
        <v>Asia</v>
      </c>
      <c r="N70" s="61"/>
      <c r="O70" s="61"/>
      <c r="P70" s="61"/>
      <c r="Q70" s="61"/>
      <c r="R70" s="61"/>
      <c r="S70" s="61"/>
      <c r="T70" s="61"/>
      <c r="U70" s="61"/>
      <c r="V70" s="61"/>
      <c r="W70" s="61"/>
      <c r="X70" s="61"/>
      <c r="Y70" s="61"/>
      <c r="Z70" s="61"/>
      <c r="AA70" s="61"/>
    </row>
    <row r="71">
      <c r="A71" s="61" t="s">
        <v>397</v>
      </c>
      <c r="B71" s="61" t="s">
        <v>374</v>
      </c>
      <c r="C71" s="61" t="s">
        <v>412</v>
      </c>
      <c r="D71" s="71">
        <v>13174.0</v>
      </c>
      <c r="E71" s="71">
        <v>13569.0</v>
      </c>
      <c r="F71" s="72">
        <f t="shared" si="1"/>
        <v>-395</v>
      </c>
      <c r="G71" s="61"/>
      <c r="H71" s="61" t="str">
        <f>IFERROR(__xludf.DUMMYFUNCTION("""COMPUTED_VALUE"""),"Europe")</f>
        <v>Europe</v>
      </c>
      <c r="I71" s="61" t="str">
        <f>IFERROR(__xludf.DUMMYFUNCTION("""COMPUTED_VALUE"""),"Didactic")</f>
        <v>Didactic</v>
      </c>
      <c r="J71" s="61">
        <f>IFERROR(__xludf.DUMMYFUNCTION("""COMPUTED_VALUE"""),3188.0)</f>
        <v>3188</v>
      </c>
      <c r="K71" s="61"/>
      <c r="L71" s="61">
        <f>IFERROR(__xludf.DUMMYFUNCTION("""COMPUTED_VALUE"""),0.0)</f>
        <v>0</v>
      </c>
      <c r="M71" s="61" t="str">
        <f>IFERROR(__xludf.DUMMYFUNCTION("""COMPUTED_VALUE"""),"Asia")</f>
        <v>Asia</v>
      </c>
      <c r="N71" s="61"/>
      <c r="O71" s="61"/>
      <c r="P71" s="61"/>
      <c r="Q71" s="61"/>
      <c r="R71" s="61"/>
      <c r="S71" s="61"/>
      <c r="T71" s="61"/>
      <c r="U71" s="61"/>
      <c r="V71" s="61"/>
      <c r="W71" s="61"/>
      <c r="X71" s="61"/>
      <c r="Y71" s="61"/>
      <c r="Z71" s="61"/>
      <c r="AA71" s="61"/>
    </row>
    <row r="72">
      <c r="A72" s="61" t="s">
        <v>397</v>
      </c>
      <c r="B72" s="61" t="s">
        <v>387</v>
      </c>
      <c r="C72" s="61" t="s">
        <v>404</v>
      </c>
      <c r="D72" s="71">
        <v>2342.0</v>
      </c>
      <c r="E72" s="71">
        <v>2061.0</v>
      </c>
      <c r="F72" s="72">
        <f t="shared" si="1"/>
        <v>281</v>
      </c>
      <c r="G72" s="61"/>
      <c r="H72" s="61" t="str">
        <f>IFERROR(__xludf.DUMMYFUNCTION("""COMPUTED_VALUE"""),"Europe")</f>
        <v>Europe</v>
      </c>
      <c r="I72" s="61" t="str">
        <f>IFERROR(__xludf.DUMMYFUNCTION("""COMPUTED_VALUE"""),"Flowrrr")</f>
        <v>Flowrrr</v>
      </c>
      <c r="J72" s="61">
        <f>IFERROR(__xludf.DUMMYFUNCTION("""COMPUTED_VALUE"""),3643.0)</f>
        <v>3643</v>
      </c>
      <c r="K72" s="61"/>
      <c r="L72" s="61">
        <f>IFERROR(__xludf.DUMMYFUNCTION("""COMPUTED_VALUE"""),0.0)</f>
        <v>0</v>
      </c>
      <c r="M72" s="61" t="str">
        <f>IFERROR(__xludf.DUMMYFUNCTION("""COMPUTED_VALUE"""),"Asia")</f>
        <v>Asia</v>
      </c>
      <c r="N72" s="61"/>
      <c r="O72" s="61"/>
      <c r="P72" s="61"/>
      <c r="Q72" s="61"/>
      <c r="R72" s="61"/>
      <c r="S72" s="61"/>
      <c r="T72" s="61"/>
      <c r="U72" s="61"/>
      <c r="V72" s="61"/>
      <c r="W72" s="61"/>
      <c r="X72" s="61"/>
      <c r="Y72" s="61"/>
      <c r="Z72" s="61"/>
      <c r="AA72" s="61"/>
    </row>
    <row r="73">
      <c r="A73" s="61" t="s">
        <v>397</v>
      </c>
      <c r="B73" s="61" t="s">
        <v>387</v>
      </c>
      <c r="C73" s="61" t="s">
        <v>405</v>
      </c>
      <c r="D73" s="71">
        <v>4977.0</v>
      </c>
      <c r="E73" s="71">
        <v>5724.0</v>
      </c>
      <c r="F73" s="72">
        <f t="shared" si="1"/>
        <v>-747</v>
      </c>
      <c r="G73" s="61"/>
      <c r="H73" s="61" t="str">
        <f>IFERROR(__xludf.DUMMYFUNCTION("""COMPUTED_VALUE"""),"Europe")</f>
        <v>Europe</v>
      </c>
      <c r="I73" s="61" t="str">
        <f>IFERROR(__xludf.DUMMYFUNCTION("""COMPUTED_VALUE"""),"Halotot")</f>
        <v>Halotot</v>
      </c>
      <c r="J73" s="61">
        <f>IFERROR(__xludf.DUMMYFUNCTION("""COMPUTED_VALUE"""),5465.0)</f>
        <v>5465</v>
      </c>
      <c r="K73" s="61"/>
      <c r="L73" s="61">
        <f>IFERROR(__xludf.DUMMYFUNCTION("""COMPUTED_VALUE"""),0.0)</f>
        <v>0</v>
      </c>
      <c r="M73" s="61" t="str">
        <f>IFERROR(__xludf.DUMMYFUNCTION("""COMPUTED_VALUE"""),"Asia")</f>
        <v>Asia</v>
      </c>
      <c r="N73" s="61"/>
      <c r="O73" s="61"/>
      <c r="P73" s="61"/>
      <c r="Q73" s="61"/>
      <c r="R73" s="61"/>
      <c r="S73" s="61"/>
      <c r="T73" s="61"/>
      <c r="U73" s="61"/>
      <c r="V73" s="61"/>
      <c r="W73" s="61"/>
      <c r="X73" s="61"/>
      <c r="Y73" s="61"/>
      <c r="Z73" s="61"/>
      <c r="AA73" s="61"/>
    </row>
    <row r="74">
      <c r="A74" s="61" t="s">
        <v>397</v>
      </c>
      <c r="B74" s="61" t="s">
        <v>387</v>
      </c>
      <c r="C74" s="61" t="s">
        <v>406</v>
      </c>
      <c r="D74" s="71">
        <v>7612.0</v>
      </c>
      <c r="E74" s="71">
        <v>7916.0</v>
      </c>
      <c r="F74" s="72">
        <f t="shared" si="1"/>
        <v>-304</v>
      </c>
      <c r="G74" s="61"/>
      <c r="H74" s="61" t="str">
        <f>IFERROR(__xludf.DUMMYFUNCTION("""COMPUTED_VALUE"""),"Europe")</f>
        <v>Europe</v>
      </c>
      <c r="I74" s="61" t="str">
        <f>IFERROR(__xludf.DUMMYFUNCTION("""COMPUTED_VALUE"""),"Mirrrr")</f>
        <v>Mirrrr</v>
      </c>
      <c r="J74" s="61">
        <f>IFERROR(__xludf.DUMMYFUNCTION("""COMPUTED_VALUE"""),1822.0)</f>
        <v>1822</v>
      </c>
      <c r="K74" s="61"/>
      <c r="L74" s="61">
        <f>IFERROR(__xludf.DUMMYFUNCTION("""COMPUTED_VALUE"""),878.0)</f>
        <v>878</v>
      </c>
      <c r="M74" s="61" t="str">
        <f>IFERROR(__xludf.DUMMYFUNCTION("""COMPUTED_VALUE"""),"Asia")</f>
        <v>Asia</v>
      </c>
      <c r="N74" s="61"/>
      <c r="O74" s="61"/>
      <c r="P74" s="61"/>
      <c r="Q74" s="61"/>
      <c r="R74" s="61"/>
      <c r="S74" s="61"/>
      <c r="T74" s="61"/>
      <c r="U74" s="61"/>
      <c r="V74" s="61"/>
      <c r="W74" s="61"/>
      <c r="X74" s="61"/>
      <c r="Y74" s="61"/>
      <c r="Z74" s="61"/>
      <c r="AA74" s="61"/>
    </row>
    <row r="75">
      <c r="A75" s="61" t="s">
        <v>397</v>
      </c>
      <c r="B75" s="61" t="s">
        <v>387</v>
      </c>
      <c r="C75" s="61" t="s">
        <v>407</v>
      </c>
      <c r="D75" s="71">
        <v>6734.0</v>
      </c>
      <c r="E75" s="71">
        <v>6128.0</v>
      </c>
      <c r="F75" s="72">
        <f t="shared" si="1"/>
        <v>606</v>
      </c>
      <c r="G75" s="61"/>
      <c r="H75" s="61" t="str">
        <f>IFERROR(__xludf.DUMMYFUNCTION("""COMPUTED_VALUE"""),"Europe")</f>
        <v>Europe</v>
      </c>
      <c r="I75" s="61" t="str">
        <f>IFERROR(__xludf.DUMMYFUNCTION("""COMPUTED_VALUE"""),"Pet Feed")</f>
        <v>Pet Feed</v>
      </c>
      <c r="J75" s="61">
        <f>IFERROR(__xludf.DUMMYFUNCTION("""COMPUTED_VALUE"""),2732.0)</f>
        <v>2732</v>
      </c>
      <c r="K75" s="61"/>
      <c r="L75" s="61">
        <f>IFERROR(__xludf.DUMMYFUNCTION("""COMPUTED_VALUE"""),3513.0)</f>
        <v>3513</v>
      </c>
      <c r="M75" s="61" t="str">
        <f>IFERROR(__xludf.DUMMYFUNCTION("""COMPUTED_VALUE"""),"Asia")</f>
        <v>Asia</v>
      </c>
      <c r="N75" s="61"/>
      <c r="O75" s="61"/>
      <c r="P75" s="61"/>
      <c r="Q75" s="61"/>
      <c r="R75" s="61"/>
      <c r="S75" s="61"/>
      <c r="T75" s="61"/>
      <c r="U75" s="61"/>
      <c r="V75" s="61"/>
      <c r="W75" s="61"/>
      <c r="X75" s="61"/>
      <c r="Y75" s="61"/>
      <c r="Z75" s="61"/>
      <c r="AA75" s="61"/>
    </row>
    <row r="76">
      <c r="A76" s="61" t="s">
        <v>397</v>
      </c>
      <c r="B76" s="61" t="s">
        <v>387</v>
      </c>
      <c r="C76" s="61" t="s">
        <v>408</v>
      </c>
      <c r="D76" s="71">
        <v>1171.0</v>
      </c>
      <c r="E76" s="71">
        <v>1124.0</v>
      </c>
      <c r="F76" s="72">
        <f t="shared" si="1"/>
        <v>47</v>
      </c>
      <c r="G76" s="61"/>
      <c r="H76" s="61" t="str">
        <f>IFERROR(__xludf.DUMMYFUNCTION("""COMPUTED_VALUE"""),"Europe")</f>
        <v>Europe</v>
      </c>
      <c r="I76" s="61" t="str">
        <f>IFERROR(__xludf.DUMMYFUNCTION("""COMPUTED_VALUE"""),"Rehire")</f>
        <v>Rehire</v>
      </c>
      <c r="J76" s="61">
        <f>IFERROR(__xludf.DUMMYFUNCTION("""COMPUTED_VALUE"""),3188.0)</f>
        <v>3188</v>
      </c>
      <c r="K76" s="61"/>
      <c r="L76" s="61">
        <f>IFERROR(__xludf.DUMMYFUNCTION("""COMPUTED_VALUE"""),13174.0)</f>
        <v>13174</v>
      </c>
      <c r="M76" s="61" t="str">
        <f>IFERROR(__xludf.DUMMYFUNCTION("""COMPUTED_VALUE"""),"Asia")</f>
        <v>Asia</v>
      </c>
      <c r="N76" s="61"/>
      <c r="O76" s="61"/>
      <c r="P76" s="61"/>
      <c r="Q76" s="61"/>
      <c r="R76" s="61"/>
      <c r="S76" s="61"/>
      <c r="T76" s="61"/>
      <c r="U76" s="61"/>
      <c r="V76" s="61"/>
      <c r="W76" s="61"/>
      <c r="X76" s="61"/>
      <c r="Y76" s="61"/>
      <c r="Z76" s="61"/>
      <c r="AA76" s="61"/>
    </row>
    <row r="77">
      <c r="A77" s="61" t="s">
        <v>397</v>
      </c>
      <c r="B77" s="61" t="s">
        <v>387</v>
      </c>
      <c r="C77" s="61" t="s">
        <v>409</v>
      </c>
      <c r="D77" s="71">
        <v>0.0</v>
      </c>
      <c r="E77" s="71">
        <v>0.0</v>
      </c>
      <c r="F77" s="72">
        <f t="shared" si="1"/>
        <v>0</v>
      </c>
      <c r="G77" s="61"/>
      <c r="H77" s="61" t="str">
        <f>IFERROR(__xludf.DUMMYFUNCTION("""COMPUTED_VALUE"""),"Europe")</f>
        <v>Europe</v>
      </c>
      <c r="I77" s="61" t="str">
        <f>IFERROR(__xludf.DUMMYFUNCTION("""COMPUTED_VALUE"""),"Right App")</f>
        <v>Right App</v>
      </c>
      <c r="J77" s="61">
        <f>IFERROR(__xludf.DUMMYFUNCTION("""COMPUTED_VALUE"""),5465.0)</f>
        <v>5465</v>
      </c>
      <c r="K77" s="61"/>
      <c r="L77" s="61">
        <f>IFERROR(__xludf.DUMMYFUNCTION("""COMPUTED_VALUE"""),2342.0)</f>
        <v>2342</v>
      </c>
      <c r="M77" s="61" t="str">
        <f>IFERROR(__xludf.DUMMYFUNCTION("""COMPUTED_VALUE"""),"Australia")</f>
        <v>Australia</v>
      </c>
      <c r="N77" s="61"/>
      <c r="O77" s="61"/>
      <c r="P77" s="61"/>
      <c r="Q77" s="61"/>
      <c r="R77" s="61"/>
      <c r="S77" s="61"/>
      <c r="T77" s="61"/>
      <c r="U77" s="61"/>
      <c r="V77" s="61"/>
      <c r="W77" s="61"/>
      <c r="X77" s="61"/>
      <c r="Y77" s="61"/>
      <c r="Z77" s="61"/>
      <c r="AA77" s="61"/>
    </row>
    <row r="78">
      <c r="A78" s="61" t="s">
        <v>397</v>
      </c>
      <c r="B78" s="61" t="s">
        <v>387</v>
      </c>
      <c r="C78" s="61" t="s">
        <v>410</v>
      </c>
      <c r="D78" s="71">
        <v>0.0</v>
      </c>
      <c r="E78" s="71">
        <v>0.0</v>
      </c>
      <c r="F78" s="72">
        <f t="shared" si="1"/>
        <v>0</v>
      </c>
      <c r="G78" s="61"/>
      <c r="H78" s="61" t="str">
        <f>IFERROR(__xludf.DUMMYFUNCTION("""COMPUTED_VALUE"""),"Europe")</f>
        <v>Europe</v>
      </c>
      <c r="I78" s="61" t="str">
        <f>IFERROR(__xludf.DUMMYFUNCTION("""COMPUTED_VALUE"""),"Silvrr")</f>
        <v>Silvrr</v>
      </c>
      <c r="J78" s="61">
        <f>IFERROR(__xludf.DUMMYFUNCTION("""COMPUTED_VALUE"""),4554.0)</f>
        <v>4554</v>
      </c>
      <c r="K78" s="61"/>
      <c r="L78" s="61">
        <f>IFERROR(__xludf.DUMMYFUNCTION("""COMPUTED_VALUE"""),4977.0)</f>
        <v>4977</v>
      </c>
      <c r="M78" s="61" t="str">
        <f>IFERROR(__xludf.DUMMYFUNCTION("""COMPUTED_VALUE"""),"Australia")</f>
        <v>Australia</v>
      </c>
      <c r="N78" s="61"/>
      <c r="O78" s="61"/>
      <c r="P78" s="61"/>
      <c r="Q78" s="61"/>
      <c r="R78" s="61"/>
      <c r="S78" s="61"/>
      <c r="T78" s="61"/>
      <c r="U78" s="61"/>
      <c r="V78" s="61"/>
      <c r="W78" s="61"/>
      <c r="X78" s="61"/>
      <c r="Y78" s="61"/>
      <c r="Z78" s="61"/>
      <c r="AA78" s="61"/>
    </row>
    <row r="79">
      <c r="A79" s="61" t="s">
        <v>397</v>
      </c>
      <c r="B79" s="61" t="s">
        <v>387</v>
      </c>
      <c r="C79" s="61" t="s">
        <v>411</v>
      </c>
      <c r="D79" s="71">
        <v>0.0</v>
      </c>
      <c r="E79" s="71">
        <v>0.0</v>
      </c>
      <c r="F79" s="72">
        <f t="shared" si="1"/>
        <v>0</v>
      </c>
      <c r="G79" s="61"/>
      <c r="H79" s="61" t="str">
        <f>IFERROR(__xludf.DUMMYFUNCTION("""COMPUTED_VALUE"""),"Europe")</f>
        <v>Europe</v>
      </c>
      <c r="I79" s="61" t="str">
        <f>IFERROR(__xludf.DUMMYFUNCTION("""COMPUTED_VALUE"""),"Sleops")</f>
        <v>Sleops</v>
      </c>
      <c r="J79" s="61">
        <f>IFERROR(__xludf.DUMMYFUNCTION("""COMPUTED_VALUE"""),455.0)</f>
        <v>455</v>
      </c>
      <c r="K79" s="61"/>
      <c r="L79" s="61">
        <f>IFERROR(__xludf.DUMMYFUNCTION("""COMPUTED_VALUE"""),7612.0)</f>
        <v>7612</v>
      </c>
      <c r="M79" s="61" t="str">
        <f>IFERROR(__xludf.DUMMYFUNCTION("""COMPUTED_VALUE"""),"Australia")</f>
        <v>Australia</v>
      </c>
      <c r="N79" s="61"/>
      <c r="O79" s="61"/>
      <c r="P79" s="61"/>
      <c r="Q79" s="61"/>
      <c r="R79" s="61"/>
      <c r="S79" s="61"/>
      <c r="T79" s="61"/>
      <c r="U79" s="61"/>
      <c r="V79" s="61"/>
      <c r="W79" s="61"/>
      <c r="X79" s="61"/>
      <c r="Y79" s="61"/>
      <c r="Z79" s="61"/>
      <c r="AA79" s="61"/>
    </row>
    <row r="80">
      <c r="A80" s="61" t="s">
        <v>397</v>
      </c>
      <c r="B80" s="61" t="s">
        <v>387</v>
      </c>
      <c r="C80" s="61" t="s">
        <v>412</v>
      </c>
      <c r="D80" s="71">
        <v>6441.0</v>
      </c>
      <c r="E80" s="71">
        <v>6055.0</v>
      </c>
      <c r="F80" s="72">
        <f t="shared" si="1"/>
        <v>386</v>
      </c>
      <c r="G80" s="61"/>
      <c r="H80" s="61" t="str">
        <f>IFERROR(__xludf.DUMMYFUNCTION("""COMPUTED_VALUE"""),"Europe")</f>
        <v>Europe</v>
      </c>
      <c r="I80" s="61" t="str">
        <f>IFERROR(__xludf.DUMMYFUNCTION("""COMPUTED_VALUE"""),"Voltage")</f>
        <v>Voltage</v>
      </c>
      <c r="J80" s="61">
        <f>IFERROR(__xludf.DUMMYFUNCTION("""COMPUTED_VALUE"""),911.0)</f>
        <v>911</v>
      </c>
      <c r="K80" s="61"/>
      <c r="L80" s="61">
        <f>IFERROR(__xludf.DUMMYFUNCTION("""COMPUTED_VALUE"""),6734.0)</f>
        <v>6734</v>
      </c>
      <c r="M80" s="61" t="str">
        <f>IFERROR(__xludf.DUMMYFUNCTION("""COMPUTED_VALUE"""),"Australia")</f>
        <v>Australia</v>
      </c>
      <c r="N80" s="61"/>
      <c r="O80" s="61"/>
      <c r="P80" s="61"/>
      <c r="Q80" s="61"/>
      <c r="R80" s="61"/>
      <c r="S80" s="61"/>
      <c r="T80" s="61"/>
      <c r="U80" s="61"/>
      <c r="V80" s="61"/>
      <c r="W80" s="61"/>
      <c r="X80" s="61"/>
      <c r="Y80" s="61"/>
      <c r="Z80" s="61"/>
      <c r="AA80" s="61"/>
    </row>
    <row r="81">
      <c r="A81" s="61" t="s">
        <v>397</v>
      </c>
      <c r="B81" s="61" t="s">
        <v>394</v>
      </c>
      <c r="C81" s="61" t="s">
        <v>398</v>
      </c>
      <c r="D81" s="71">
        <v>911.0</v>
      </c>
      <c r="E81" s="71">
        <v>1002.0</v>
      </c>
      <c r="F81" s="72">
        <f t="shared" si="1"/>
        <v>-91</v>
      </c>
      <c r="G81" s="61"/>
      <c r="H81" s="61" t="str">
        <f>IFERROR(__xludf.DUMMYFUNCTION("""COMPUTED_VALUE"""),"Europe")</f>
        <v>Europe</v>
      </c>
      <c r="I81" s="61" t="str">
        <f>IFERROR(__xludf.DUMMYFUNCTION("""COMPUTED_VALUE"""),"WenCaL")</f>
        <v>WenCaL</v>
      </c>
      <c r="J81" s="61">
        <f>IFERROR(__xludf.DUMMYFUNCTION("""COMPUTED_VALUE"""),10930.0)</f>
        <v>10930</v>
      </c>
      <c r="K81" s="61"/>
      <c r="L81" s="61">
        <f>IFERROR(__xludf.DUMMYFUNCTION("""COMPUTED_VALUE"""),1171.0)</f>
        <v>1171</v>
      </c>
      <c r="M81" s="61" t="str">
        <f>IFERROR(__xludf.DUMMYFUNCTION("""COMPUTED_VALUE"""),"Australia")</f>
        <v>Australia</v>
      </c>
      <c r="N81" s="61"/>
      <c r="O81" s="61"/>
      <c r="P81" s="61"/>
      <c r="Q81" s="61"/>
      <c r="R81" s="61"/>
      <c r="S81" s="61"/>
      <c r="T81" s="61"/>
      <c r="U81" s="61"/>
      <c r="V81" s="61"/>
      <c r="W81" s="61"/>
      <c r="X81" s="61"/>
      <c r="Y81" s="61"/>
      <c r="Z81" s="61"/>
      <c r="AA81" s="61"/>
    </row>
    <row r="82">
      <c r="A82" s="61" t="s">
        <v>397</v>
      </c>
      <c r="B82" s="61" t="s">
        <v>394</v>
      </c>
      <c r="C82" s="61" t="s">
        <v>399</v>
      </c>
      <c r="D82" s="71">
        <v>2277.0</v>
      </c>
      <c r="E82" s="71">
        <v>2004.0</v>
      </c>
      <c r="F82" s="72">
        <f t="shared" si="1"/>
        <v>273</v>
      </c>
      <c r="G82" s="61"/>
      <c r="H82" s="61" t="str">
        <f>IFERROR(__xludf.DUMMYFUNCTION("""COMPUTED_VALUE"""),"Europe")</f>
        <v>Europe</v>
      </c>
      <c r="I82" s="61" t="str">
        <f>IFERROR(__xludf.DUMMYFUNCTION("""COMPUTED_VALUE"""),"Accord")</f>
        <v>Accord</v>
      </c>
      <c r="J82" s="61">
        <f>IFERROR(__xludf.DUMMYFUNCTION("""COMPUTED_VALUE"""),2622.0)</f>
        <v>2622</v>
      </c>
      <c r="K82" s="61"/>
      <c r="L82" s="61">
        <f>IFERROR(__xludf.DUMMYFUNCTION("""COMPUTED_VALUE"""),0.0)</f>
        <v>0</v>
      </c>
      <c r="M82" s="61" t="str">
        <f>IFERROR(__xludf.DUMMYFUNCTION("""COMPUTED_VALUE"""),"Australia")</f>
        <v>Australia</v>
      </c>
      <c r="N82" s="61"/>
      <c r="O82" s="61"/>
      <c r="P82" s="61"/>
      <c r="Q82" s="61"/>
      <c r="R82" s="61"/>
      <c r="S82" s="61"/>
      <c r="T82" s="61"/>
      <c r="U82" s="61"/>
      <c r="V82" s="61"/>
      <c r="W82" s="61"/>
      <c r="X82" s="61"/>
      <c r="Y82" s="61"/>
      <c r="Z82" s="61"/>
      <c r="AA82" s="61"/>
    </row>
    <row r="83">
      <c r="A83" s="61" t="s">
        <v>397</v>
      </c>
      <c r="B83" s="61" t="s">
        <v>394</v>
      </c>
      <c r="C83" s="61" t="s">
        <v>400</v>
      </c>
      <c r="D83" s="71">
        <v>3188.0</v>
      </c>
      <c r="E83" s="71">
        <v>3794.0</v>
      </c>
      <c r="F83" s="72">
        <f t="shared" si="1"/>
        <v>-606</v>
      </c>
      <c r="G83" s="61"/>
      <c r="H83" s="61" t="str">
        <f>IFERROR(__xludf.DUMMYFUNCTION("""COMPUTED_VALUE"""),"Europe")</f>
        <v>Europe</v>
      </c>
      <c r="I83" s="61" t="str">
        <f>IFERROR(__xludf.DUMMYFUNCTION("""COMPUTED_VALUE"""),"Amplefio")</f>
        <v>Amplefio</v>
      </c>
      <c r="J83" s="61">
        <f>IFERROR(__xludf.DUMMYFUNCTION("""COMPUTED_VALUE"""),2185.0)</f>
        <v>2185</v>
      </c>
      <c r="K83" s="61"/>
      <c r="L83" s="61">
        <f>IFERROR(__xludf.DUMMYFUNCTION("""COMPUTED_VALUE"""),0.0)</f>
        <v>0</v>
      </c>
      <c r="M83" s="61" t="str">
        <f>IFERROR(__xludf.DUMMYFUNCTION("""COMPUTED_VALUE"""),"Australia")</f>
        <v>Australia</v>
      </c>
      <c r="N83" s="61"/>
      <c r="O83" s="61"/>
      <c r="P83" s="61"/>
      <c r="Q83" s="61"/>
      <c r="R83" s="61"/>
      <c r="S83" s="61"/>
      <c r="T83" s="61"/>
      <c r="U83" s="61"/>
      <c r="V83" s="61"/>
      <c r="W83" s="61"/>
      <c r="X83" s="61"/>
      <c r="Y83" s="61"/>
      <c r="Z83" s="61"/>
      <c r="AA83" s="61"/>
    </row>
    <row r="84">
      <c r="A84" s="61" t="s">
        <v>397</v>
      </c>
      <c r="B84" s="61" t="s">
        <v>394</v>
      </c>
      <c r="C84" s="61" t="s">
        <v>401</v>
      </c>
      <c r="D84" s="71">
        <v>3643.0</v>
      </c>
      <c r="E84" s="71">
        <v>3570.0</v>
      </c>
      <c r="F84" s="72">
        <f t="shared" si="1"/>
        <v>73</v>
      </c>
      <c r="G84" s="61"/>
      <c r="H84" s="61" t="str">
        <f>IFERROR(__xludf.DUMMYFUNCTION("""COMPUTED_VALUE"""),"Europe")</f>
        <v>Europe</v>
      </c>
      <c r="I84" s="61" t="str">
        <f>IFERROR(__xludf.DUMMYFUNCTION("""COMPUTED_VALUE"""),"Atmos")</f>
        <v>Atmos</v>
      </c>
      <c r="J84" s="61">
        <f>IFERROR(__xludf.DUMMYFUNCTION("""COMPUTED_VALUE"""),1748.0)</f>
        <v>1748</v>
      </c>
      <c r="K84" s="61"/>
      <c r="L84" s="61">
        <f>IFERROR(__xludf.DUMMYFUNCTION("""COMPUTED_VALUE"""),0.0)</f>
        <v>0</v>
      </c>
      <c r="M84" s="61" t="str">
        <f>IFERROR(__xludf.DUMMYFUNCTION("""COMPUTED_VALUE"""),"Australia")</f>
        <v>Australia</v>
      </c>
      <c r="N84" s="61"/>
      <c r="O84" s="61"/>
      <c r="P84" s="61"/>
      <c r="Q84" s="61"/>
      <c r="R84" s="61"/>
      <c r="S84" s="61"/>
      <c r="T84" s="61"/>
      <c r="U84" s="61"/>
      <c r="V84" s="61"/>
      <c r="W84" s="61"/>
      <c r="X84" s="61"/>
      <c r="Y84" s="61"/>
      <c r="Z84" s="61"/>
      <c r="AA84" s="61"/>
    </row>
    <row r="85">
      <c r="A85" s="61" t="s">
        <v>397</v>
      </c>
      <c r="B85" s="61" t="s">
        <v>394</v>
      </c>
      <c r="C85" s="61" t="s">
        <v>402</v>
      </c>
      <c r="D85" s="71">
        <v>5465.0</v>
      </c>
      <c r="E85" s="71">
        <v>4700.0</v>
      </c>
      <c r="F85" s="72">
        <f t="shared" si="1"/>
        <v>765</v>
      </c>
      <c r="G85" s="61"/>
      <c r="H85" s="61" t="str">
        <f>IFERROR(__xludf.DUMMYFUNCTION("""COMPUTED_VALUE"""),"Europe")</f>
        <v>Europe</v>
      </c>
      <c r="I85" s="61" t="str">
        <f>IFERROR(__xludf.DUMMYFUNCTION("""COMPUTED_VALUE"""),"Commuta")</f>
        <v>Commuta</v>
      </c>
      <c r="J85" s="61">
        <f>IFERROR(__xludf.DUMMYFUNCTION("""COMPUTED_VALUE"""),5243.0)</f>
        <v>5243</v>
      </c>
      <c r="K85" s="61"/>
      <c r="L85" s="61">
        <f>IFERROR(__xludf.DUMMYFUNCTION("""COMPUTED_VALUE"""),6441.0)</f>
        <v>6441</v>
      </c>
      <c r="M85" s="61" t="str">
        <f>IFERROR(__xludf.DUMMYFUNCTION("""COMPUTED_VALUE"""),"Australia")</f>
        <v>Australia</v>
      </c>
      <c r="N85" s="61"/>
      <c r="O85" s="61"/>
      <c r="P85" s="61"/>
      <c r="Q85" s="61"/>
      <c r="R85" s="61"/>
      <c r="S85" s="61"/>
      <c r="T85" s="61"/>
      <c r="U85" s="61"/>
      <c r="V85" s="61"/>
      <c r="W85" s="61"/>
      <c r="X85" s="61"/>
      <c r="Y85" s="61"/>
      <c r="Z85" s="61"/>
      <c r="AA85" s="61"/>
    </row>
    <row r="86">
      <c r="A86" s="61" t="s">
        <v>397</v>
      </c>
      <c r="B86" s="61" t="s">
        <v>394</v>
      </c>
      <c r="C86" s="61" t="s">
        <v>403</v>
      </c>
      <c r="D86" s="71">
        <v>0.0</v>
      </c>
      <c r="E86" s="71">
        <v>0.0</v>
      </c>
      <c r="F86" s="72">
        <f t="shared" si="1"/>
        <v>0</v>
      </c>
      <c r="G86" s="61"/>
      <c r="H86" s="61" t="str">
        <f>IFERROR(__xludf.DUMMYFUNCTION("""COMPUTED_VALUE"""),"Europe")</f>
        <v>Europe</v>
      </c>
      <c r="I86" s="61" t="str">
        <f>IFERROR(__xludf.DUMMYFUNCTION("""COMPUTED_VALUE"""),"Infic")</f>
        <v>Infic</v>
      </c>
      <c r="J86" s="61">
        <f>IFERROR(__xludf.DUMMYFUNCTION("""COMPUTED_VALUE"""),1311.0)</f>
        <v>1311</v>
      </c>
      <c r="K86" s="61"/>
      <c r="L86" s="61">
        <f>IFERROR(__xludf.DUMMYFUNCTION("""COMPUTED_VALUE"""),911.0)</f>
        <v>911</v>
      </c>
      <c r="M86" s="61" t="str">
        <f>IFERROR(__xludf.DUMMYFUNCTION("""COMPUTED_VALUE"""),"Europe")</f>
        <v>Europe</v>
      </c>
      <c r="N86" s="61"/>
      <c r="O86" s="61"/>
      <c r="P86" s="61"/>
      <c r="Q86" s="61"/>
      <c r="R86" s="61"/>
      <c r="S86" s="61"/>
      <c r="T86" s="61"/>
      <c r="U86" s="61"/>
      <c r="V86" s="61"/>
      <c r="W86" s="61"/>
      <c r="X86" s="61"/>
      <c r="Y86" s="61"/>
      <c r="Z86" s="61"/>
      <c r="AA86" s="61"/>
    </row>
    <row r="87">
      <c r="A87" s="61" t="s">
        <v>397</v>
      </c>
      <c r="B87" s="61" t="s">
        <v>394</v>
      </c>
      <c r="C87" s="61" t="s">
        <v>404</v>
      </c>
      <c r="D87" s="71">
        <v>0.0</v>
      </c>
      <c r="E87" s="71">
        <v>0.0</v>
      </c>
      <c r="F87" s="72">
        <f t="shared" si="1"/>
        <v>0</v>
      </c>
      <c r="G87" s="61"/>
      <c r="H87" s="61" t="str">
        <f>IFERROR(__xludf.DUMMYFUNCTION("""COMPUTED_VALUE"""),"Europe")</f>
        <v>Europe</v>
      </c>
      <c r="I87" s="61" t="str">
        <f>IFERROR(__xludf.DUMMYFUNCTION("""COMPUTED_VALUE"""),"Minor Liar")</f>
        <v>Minor Liar</v>
      </c>
      <c r="J87" s="61">
        <f>IFERROR(__xludf.DUMMYFUNCTION("""COMPUTED_VALUE"""),13109.0)</f>
        <v>13109</v>
      </c>
      <c r="K87" s="61"/>
      <c r="L87" s="61">
        <f>IFERROR(__xludf.DUMMYFUNCTION("""COMPUTED_VALUE"""),2277.0)</f>
        <v>2277</v>
      </c>
      <c r="M87" s="61" t="str">
        <f>IFERROR(__xludf.DUMMYFUNCTION("""COMPUTED_VALUE"""),"Europe")</f>
        <v>Europe</v>
      </c>
      <c r="N87" s="61"/>
      <c r="O87" s="61"/>
      <c r="P87" s="61"/>
      <c r="Q87" s="61"/>
      <c r="R87" s="61"/>
      <c r="S87" s="61"/>
      <c r="T87" s="61"/>
      <c r="U87" s="61"/>
      <c r="V87" s="61"/>
      <c r="W87" s="61"/>
      <c r="X87" s="61"/>
      <c r="Y87" s="61"/>
      <c r="Z87" s="61"/>
      <c r="AA87" s="61"/>
    </row>
    <row r="88">
      <c r="A88" s="61" t="s">
        <v>397</v>
      </c>
      <c r="B88" s="61" t="s">
        <v>394</v>
      </c>
      <c r="C88" s="61" t="s">
        <v>405</v>
      </c>
      <c r="D88" s="71">
        <v>1822.0</v>
      </c>
      <c r="E88" s="71">
        <v>2077.0</v>
      </c>
      <c r="F88" s="72">
        <f t="shared" si="1"/>
        <v>-255</v>
      </c>
      <c r="G88" s="61"/>
      <c r="H88" s="61" t="str">
        <f>IFERROR(__xludf.DUMMYFUNCTION("""COMPUTED_VALUE"""),"Europe")</f>
        <v>Europe</v>
      </c>
      <c r="I88" s="61" t="str">
        <f>IFERROR(__xludf.DUMMYFUNCTION("""COMPUTED_VALUE"""),"Misty Wash")</f>
        <v>Misty Wash</v>
      </c>
      <c r="J88" s="61">
        <f>IFERROR(__xludf.DUMMYFUNCTION("""COMPUTED_VALUE"""),12235.0)</f>
        <v>12235</v>
      </c>
      <c r="K88" s="61"/>
      <c r="L88" s="61">
        <f>IFERROR(__xludf.DUMMYFUNCTION("""COMPUTED_VALUE"""),3188.0)</f>
        <v>3188</v>
      </c>
      <c r="M88" s="61" t="str">
        <f>IFERROR(__xludf.DUMMYFUNCTION("""COMPUTED_VALUE"""),"Europe")</f>
        <v>Europe</v>
      </c>
      <c r="N88" s="61"/>
      <c r="O88" s="61"/>
      <c r="P88" s="61"/>
      <c r="Q88" s="61"/>
      <c r="R88" s="61"/>
      <c r="S88" s="61"/>
      <c r="T88" s="61"/>
      <c r="U88" s="61"/>
      <c r="V88" s="61"/>
      <c r="W88" s="61"/>
      <c r="X88" s="61"/>
      <c r="Y88" s="61"/>
      <c r="Z88" s="61"/>
      <c r="AA88" s="61"/>
    </row>
    <row r="89">
      <c r="A89" s="61" t="s">
        <v>397</v>
      </c>
      <c r="B89" s="61" t="s">
        <v>394</v>
      </c>
      <c r="C89" s="61" t="s">
        <v>406</v>
      </c>
      <c r="D89" s="71">
        <v>2732.0</v>
      </c>
      <c r="E89" s="71">
        <v>3114.0</v>
      </c>
      <c r="F89" s="72">
        <f t="shared" si="1"/>
        <v>-382</v>
      </c>
      <c r="G89" s="61"/>
      <c r="H89" s="61" t="str">
        <f>IFERROR(__xludf.DUMMYFUNCTION("""COMPUTED_VALUE"""),"Europe")</f>
        <v>Europe</v>
      </c>
      <c r="I89" s="61" t="str">
        <f>IFERROR(__xludf.DUMMYFUNCTION("""COMPUTED_VALUE"""),"Mosquit")</f>
        <v>Mosquit</v>
      </c>
      <c r="J89" s="61">
        <f>IFERROR(__xludf.DUMMYFUNCTION("""COMPUTED_VALUE"""),874.0)</f>
        <v>874</v>
      </c>
      <c r="K89" s="61"/>
      <c r="L89" s="61">
        <f>IFERROR(__xludf.DUMMYFUNCTION("""COMPUTED_VALUE"""),3643.0)</f>
        <v>3643</v>
      </c>
      <c r="M89" s="61" t="str">
        <f>IFERROR(__xludf.DUMMYFUNCTION("""COMPUTED_VALUE"""),"Europe")</f>
        <v>Europe</v>
      </c>
      <c r="N89" s="61"/>
      <c r="O89" s="61"/>
      <c r="P89" s="61"/>
      <c r="Q89" s="61"/>
      <c r="R89" s="61"/>
      <c r="S89" s="61"/>
      <c r="T89" s="61"/>
      <c r="U89" s="61"/>
      <c r="V89" s="61"/>
      <c r="W89" s="61"/>
      <c r="X89" s="61"/>
      <c r="Y89" s="61"/>
      <c r="Z89" s="61"/>
      <c r="AA89" s="61"/>
    </row>
    <row r="90">
      <c r="A90" s="61" t="s">
        <v>397</v>
      </c>
      <c r="B90" s="61" t="s">
        <v>394</v>
      </c>
      <c r="C90" s="61" t="s">
        <v>407</v>
      </c>
      <c r="D90" s="71">
        <v>3188.0</v>
      </c>
      <c r="E90" s="71">
        <v>3666.0</v>
      </c>
      <c r="F90" s="72">
        <f t="shared" si="1"/>
        <v>-478</v>
      </c>
      <c r="G90" s="61"/>
      <c r="H90" s="61" t="str">
        <f>IFERROR(__xludf.DUMMYFUNCTION("""COMPUTED_VALUE"""),"Europe")</f>
        <v>Europe</v>
      </c>
      <c r="I90" s="61" t="str">
        <f>IFERROR(__xludf.DUMMYFUNCTION("""COMPUTED_VALUE"""),"Motocyco")</f>
        <v>Motocyco</v>
      </c>
      <c r="J90" s="61">
        <f>IFERROR(__xludf.DUMMYFUNCTION("""COMPUTED_VALUE"""),437.0)</f>
        <v>437</v>
      </c>
      <c r="K90" s="61"/>
      <c r="L90" s="61">
        <f>IFERROR(__xludf.DUMMYFUNCTION("""COMPUTED_VALUE"""),5465.0)</f>
        <v>5465</v>
      </c>
      <c r="M90" s="61" t="str">
        <f>IFERROR(__xludf.DUMMYFUNCTION("""COMPUTED_VALUE"""),"Europe")</f>
        <v>Europe</v>
      </c>
      <c r="N90" s="61"/>
      <c r="O90" s="61"/>
      <c r="P90" s="61"/>
      <c r="Q90" s="61"/>
      <c r="R90" s="61"/>
      <c r="S90" s="61"/>
      <c r="T90" s="61"/>
      <c r="U90" s="61"/>
      <c r="V90" s="61"/>
      <c r="W90" s="61"/>
      <c r="X90" s="61"/>
      <c r="Y90" s="61"/>
      <c r="Z90" s="61"/>
      <c r="AA90" s="61"/>
    </row>
    <row r="91">
      <c r="A91" s="61" t="s">
        <v>397</v>
      </c>
      <c r="B91" s="61" t="s">
        <v>394</v>
      </c>
      <c r="C91" s="61" t="s">
        <v>408</v>
      </c>
      <c r="D91" s="71">
        <v>5465.0</v>
      </c>
      <c r="E91" s="71">
        <v>5738.0</v>
      </c>
      <c r="F91" s="72">
        <f t="shared" si="1"/>
        <v>-273</v>
      </c>
      <c r="G91" s="61"/>
      <c r="H91" s="61" t="str">
        <f>IFERROR(__xludf.DUMMYFUNCTION("""COMPUTED_VALUE"""),"Europe")</f>
        <v>Europe</v>
      </c>
      <c r="I91" s="61" t="str">
        <f>IFERROR(__xludf.DUMMYFUNCTION("""COMPUTED_VALUE"""),"Scrap")</f>
        <v>Scrap</v>
      </c>
      <c r="J91" s="61">
        <f>IFERROR(__xludf.DUMMYFUNCTION("""COMPUTED_VALUE"""),437.0)</f>
        <v>437</v>
      </c>
      <c r="K91" s="61"/>
      <c r="L91" s="61">
        <f>IFERROR(__xludf.DUMMYFUNCTION("""COMPUTED_VALUE"""),0.0)</f>
        <v>0</v>
      </c>
      <c r="M91" s="61" t="str">
        <f>IFERROR(__xludf.DUMMYFUNCTION("""COMPUTED_VALUE"""),"Europe")</f>
        <v>Europe</v>
      </c>
      <c r="N91" s="61"/>
      <c r="O91" s="61"/>
      <c r="P91" s="61"/>
      <c r="Q91" s="61"/>
      <c r="R91" s="61"/>
      <c r="S91" s="61"/>
      <c r="T91" s="61"/>
      <c r="U91" s="61"/>
      <c r="V91" s="61"/>
      <c r="W91" s="61"/>
      <c r="X91" s="61"/>
      <c r="Y91" s="61"/>
      <c r="Z91" s="61"/>
      <c r="AA91" s="61"/>
    </row>
    <row r="92">
      <c r="A92" s="61" t="s">
        <v>397</v>
      </c>
      <c r="B92" s="61" t="s">
        <v>394</v>
      </c>
      <c r="C92" s="61" t="s">
        <v>409</v>
      </c>
      <c r="D92" s="71">
        <v>4554.0</v>
      </c>
      <c r="E92" s="71">
        <v>3825.0</v>
      </c>
      <c r="F92" s="72">
        <f t="shared" si="1"/>
        <v>729</v>
      </c>
      <c r="G92" s="61"/>
      <c r="H92" s="61" t="str">
        <f>IFERROR(__xludf.DUMMYFUNCTION("""COMPUTED_VALUE"""),"Europe")</f>
        <v>Europe</v>
      </c>
      <c r="I92" s="61" t="str">
        <f>IFERROR(__xludf.DUMMYFUNCTION("""COMPUTED_VALUE"""),"Tanox")</f>
        <v>Tanox</v>
      </c>
      <c r="J92" s="61">
        <f>IFERROR(__xludf.DUMMYFUNCTION("""COMPUTED_VALUE"""),1311.0)</f>
        <v>1311</v>
      </c>
      <c r="K92" s="61"/>
      <c r="L92" s="61">
        <f>IFERROR(__xludf.DUMMYFUNCTION("""COMPUTED_VALUE"""),0.0)</f>
        <v>0</v>
      </c>
      <c r="M92" s="61" t="str">
        <f>IFERROR(__xludf.DUMMYFUNCTION("""COMPUTED_VALUE"""),"Europe")</f>
        <v>Europe</v>
      </c>
      <c r="N92" s="61"/>
      <c r="O92" s="61"/>
      <c r="P92" s="61"/>
      <c r="Q92" s="61"/>
      <c r="R92" s="61"/>
      <c r="S92" s="61"/>
      <c r="T92" s="61"/>
      <c r="U92" s="61"/>
      <c r="V92" s="61"/>
      <c r="W92" s="61"/>
      <c r="X92" s="61"/>
      <c r="Y92" s="61"/>
      <c r="Z92" s="61"/>
      <c r="AA92" s="61"/>
    </row>
    <row r="93">
      <c r="A93" s="61" t="s">
        <v>397</v>
      </c>
      <c r="B93" s="61" t="s">
        <v>394</v>
      </c>
      <c r="C93" s="61" t="s">
        <v>410</v>
      </c>
      <c r="D93" s="71">
        <v>455.0</v>
      </c>
      <c r="E93" s="71">
        <v>364.0</v>
      </c>
      <c r="F93" s="72">
        <f t="shared" si="1"/>
        <v>91</v>
      </c>
      <c r="G93" s="61"/>
      <c r="H93" s="61" t="str">
        <f>IFERROR(__xludf.DUMMYFUNCTION("""COMPUTED_VALUE"""),"Europe")</f>
        <v>Europe</v>
      </c>
      <c r="I93" s="61" t="str">
        <f>IFERROR(__xludf.DUMMYFUNCTION("""COMPUTED_VALUE"""),"Twenty20")</f>
        <v>Twenty20</v>
      </c>
      <c r="J93" s="61">
        <f>IFERROR(__xludf.DUMMYFUNCTION("""COMPUTED_VALUE"""),2185.0)</f>
        <v>2185</v>
      </c>
      <c r="K93" s="61"/>
      <c r="L93" s="61">
        <f>IFERROR(__xludf.DUMMYFUNCTION("""COMPUTED_VALUE"""),1822.0)</f>
        <v>1822</v>
      </c>
      <c r="M93" s="61" t="str">
        <f>IFERROR(__xludf.DUMMYFUNCTION("""COMPUTED_VALUE"""),"Europe")</f>
        <v>Europe</v>
      </c>
      <c r="N93" s="61"/>
      <c r="O93" s="61"/>
      <c r="P93" s="61"/>
      <c r="Q93" s="61"/>
      <c r="R93" s="61"/>
      <c r="S93" s="61"/>
      <c r="T93" s="61"/>
      <c r="U93" s="61"/>
      <c r="V93" s="61"/>
      <c r="W93" s="61"/>
      <c r="X93" s="61"/>
      <c r="Y93" s="61"/>
      <c r="Z93" s="61"/>
      <c r="AA93" s="61"/>
    </row>
    <row r="94">
      <c r="A94" s="61" t="s">
        <v>397</v>
      </c>
      <c r="B94" s="61" t="s">
        <v>394</v>
      </c>
      <c r="C94" s="61" t="s">
        <v>411</v>
      </c>
      <c r="D94" s="71">
        <v>911.0</v>
      </c>
      <c r="E94" s="71">
        <v>1020.0</v>
      </c>
      <c r="F94" s="72">
        <f t="shared" si="1"/>
        <v>-109</v>
      </c>
      <c r="G94" s="61"/>
      <c r="H94" s="61" t="str">
        <f>IFERROR(__xludf.DUMMYFUNCTION("""COMPUTED_VALUE"""),"North America")</f>
        <v>North America</v>
      </c>
      <c r="I94" s="61" t="str">
        <f>IFERROR(__xludf.DUMMYFUNCTION("""COMPUTED_VALUE"""),"Atmos")</f>
        <v>Atmos</v>
      </c>
      <c r="J94" s="61">
        <f>IFERROR(__xludf.DUMMYFUNCTION("""COMPUTED_VALUE"""),2210.0)</f>
        <v>2210</v>
      </c>
      <c r="K94" s="61"/>
      <c r="L94" s="61">
        <f>IFERROR(__xludf.DUMMYFUNCTION("""COMPUTED_VALUE"""),2732.0)</f>
        <v>2732</v>
      </c>
      <c r="M94" s="61" t="str">
        <f>IFERROR(__xludf.DUMMYFUNCTION("""COMPUTED_VALUE"""),"Europe")</f>
        <v>Europe</v>
      </c>
      <c r="N94" s="61"/>
      <c r="O94" s="61"/>
      <c r="P94" s="61"/>
      <c r="Q94" s="61"/>
      <c r="R94" s="61"/>
      <c r="S94" s="61"/>
      <c r="T94" s="61"/>
      <c r="U94" s="61"/>
      <c r="V94" s="61"/>
      <c r="W94" s="61"/>
      <c r="X94" s="61"/>
      <c r="Y94" s="61"/>
      <c r="Z94" s="61"/>
      <c r="AA94" s="61"/>
    </row>
    <row r="95">
      <c r="A95" s="61" t="s">
        <v>397</v>
      </c>
      <c r="B95" s="61" t="s">
        <v>394</v>
      </c>
      <c r="C95" s="61" t="s">
        <v>412</v>
      </c>
      <c r="D95" s="71">
        <v>10930.0</v>
      </c>
      <c r="E95" s="71">
        <v>12897.0</v>
      </c>
      <c r="F95" s="72">
        <f t="shared" si="1"/>
        <v>-1967</v>
      </c>
      <c r="G95" s="61"/>
      <c r="H95" s="61" t="str">
        <f>IFERROR(__xludf.DUMMYFUNCTION("""COMPUTED_VALUE"""),"North America")</f>
        <v>North America</v>
      </c>
      <c r="I95" s="61" t="str">
        <f>IFERROR(__xludf.DUMMYFUNCTION("""COMPUTED_VALUE"""),"Commuta")</f>
        <v>Commuta</v>
      </c>
      <c r="J95" s="61">
        <f>IFERROR(__xludf.DUMMYFUNCTION("""COMPUTED_VALUE"""),1768.0)</f>
        <v>1768</v>
      </c>
      <c r="K95" s="61"/>
      <c r="L95" s="61">
        <f>IFERROR(__xludf.DUMMYFUNCTION("""COMPUTED_VALUE"""),3188.0)</f>
        <v>3188</v>
      </c>
      <c r="M95" s="61" t="str">
        <f>IFERROR(__xludf.DUMMYFUNCTION("""COMPUTED_VALUE"""),"Europe")</f>
        <v>Europe</v>
      </c>
      <c r="N95" s="61"/>
      <c r="O95" s="61"/>
      <c r="P95" s="61"/>
      <c r="Q95" s="61"/>
      <c r="R95" s="61"/>
      <c r="S95" s="61"/>
      <c r="T95" s="61"/>
      <c r="U95" s="61"/>
      <c r="V95" s="61"/>
      <c r="W95" s="61"/>
      <c r="X95" s="61"/>
      <c r="Y95" s="61"/>
      <c r="Z95" s="61"/>
      <c r="AA95" s="61"/>
    </row>
    <row r="96">
      <c r="A96" s="61" t="s">
        <v>413</v>
      </c>
      <c r="B96" s="61" t="s">
        <v>394</v>
      </c>
      <c r="C96" s="61" t="s">
        <v>414</v>
      </c>
      <c r="D96" s="71">
        <v>2622.0</v>
      </c>
      <c r="E96" s="71">
        <v>2491.0</v>
      </c>
      <c r="F96" s="72">
        <f t="shared" si="1"/>
        <v>131</v>
      </c>
      <c r="G96" s="61"/>
      <c r="H96" s="61" t="str">
        <f>IFERROR(__xludf.DUMMYFUNCTION("""COMPUTED_VALUE"""),"North America")</f>
        <v>North America</v>
      </c>
      <c r="I96" s="61" t="str">
        <f>IFERROR(__xludf.DUMMYFUNCTION("""COMPUTED_VALUE"""),"Infic")</f>
        <v>Infic</v>
      </c>
      <c r="J96" s="61">
        <f>IFERROR(__xludf.DUMMYFUNCTION("""COMPUTED_VALUE"""),1326.0)</f>
        <v>1326</v>
      </c>
      <c r="K96" s="61"/>
      <c r="L96" s="61">
        <f>IFERROR(__xludf.DUMMYFUNCTION("""COMPUTED_VALUE"""),5465.0)</f>
        <v>5465</v>
      </c>
      <c r="M96" s="61" t="str">
        <f>IFERROR(__xludf.DUMMYFUNCTION("""COMPUTED_VALUE"""),"Europe")</f>
        <v>Europe</v>
      </c>
      <c r="N96" s="61"/>
      <c r="O96" s="61"/>
      <c r="P96" s="61"/>
      <c r="Q96" s="61"/>
      <c r="R96" s="61"/>
      <c r="S96" s="61"/>
      <c r="T96" s="61"/>
      <c r="U96" s="61"/>
      <c r="V96" s="61"/>
      <c r="W96" s="61"/>
      <c r="X96" s="61"/>
      <c r="Y96" s="61"/>
      <c r="Z96" s="61"/>
      <c r="AA96" s="61"/>
    </row>
    <row r="97">
      <c r="A97" s="61" t="s">
        <v>413</v>
      </c>
      <c r="B97" s="61" t="s">
        <v>394</v>
      </c>
      <c r="C97" s="61" t="s">
        <v>415</v>
      </c>
      <c r="D97" s="71">
        <v>2185.0</v>
      </c>
      <c r="E97" s="71">
        <v>1814.0</v>
      </c>
      <c r="F97" s="72">
        <f t="shared" si="1"/>
        <v>371</v>
      </c>
      <c r="G97" s="61"/>
      <c r="H97" s="61" t="str">
        <f>IFERROR(__xludf.DUMMYFUNCTION("""COMPUTED_VALUE"""),"North America")</f>
        <v>North America</v>
      </c>
      <c r="I97" s="61" t="str">
        <f>IFERROR(__xludf.DUMMYFUNCTION("""COMPUTED_VALUE"""),"Minor Liar")</f>
        <v>Minor Liar</v>
      </c>
      <c r="J97" s="61">
        <f>IFERROR(__xludf.DUMMYFUNCTION("""COMPUTED_VALUE"""),9723.0)</f>
        <v>9723</v>
      </c>
      <c r="K97" s="61"/>
      <c r="L97" s="61">
        <f>IFERROR(__xludf.DUMMYFUNCTION("""COMPUTED_VALUE"""),4554.0)</f>
        <v>4554</v>
      </c>
      <c r="M97" s="61" t="str">
        <f>IFERROR(__xludf.DUMMYFUNCTION("""COMPUTED_VALUE"""),"Europe")</f>
        <v>Europe</v>
      </c>
      <c r="N97" s="61"/>
      <c r="O97" s="61"/>
      <c r="P97" s="61"/>
      <c r="Q97" s="61"/>
      <c r="R97" s="61"/>
      <c r="S97" s="61"/>
      <c r="T97" s="61"/>
      <c r="U97" s="61"/>
      <c r="V97" s="61"/>
      <c r="W97" s="61"/>
      <c r="X97" s="61"/>
      <c r="Y97" s="61"/>
      <c r="Z97" s="61"/>
      <c r="AA97" s="61"/>
    </row>
    <row r="98">
      <c r="A98" s="61" t="s">
        <v>413</v>
      </c>
      <c r="B98" s="61" t="s">
        <v>394</v>
      </c>
      <c r="C98" s="61" t="s">
        <v>416</v>
      </c>
      <c r="D98" s="71">
        <v>1748.0</v>
      </c>
      <c r="E98" s="71">
        <v>1835.0</v>
      </c>
      <c r="F98" s="72">
        <f t="shared" si="1"/>
        <v>-87</v>
      </c>
      <c r="G98" s="61"/>
      <c r="H98" s="61" t="str">
        <f>IFERROR(__xludf.DUMMYFUNCTION("""COMPUTED_VALUE"""),"North America")</f>
        <v>North America</v>
      </c>
      <c r="I98" s="61" t="str">
        <f>IFERROR(__xludf.DUMMYFUNCTION("""COMPUTED_VALUE"""),"Mosquit")</f>
        <v>Mosquit</v>
      </c>
      <c r="J98" s="61">
        <f>IFERROR(__xludf.DUMMYFUNCTION("""COMPUTED_VALUE"""),884.0)</f>
        <v>884</v>
      </c>
      <c r="K98" s="61"/>
      <c r="L98" s="61">
        <f>IFERROR(__xludf.DUMMYFUNCTION("""COMPUTED_VALUE"""),455.0)</f>
        <v>455</v>
      </c>
      <c r="M98" s="61" t="str">
        <f>IFERROR(__xludf.DUMMYFUNCTION("""COMPUTED_VALUE"""),"Europe")</f>
        <v>Europe</v>
      </c>
      <c r="N98" s="61"/>
      <c r="O98" s="61"/>
      <c r="P98" s="61"/>
      <c r="Q98" s="61"/>
      <c r="R98" s="61"/>
      <c r="S98" s="61"/>
      <c r="T98" s="61"/>
      <c r="U98" s="61"/>
      <c r="V98" s="61"/>
      <c r="W98" s="61"/>
      <c r="X98" s="61"/>
      <c r="Y98" s="61"/>
      <c r="Z98" s="61"/>
      <c r="AA98" s="61"/>
    </row>
    <row r="99">
      <c r="A99" s="61" t="s">
        <v>413</v>
      </c>
      <c r="B99" s="61" t="s">
        <v>394</v>
      </c>
      <c r="C99" s="61" t="s">
        <v>417</v>
      </c>
      <c r="D99" s="71">
        <v>5243.0</v>
      </c>
      <c r="E99" s="71">
        <v>5610.0</v>
      </c>
      <c r="F99" s="72">
        <f t="shared" si="1"/>
        <v>-367</v>
      </c>
      <c r="G99" s="61"/>
      <c r="H99" s="61" t="str">
        <f>IFERROR(__xludf.DUMMYFUNCTION("""COMPUTED_VALUE"""),"North America")</f>
        <v>North America</v>
      </c>
      <c r="I99" s="61" t="str">
        <f>IFERROR(__xludf.DUMMYFUNCTION("""COMPUTED_VALUE"""),"Motocyco")</f>
        <v>Motocyco</v>
      </c>
      <c r="J99" s="61">
        <f>IFERROR(__xludf.DUMMYFUNCTION("""COMPUTED_VALUE"""),11049.0)</f>
        <v>11049</v>
      </c>
      <c r="K99" s="61"/>
      <c r="L99" s="61">
        <f>IFERROR(__xludf.DUMMYFUNCTION("""COMPUTED_VALUE"""),911.0)</f>
        <v>911</v>
      </c>
      <c r="M99" s="61" t="str">
        <f>IFERROR(__xludf.DUMMYFUNCTION("""COMPUTED_VALUE"""),"Europe")</f>
        <v>Europe</v>
      </c>
      <c r="N99" s="61"/>
      <c r="O99" s="61"/>
      <c r="P99" s="61"/>
      <c r="Q99" s="61"/>
      <c r="R99" s="61"/>
      <c r="S99" s="61"/>
      <c r="T99" s="61"/>
      <c r="U99" s="61"/>
      <c r="V99" s="61"/>
      <c r="W99" s="61"/>
      <c r="X99" s="61"/>
      <c r="Y99" s="61"/>
      <c r="Z99" s="61"/>
      <c r="AA99" s="61"/>
    </row>
    <row r="100">
      <c r="A100" s="61" t="s">
        <v>413</v>
      </c>
      <c r="B100" s="61" t="s">
        <v>394</v>
      </c>
      <c r="C100" s="61" t="s">
        <v>418</v>
      </c>
      <c r="D100" s="71">
        <v>1311.0</v>
      </c>
      <c r="E100" s="71">
        <v>1337.0</v>
      </c>
      <c r="F100" s="72">
        <f t="shared" si="1"/>
        <v>-26</v>
      </c>
      <c r="G100" s="61"/>
      <c r="H100" s="61" t="str">
        <f>IFERROR(__xludf.DUMMYFUNCTION("""COMPUTED_VALUE"""),"North America")</f>
        <v>North America</v>
      </c>
      <c r="I100" s="61" t="str">
        <f>IFERROR(__xludf.DUMMYFUNCTION("""COMPUTED_VALUE"""),"Scrap")</f>
        <v>Scrap</v>
      </c>
      <c r="J100" s="61">
        <f>IFERROR(__xludf.DUMMYFUNCTION("""COMPUTED_VALUE"""),884.0)</f>
        <v>884</v>
      </c>
      <c r="K100" s="61"/>
      <c r="L100" s="61">
        <f>IFERROR(__xludf.DUMMYFUNCTION("""COMPUTED_VALUE"""),10930.0)</f>
        <v>10930</v>
      </c>
      <c r="M100" s="61" t="str">
        <f>IFERROR(__xludf.DUMMYFUNCTION("""COMPUTED_VALUE"""),"Europe")</f>
        <v>Europe</v>
      </c>
      <c r="N100" s="61"/>
      <c r="O100" s="61"/>
      <c r="P100" s="61"/>
      <c r="Q100" s="61"/>
      <c r="R100" s="61"/>
      <c r="S100" s="61"/>
      <c r="T100" s="61"/>
      <c r="U100" s="61"/>
      <c r="V100" s="61"/>
      <c r="W100" s="61"/>
      <c r="X100" s="61"/>
      <c r="Y100" s="61"/>
      <c r="Z100" s="61"/>
      <c r="AA100" s="61"/>
    </row>
    <row r="101">
      <c r="A101" s="61" t="s">
        <v>413</v>
      </c>
      <c r="B101" s="61" t="s">
        <v>394</v>
      </c>
      <c r="C101" s="61" t="s">
        <v>419</v>
      </c>
      <c r="D101" s="71">
        <v>13109.0</v>
      </c>
      <c r="E101" s="71">
        <v>15206.0</v>
      </c>
      <c r="F101" s="72">
        <f t="shared" si="1"/>
        <v>-2097</v>
      </c>
      <c r="G101" s="61"/>
      <c r="H101" s="61" t="str">
        <f>IFERROR(__xludf.DUMMYFUNCTION("""COMPUTED_VALUE"""),"North America")</f>
        <v>North America</v>
      </c>
      <c r="I101" s="61" t="str">
        <f>IFERROR(__xludf.DUMMYFUNCTION("""COMPUTED_VALUE"""),"Strex")</f>
        <v>Strex</v>
      </c>
      <c r="J101" s="61">
        <f>IFERROR(__xludf.DUMMYFUNCTION("""COMPUTED_VALUE"""),13259.0)</f>
        <v>13259</v>
      </c>
      <c r="K101" s="61"/>
      <c r="L101" s="61">
        <f>IFERROR(__xludf.DUMMYFUNCTION("""COMPUTED_VALUE"""),2622.0)</f>
        <v>2622</v>
      </c>
      <c r="M101" s="61" t="str">
        <f>IFERROR(__xludf.DUMMYFUNCTION("""COMPUTED_VALUE"""),"Europe")</f>
        <v>Europe</v>
      </c>
      <c r="N101" s="61"/>
      <c r="O101" s="61"/>
      <c r="P101" s="61"/>
      <c r="Q101" s="61"/>
      <c r="R101" s="61"/>
      <c r="S101" s="61"/>
      <c r="T101" s="61"/>
      <c r="U101" s="61"/>
      <c r="V101" s="61"/>
      <c r="W101" s="61"/>
      <c r="X101" s="61"/>
      <c r="Y101" s="61"/>
      <c r="Z101" s="61"/>
      <c r="AA101" s="61"/>
    </row>
    <row r="102">
      <c r="A102" s="61" t="s">
        <v>413</v>
      </c>
      <c r="B102" s="61" t="s">
        <v>394</v>
      </c>
      <c r="C102" s="61" t="s">
        <v>420</v>
      </c>
      <c r="D102" s="71">
        <v>12235.0</v>
      </c>
      <c r="E102" s="71">
        <v>12357.0</v>
      </c>
      <c r="F102" s="72">
        <f t="shared" si="1"/>
        <v>-122</v>
      </c>
      <c r="G102" s="61"/>
      <c r="H102" s="61" t="str">
        <f>IFERROR(__xludf.DUMMYFUNCTION("""COMPUTED_VALUE"""),"North America")</f>
        <v>North America</v>
      </c>
      <c r="I102" s="61" t="str">
        <f>IFERROR(__xludf.DUMMYFUNCTION("""COMPUTED_VALUE"""),"Tanox")</f>
        <v>Tanox</v>
      </c>
      <c r="J102" s="61">
        <f>IFERROR(__xludf.DUMMYFUNCTION("""COMPUTED_VALUE"""),884.0)</f>
        <v>884</v>
      </c>
      <c r="K102" s="61"/>
      <c r="L102" s="61">
        <f>IFERROR(__xludf.DUMMYFUNCTION("""COMPUTED_VALUE"""),2185.0)</f>
        <v>2185</v>
      </c>
      <c r="M102" s="61" t="str">
        <f>IFERROR(__xludf.DUMMYFUNCTION("""COMPUTED_VALUE"""),"Europe")</f>
        <v>Europe</v>
      </c>
      <c r="N102" s="61"/>
      <c r="O102" s="61"/>
      <c r="P102" s="61"/>
      <c r="Q102" s="61"/>
      <c r="R102" s="61"/>
      <c r="S102" s="61"/>
      <c r="T102" s="61"/>
      <c r="U102" s="61"/>
      <c r="V102" s="61"/>
      <c r="W102" s="61"/>
      <c r="X102" s="61"/>
      <c r="Y102" s="61"/>
      <c r="Z102" s="61"/>
      <c r="AA102" s="61"/>
    </row>
    <row r="103">
      <c r="A103" s="61" t="s">
        <v>413</v>
      </c>
      <c r="B103" s="61" t="s">
        <v>394</v>
      </c>
      <c r="C103" s="61" t="s">
        <v>421</v>
      </c>
      <c r="D103" s="71">
        <v>874.0</v>
      </c>
      <c r="E103" s="71">
        <v>1040.0</v>
      </c>
      <c r="F103" s="72">
        <f t="shared" si="1"/>
        <v>-166</v>
      </c>
      <c r="G103" s="61"/>
      <c r="H103" s="61" t="str">
        <f>IFERROR(__xludf.DUMMYFUNCTION("""COMPUTED_VALUE"""),"North America")</f>
        <v>North America</v>
      </c>
      <c r="I103" s="61" t="str">
        <f>IFERROR(__xludf.DUMMYFUNCTION("""COMPUTED_VALUE"""),"Twenty20")</f>
        <v>Twenty20</v>
      </c>
      <c r="J103" s="61">
        <f>IFERROR(__xludf.DUMMYFUNCTION("""COMPUTED_VALUE"""),2210.0)</f>
        <v>2210</v>
      </c>
      <c r="K103" s="61"/>
      <c r="L103" s="61">
        <f>IFERROR(__xludf.DUMMYFUNCTION("""COMPUTED_VALUE"""),1748.0)</f>
        <v>1748</v>
      </c>
      <c r="M103" s="61" t="str">
        <f>IFERROR(__xludf.DUMMYFUNCTION("""COMPUTED_VALUE"""),"Europe")</f>
        <v>Europe</v>
      </c>
      <c r="N103" s="61"/>
      <c r="O103" s="61"/>
      <c r="P103" s="61"/>
      <c r="Q103" s="61"/>
      <c r="R103" s="61"/>
      <c r="S103" s="61"/>
      <c r="T103" s="61"/>
      <c r="U103" s="61"/>
      <c r="V103" s="61"/>
      <c r="W103" s="61"/>
      <c r="X103" s="61"/>
      <c r="Y103" s="61"/>
      <c r="Z103" s="61"/>
      <c r="AA103" s="61"/>
    </row>
    <row r="104">
      <c r="A104" s="61" t="s">
        <v>413</v>
      </c>
      <c r="B104" s="61" t="s">
        <v>394</v>
      </c>
      <c r="C104" s="61" t="s">
        <v>422</v>
      </c>
      <c r="D104" s="71">
        <v>437.0</v>
      </c>
      <c r="E104" s="71">
        <v>454.0</v>
      </c>
      <c r="F104" s="72">
        <f t="shared" si="1"/>
        <v>-17</v>
      </c>
      <c r="G104" s="61"/>
      <c r="H104" s="61"/>
      <c r="I104" s="61"/>
      <c r="J104" s="61"/>
      <c r="K104" s="61"/>
      <c r="L104" s="61">
        <f>IFERROR(__xludf.DUMMYFUNCTION("""COMPUTED_VALUE"""),5243.0)</f>
        <v>5243</v>
      </c>
      <c r="M104" s="61" t="str">
        <f>IFERROR(__xludf.DUMMYFUNCTION("""COMPUTED_VALUE"""),"Europe")</f>
        <v>Europe</v>
      </c>
      <c r="N104" s="61"/>
      <c r="O104" s="61"/>
      <c r="P104" s="61"/>
      <c r="Q104" s="61"/>
      <c r="R104" s="61"/>
      <c r="S104" s="61"/>
      <c r="T104" s="61"/>
      <c r="U104" s="61"/>
      <c r="V104" s="61"/>
      <c r="W104" s="61"/>
      <c r="X104" s="61"/>
      <c r="Y104" s="61"/>
      <c r="Z104" s="61"/>
      <c r="AA104" s="61"/>
    </row>
    <row r="105">
      <c r="A105" s="61" t="s">
        <v>413</v>
      </c>
      <c r="B105" s="61" t="s">
        <v>394</v>
      </c>
      <c r="C105" s="61" t="s">
        <v>423</v>
      </c>
      <c r="D105" s="71">
        <v>437.0</v>
      </c>
      <c r="E105" s="71">
        <v>376.0</v>
      </c>
      <c r="F105" s="72">
        <f t="shared" si="1"/>
        <v>61</v>
      </c>
      <c r="G105" s="61"/>
      <c r="H105" s="61"/>
      <c r="I105" s="61"/>
      <c r="J105" s="61"/>
      <c r="K105" s="61"/>
      <c r="L105" s="61">
        <f>IFERROR(__xludf.DUMMYFUNCTION("""COMPUTED_VALUE"""),1311.0)</f>
        <v>1311</v>
      </c>
      <c r="M105" s="61" t="str">
        <f>IFERROR(__xludf.DUMMYFUNCTION("""COMPUTED_VALUE"""),"Europe")</f>
        <v>Europe</v>
      </c>
      <c r="N105" s="61"/>
      <c r="O105" s="61"/>
      <c r="P105" s="61"/>
      <c r="Q105" s="61"/>
      <c r="R105" s="61"/>
      <c r="S105" s="61"/>
      <c r="T105" s="61"/>
      <c r="U105" s="61"/>
      <c r="V105" s="61"/>
      <c r="W105" s="61"/>
      <c r="X105" s="61"/>
      <c r="Y105" s="61"/>
      <c r="Z105" s="61"/>
      <c r="AA105" s="61"/>
    </row>
    <row r="106">
      <c r="A106" s="61" t="s">
        <v>413</v>
      </c>
      <c r="B106" s="61" t="s">
        <v>394</v>
      </c>
      <c r="C106" s="61" t="s">
        <v>424</v>
      </c>
      <c r="D106" s="71">
        <v>0.0</v>
      </c>
      <c r="E106" s="71">
        <v>0.0</v>
      </c>
      <c r="F106" s="72">
        <f t="shared" si="1"/>
        <v>0</v>
      </c>
      <c r="G106" s="61"/>
      <c r="H106" s="61"/>
      <c r="I106" s="61"/>
      <c r="J106" s="61"/>
      <c r="K106" s="61"/>
      <c r="L106" s="61">
        <f>IFERROR(__xludf.DUMMYFUNCTION("""COMPUTED_VALUE"""),13109.0)</f>
        <v>13109</v>
      </c>
      <c r="M106" s="61" t="str">
        <f>IFERROR(__xludf.DUMMYFUNCTION("""COMPUTED_VALUE"""),"Europe")</f>
        <v>Europe</v>
      </c>
      <c r="N106" s="61"/>
      <c r="O106" s="61"/>
      <c r="P106" s="61"/>
      <c r="Q106" s="61"/>
      <c r="R106" s="61"/>
      <c r="S106" s="61"/>
      <c r="T106" s="61"/>
      <c r="U106" s="61"/>
      <c r="V106" s="61"/>
      <c r="W106" s="61"/>
      <c r="X106" s="61"/>
      <c r="Y106" s="61"/>
      <c r="Z106" s="61"/>
      <c r="AA106" s="61"/>
    </row>
    <row r="107">
      <c r="A107" s="61" t="s">
        <v>413</v>
      </c>
      <c r="B107" s="61" t="s">
        <v>394</v>
      </c>
      <c r="C107" s="61" t="s">
        <v>425</v>
      </c>
      <c r="D107" s="71">
        <v>1311.0</v>
      </c>
      <c r="E107" s="71">
        <v>1442.0</v>
      </c>
      <c r="F107" s="72">
        <f t="shared" si="1"/>
        <v>-131</v>
      </c>
      <c r="G107" s="61"/>
      <c r="H107" s="61"/>
      <c r="I107" s="61"/>
      <c r="J107" s="61"/>
      <c r="K107" s="61"/>
      <c r="L107" s="61">
        <f>IFERROR(__xludf.DUMMYFUNCTION("""COMPUTED_VALUE"""),12235.0)</f>
        <v>12235</v>
      </c>
      <c r="M107" s="61" t="str">
        <f>IFERROR(__xludf.DUMMYFUNCTION("""COMPUTED_VALUE"""),"Europe")</f>
        <v>Europe</v>
      </c>
      <c r="N107" s="61"/>
      <c r="O107" s="61"/>
      <c r="P107" s="61"/>
      <c r="Q107" s="61"/>
      <c r="R107" s="61"/>
      <c r="S107" s="61"/>
      <c r="T107" s="61"/>
      <c r="U107" s="61"/>
      <c r="V107" s="61"/>
      <c r="W107" s="61"/>
      <c r="X107" s="61"/>
      <c r="Y107" s="61"/>
      <c r="Z107" s="61"/>
      <c r="AA107" s="61"/>
    </row>
    <row r="108">
      <c r="A108" s="61" t="s">
        <v>413</v>
      </c>
      <c r="B108" s="61" t="s">
        <v>394</v>
      </c>
      <c r="C108" s="61" t="s">
        <v>426</v>
      </c>
      <c r="D108" s="71">
        <v>2185.0</v>
      </c>
      <c r="E108" s="71">
        <v>2294.0</v>
      </c>
      <c r="F108" s="72">
        <f t="shared" si="1"/>
        <v>-109</v>
      </c>
      <c r="G108" s="61"/>
      <c r="H108" s="61"/>
      <c r="I108" s="61"/>
      <c r="J108" s="61"/>
      <c r="K108" s="61"/>
      <c r="L108" s="61">
        <f>IFERROR(__xludf.DUMMYFUNCTION("""COMPUTED_VALUE"""),874.0)</f>
        <v>874</v>
      </c>
      <c r="M108" s="61" t="str">
        <f>IFERROR(__xludf.DUMMYFUNCTION("""COMPUTED_VALUE"""),"Europe")</f>
        <v>Europe</v>
      </c>
      <c r="N108" s="61"/>
      <c r="O108" s="61"/>
      <c r="P108" s="61"/>
      <c r="Q108" s="61"/>
      <c r="R108" s="61"/>
      <c r="S108" s="61"/>
      <c r="T108" s="61"/>
      <c r="U108" s="61"/>
      <c r="V108" s="61"/>
      <c r="W108" s="61"/>
      <c r="X108" s="61"/>
      <c r="Y108" s="61"/>
      <c r="Z108" s="61"/>
      <c r="AA108" s="61"/>
    </row>
    <row r="109">
      <c r="A109" s="61" t="s">
        <v>413</v>
      </c>
      <c r="B109" s="61" t="s">
        <v>395</v>
      </c>
      <c r="C109" s="61" t="s">
        <v>414</v>
      </c>
      <c r="D109" s="71">
        <v>0.0</v>
      </c>
      <c r="E109" s="71">
        <v>0.0</v>
      </c>
      <c r="F109" s="72">
        <f t="shared" si="1"/>
        <v>0</v>
      </c>
      <c r="G109" s="61"/>
      <c r="H109" s="61"/>
      <c r="I109" s="61"/>
      <c r="J109" s="61"/>
      <c r="K109" s="61"/>
      <c r="L109" s="61">
        <f>IFERROR(__xludf.DUMMYFUNCTION("""COMPUTED_VALUE"""),437.0)</f>
        <v>437</v>
      </c>
      <c r="M109" s="61" t="str">
        <f>IFERROR(__xludf.DUMMYFUNCTION("""COMPUTED_VALUE"""),"Europe")</f>
        <v>Europe</v>
      </c>
      <c r="N109" s="61"/>
      <c r="O109" s="61"/>
      <c r="P109" s="61"/>
      <c r="Q109" s="61"/>
      <c r="R109" s="61"/>
      <c r="S109" s="61"/>
      <c r="T109" s="61"/>
      <c r="U109" s="61"/>
      <c r="V109" s="61"/>
      <c r="W109" s="61"/>
      <c r="X109" s="61"/>
      <c r="Y109" s="61"/>
      <c r="Z109" s="61"/>
      <c r="AA109" s="61"/>
    </row>
    <row r="110">
      <c r="A110" s="61" t="s">
        <v>413</v>
      </c>
      <c r="B110" s="61" t="s">
        <v>395</v>
      </c>
      <c r="C110" s="61" t="s">
        <v>415</v>
      </c>
      <c r="D110" s="71">
        <v>0.0</v>
      </c>
      <c r="E110" s="71">
        <v>0.0</v>
      </c>
      <c r="F110" s="72">
        <f t="shared" si="1"/>
        <v>0</v>
      </c>
      <c r="G110" s="61"/>
      <c r="H110" s="61"/>
      <c r="I110" s="61"/>
      <c r="J110" s="61"/>
      <c r="K110" s="61"/>
      <c r="L110" s="61">
        <f>IFERROR(__xludf.DUMMYFUNCTION("""COMPUTED_VALUE"""),437.0)</f>
        <v>437</v>
      </c>
      <c r="M110" s="61" t="str">
        <f>IFERROR(__xludf.DUMMYFUNCTION("""COMPUTED_VALUE"""),"Europe")</f>
        <v>Europe</v>
      </c>
      <c r="N110" s="61"/>
      <c r="O110" s="61"/>
      <c r="P110" s="61"/>
      <c r="Q110" s="61"/>
      <c r="R110" s="61"/>
      <c r="S110" s="61"/>
      <c r="T110" s="61"/>
      <c r="U110" s="61"/>
      <c r="V110" s="61"/>
      <c r="W110" s="61"/>
      <c r="X110" s="61"/>
      <c r="Y110" s="61"/>
      <c r="Z110" s="61"/>
      <c r="AA110" s="61"/>
    </row>
    <row r="111">
      <c r="A111" s="61" t="s">
        <v>413</v>
      </c>
      <c r="B111" s="61" t="s">
        <v>395</v>
      </c>
      <c r="C111" s="61" t="s">
        <v>416</v>
      </c>
      <c r="D111" s="71">
        <v>2210.0</v>
      </c>
      <c r="E111" s="71">
        <v>2298.0</v>
      </c>
      <c r="F111" s="72">
        <f t="shared" si="1"/>
        <v>-88</v>
      </c>
      <c r="G111" s="61"/>
      <c r="H111" s="61"/>
      <c r="I111" s="61"/>
      <c r="J111" s="61"/>
      <c r="K111" s="61"/>
      <c r="L111" s="61">
        <f>IFERROR(__xludf.DUMMYFUNCTION("""COMPUTED_VALUE"""),0.0)</f>
        <v>0</v>
      </c>
      <c r="M111" s="61" t="str">
        <f>IFERROR(__xludf.DUMMYFUNCTION("""COMPUTED_VALUE"""),"Europe")</f>
        <v>Europe</v>
      </c>
      <c r="N111" s="61"/>
      <c r="O111" s="61"/>
      <c r="P111" s="61"/>
      <c r="Q111" s="61"/>
      <c r="R111" s="61"/>
      <c r="S111" s="61"/>
      <c r="T111" s="61"/>
      <c r="U111" s="61"/>
      <c r="V111" s="61"/>
      <c r="W111" s="61"/>
      <c r="X111" s="61"/>
      <c r="Y111" s="61"/>
      <c r="Z111" s="61"/>
      <c r="AA111" s="61"/>
    </row>
    <row r="112">
      <c r="A112" s="61" t="s">
        <v>413</v>
      </c>
      <c r="B112" s="61" t="s">
        <v>395</v>
      </c>
      <c r="C112" s="61" t="s">
        <v>417</v>
      </c>
      <c r="D112" s="71">
        <v>1768.0</v>
      </c>
      <c r="E112" s="71">
        <v>1662.0</v>
      </c>
      <c r="F112" s="72">
        <f t="shared" si="1"/>
        <v>106</v>
      </c>
      <c r="G112" s="61"/>
      <c r="H112" s="61"/>
      <c r="I112" s="61"/>
      <c r="J112" s="61"/>
      <c r="K112" s="61"/>
      <c r="L112" s="61">
        <f>IFERROR(__xludf.DUMMYFUNCTION("""COMPUTED_VALUE"""),1311.0)</f>
        <v>1311</v>
      </c>
      <c r="M112" s="61" t="str">
        <f>IFERROR(__xludf.DUMMYFUNCTION("""COMPUTED_VALUE"""),"Europe")</f>
        <v>Europe</v>
      </c>
      <c r="N112" s="61"/>
      <c r="O112" s="61"/>
      <c r="P112" s="61"/>
      <c r="Q112" s="61"/>
      <c r="R112" s="61"/>
      <c r="S112" s="61"/>
      <c r="T112" s="61"/>
      <c r="U112" s="61"/>
      <c r="V112" s="61"/>
      <c r="W112" s="61"/>
      <c r="X112" s="61"/>
      <c r="Y112" s="61"/>
      <c r="Z112" s="61"/>
      <c r="AA112" s="61"/>
    </row>
    <row r="113">
      <c r="A113" s="61" t="s">
        <v>413</v>
      </c>
      <c r="B113" s="61" t="s">
        <v>395</v>
      </c>
      <c r="C113" s="61" t="s">
        <v>418</v>
      </c>
      <c r="D113" s="71">
        <v>1326.0</v>
      </c>
      <c r="E113" s="71">
        <v>1551.0</v>
      </c>
      <c r="F113" s="72">
        <f t="shared" si="1"/>
        <v>-225</v>
      </c>
      <c r="G113" s="61"/>
      <c r="H113" s="61"/>
      <c r="I113" s="61"/>
      <c r="J113" s="61"/>
      <c r="K113" s="61"/>
      <c r="L113" s="61">
        <f>IFERROR(__xludf.DUMMYFUNCTION("""COMPUTED_VALUE"""),2185.0)</f>
        <v>2185</v>
      </c>
      <c r="M113" s="61" t="str">
        <f>IFERROR(__xludf.DUMMYFUNCTION("""COMPUTED_VALUE"""),"Europe")</f>
        <v>Europe</v>
      </c>
      <c r="N113" s="61"/>
      <c r="O113" s="61"/>
      <c r="P113" s="61"/>
      <c r="Q113" s="61"/>
      <c r="R113" s="61"/>
      <c r="S113" s="61"/>
      <c r="T113" s="61"/>
      <c r="U113" s="61"/>
      <c r="V113" s="61"/>
      <c r="W113" s="61"/>
      <c r="X113" s="61"/>
      <c r="Y113" s="61"/>
      <c r="Z113" s="61"/>
      <c r="AA113" s="61"/>
    </row>
    <row r="114">
      <c r="A114" s="61" t="s">
        <v>413</v>
      </c>
      <c r="B114" s="61" t="s">
        <v>395</v>
      </c>
      <c r="C114" s="61" t="s">
        <v>419</v>
      </c>
      <c r="D114" s="71">
        <v>9723.0</v>
      </c>
      <c r="E114" s="71">
        <v>9917.0</v>
      </c>
      <c r="F114" s="72">
        <f t="shared" si="1"/>
        <v>-194</v>
      </c>
      <c r="G114" s="61"/>
      <c r="H114" s="61"/>
      <c r="I114" s="61"/>
      <c r="J114" s="61"/>
      <c r="K114" s="61"/>
      <c r="L114" s="61">
        <f>IFERROR(__xludf.DUMMYFUNCTION("""COMPUTED_VALUE"""),0.0)</f>
        <v>0</v>
      </c>
      <c r="M114" s="61" t="str">
        <f>IFERROR(__xludf.DUMMYFUNCTION("""COMPUTED_VALUE"""),"North America")</f>
        <v>North America</v>
      </c>
      <c r="N114" s="61"/>
      <c r="O114" s="61"/>
      <c r="P114" s="61"/>
      <c r="Q114" s="61"/>
      <c r="R114" s="61"/>
      <c r="S114" s="61"/>
      <c r="T114" s="61"/>
      <c r="U114" s="61"/>
      <c r="V114" s="61"/>
      <c r="W114" s="61"/>
      <c r="X114" s="61"/>
      <c r="Y114" s="61"/>
      <c r="Z114" s="61"/>
      <c r="AA114" s="61"/>
    </row>
    <row r="115">
      <c r="A115" s="61" t="s">
        <v>413</v>
      </c>
      <c r="B115" s="61" t="s">
        <v>395</v>
      </c>
      <c r="C115" s="61" t="s">
        <v>420</v>
      </c>
      <c r="D115" s="71">
        <v>0.0</v>
      </c>
      <c r="E115" s="71">
        <v>0.0</v>
      </c>
      <c r="F115" s="72">
        <f t="shared" si="1"/>
        <v>0</v>
      </c>
      <c r="G115" s="61"/>
      <c r="H115" s="61"/>
      <c r="I115" s="61"/>
      <c r="J115" s="61"/>
      <c r="K115" s="61"/>
      <c r="L115" s="61">
        <f>IFERROR(__xludf.DUMMYFUNCTION("""COMPUTED_VALUE"""),0.0)</f>
        <v>0</v>
      </c>
      <c r="M115" s="61" t="str">
        <f>IFERROR(__xludf.DUMMYFUNCTION("""COMPUTED_VALUE"""),"North America")</f>
        <v>North America</v>
      </c>
      <c r="N115" s="61"/>
      <c r="O115" s="61"/>
      <c r="P115" s="61"/>
      <c r="Q115" s="61"/>
      <c r="R115" s="61"/>
      <c r="S115" s="61"/>
      <c r="T115" s="61"/>
      <c r="U115" s="61"/>
      <c r="V115" s="61"/>
      <c r="W115" s="61"/>
      <c r="X115" s="61"/>
      <c r="Y115" s="61"/>
      <c r="Z115" s="61"/>
      <c r="AA115" s="61"/>
    </row>
    <row r="116">
      <c r="A116" s="61" t="s">
        <v>413</v>
      </c>
      <c r="B116" s="61" t="s">
        <v>395</v>
      </c>
      <c r="C116" s="61" t="s">
        <v>421</v>
      </c>
      <c r="D116" s="71">
        <v>884.0</v>
      </c>
      <c r="E116" s="71">
        <v>725.0</v>
      </c>
      <c r="F116" s="72">
        <f t="shared" si="1"/>
        <v>159</v>
      </c>
      <c r="G116" s="61"/>
      <c r="H116" s="61"/>
      <c r="I116" s="61"/>
      <c r="J116" s="61"/>
      <c r="K116" s="61"/>
      <c r="L116" s="61">
        <f>IFERROR(__xludf.DUMMYFUNCTION("""COMPUTED_VALUE"""),2210.0)</f>
        <v>2210</v>
      </c>
      <c r="M116" s="61" t="str">
        <f>IFERROR(__xludf.DUMMYFUNCTION("""COMPUTED_VALUE"""),"North America")</f>
        <v>North America</v>
      </c>
      <c r="N116" s="61"/>
      <c r="O116" s="61"/>
      <c r="P116" s="61"/>
      <c r="Q116" s="61"/>
      <c r="R116" s="61"/>
      <c r="S116" s="61"/>
      <c r="T116" s="61"/>
      <c r="U116" s="61"/>
      <c r="V116" s="61"/>
      <c r="W116" s="61"/>
      <c r="X116" s="61"/>
      <c r="Y116" s="61"/>
      <c r="Z116" s="61"/>
      <c r="AA116" s="61"/>
    </row>
    <row r="117">
      <c r="A117" s="61" t="s">
        <v>413</v>
      </c>
      <c r="B117" s="61" t="s">
        <v>395</v>
      </c>
      <c r="C117" s="61" t="s">
        <v>422</v>
      </c>
      <c r="D117" s="71">
        <v>11049.0</v>
      </c>
      <c r="E117" s="71">
        <v>9834.0</v>
      </c>
      <c r="F117" s="72">
        <f t="shared" si="1"/>
        <v>1215</v>
      </c>
      <c r="G117" s="61"/>
      <c r="H117" s="61"/>
      <c r="I117" s="61"/>
      <c r="J117" s="61"/>
      <c r="K117" s="61"/>
      <c r="L117" s="61">
        <f>IFERROR(__xludf.DUMMYFUNCTION("""COMPUTED_VALUE"""),1768.0)</f>
        <v>1768</v>
      </c>
      <c r="M117" s="61" t="str">
        <f>IFERROR(__xludf.DUMMYFUNCTION("""COMPUTED_VALUE"""),"North America")</f>
        <v>North America</v>
      </c>
      <c r="N117" s="61"/>
      <c r="O117" s="61"/>
      <c r="P117" s="61"/>
      <c r="Q117" s="61"/>
      <c r="R117" s="61"/>
      <c r="S117" s="61"/>
      <c r="T117" s="61"/>
      <c r="U117" s="61"/>
      <c r="V117" s="61"/>
      <c r="W117" s="61"/>
      <c r="X117" s="61"/>
      <c r="Y117" s="61"/>
      <c r="Z117" s="61"/>
      <c r="AA117" s="61"/>
    </row>
    <row r="118">
      <c r="A118" s="61" t="s">
        <v>413</v>
      </c>
      <c r="B118" s="61" t="s">
        <v>395</v>
      </c>
      <c r="C118" s="61" t="s">
        <v>423</v>
      </c>
      <c r="D118" s="71">
        <v>884.0</v>
      </c>
      <c r="E118" s="71">
        <v>831.0</v>
      </c>
      <c r="F118" s="72">
        <f t="shared" si="1"/>
        <v>53</v>
      </c>
      <c r="G118" s="61"/>
      <c r="H118" s="61"/>
      <c r="I118" s="61"/>
      <c r="J118" s="61"/>
      <c r="K118" s="61"/>
      <c r="L118" s="61">
        <f>IFERROR(__xludf.DUMMYFUNCTION("""COMPUTED_VALUE"""),1326.0)</f>
        <v>1326</v>
      </c>
      <c r="M118" s="61" t="str">
        <f>IFERROR(__xludf.DUMMYFUNCTION("""COMPUTED_VALUE"""),"North America")</f>
        <v>North America</v>
      </c>
      <c r="N118" s="61"/>
      <c r="O118" s="61"/>
      <c r="P118" s="61"/>
      <c r="Q118" s="61"/>
      <c r="R118" s="61"/>
      <c r="S118" s="61"/>
      <c r="T118" s="61"/>
      <c r="U118" s="61"/>
      <c r="V118" s="61"/>
      <c r="W118" s="61"/>
      <c r="X118" s="61"/>
      <c r="Y118" s="61"/>
      <c r="Z118" s="61"/>
      <c r="AA118" s="61"/>
    </row>
    <row r="119">
      <c r="A119" s="61" t="s">
        <v>413</v>
      </c>
      <c r="B119" s="61" t="s">
        <v>395</v>
      </c>
      <c r="C119" s="61" t="s">
        <v>424</v>
      </c>
      <c r="D119" s="71">
        <v>13259.0</v>
      </c>
      <c r="E119" s="71">
        <v>12066.0</v>
      </c>
      <c r="F119" s="72">
        <f t="shared" si="1"/>
        <v>1193</v>
      </c>
      <c r="G119" s="61"/>
      <c r="H119" s="61"/>
      <c r="I119" s="61"/>
      <c r="J119" s="61"/>
      <c r="K119" s="61"/>
      <c r="L119" s="61">
        <f>IFERROR(__xludf.DUMMYFUNCTION("""COMPUTED_VALUE"""),9723.0)</f>
        <v>9723</v>
      </c>
      <c r="M119" s="61" t="str">
        <f>IFERROR(__xludf.DUMMYFUNCTION("""COMPUTED_VALUE"""),"North America")</f>
        <v>North America</v>
      </c>
      <c r="N119" s="61"/>
      <c r="O119" s="61"/>
      <c r="P119" s="61"/>
      <c r="Q119" s="61"/>
      <c r="R119" s="61"/>
      <c r="S119" s="61"/>
      <c r="T119" s="61"/>
      <c r="U119" s="61"/>
      <c r="V119" s="61"/>
      <c r="W119" s="61"/>
      <c r="X119" s="61"/>
      <c r="Y119" s="61"/>
      <c r="Z119" s="61"/>
      <c r="AA119" s="61"/>
    </row>
    <row r="120">
      <c r="A120" s="61" t="s">
        <v>413</v>
      </c>
      <c r="B120" s="61" t="s">
        <v>395</v>
      </c>
      <c r="C120" s="61" t="s">
        <v>425</v>
      </c>
      <c r="D120" s="71">
        <v>884.0</v>
      </c>
      <c r="E120" s="71">
        <v>743.0</v>
      </c>
      <c r="F120" s="72">
        <f t="shared" si="1"/>
        <v>141</v>
      </c>
      <c r="G120" s="61"/>
      <c r="H120" s="61"/>
      <c r="I120" s="61"/>
      <c r="J120" s="61"/>
      <c r="K120" s="61"/>
      <c r="L120" s="61">
        <f>IFERROR(__xludf.DUMMYFUNCTION("""COMPUTED_VALUE"""),0.0)</f>
        <v>0</v>
      </c>
      <c r="M120" s="61" t="str">
        <f>IFERROR(__xludf.DUMMYFUNCTION("""COMPUTED_VALUE"""),"North America")</f>
        <v>North America</v>
      </c>
      <c r="N120" s="61"/>
      <c r="O120" s="61"/>
      <c r="P120" s="61"/>
      <c r="Q120" s="61"/>
      <c r="R120" s="61"/>
      <c r="S120" s="61"/>
      <c r="T120" s="61"/>
      <c r="U120" s="61"/>
      <c r="V120" s="61"/>
      <c r="W120" s="61"/>
      <c r="X120" s="61"/>
      <c r="Y120" s="61"/>
      <c r="Z120" s="61"/>
      <c r="AA120" s="61"/>
    </row>
    <row r="121">
      <c r="A121" s="61" t="s">
        <v>413</v>
      </c>
      <c r="B121" s="61" t="s">
        <v>395</v>
      </c>
      <c r="C121" s="61" t="s">
        <v>426</v>
      </c>
      <c r="D121" s="71">
        <v>2210.0</v>
      </c>
      <c r="E121" s="71">
        <v>2387.0</v>
      </c>
      <c r="F121" s="72">
        <f t="shared" si="1"/>
        <v>-177</v>
      </c>
      <c r="G121" s="61"/>
      <c r="H121" s="61"/>
      <c r="I121" s="61"/>
      <c r="J121" s="61"/>
      <c r="K121" s="61"/>
      <c r="L121" s="61">
        <f>IFERROR(__xludf.DUMMYFUNCTION("""COMPUTED_VALUE"""),884.0)</f>
        <v>884</v>
      </c>
      <c r="M121" s="61" t="str">
        <f>IFERROR(__xludf.DUMMYFUNCTION("""COMPUTED_VALUE"""),"North America")</f>
        <v>North America</v>
      </c>
      <c r="N121" s="61"/>
      <c r="O121" s="61"/>
      <c r="P121" s="61"/>
      <c r="Q121" s="61"/>
      <c r="R121" s="61"/>
      <c r="S121" s="61"/>
      <c r="T121" s="61"/>
      <c r="U121" s="61"/>
      <c r="V121" s="61"/>
      <c r="W121" s="61"/>
      <c r="X121" s="61"/>
      <c r="Y121" s="61"/>
      <c r="Z121" s="61"/>
      <c r="AA121" s="61"/>
    </row>
    <row r="122">
      <c r="A122" s="61"/>
      <c r="B122" s="61"/>
      <c r="C122" s="61"/>
      <c r="D122" s="61"/>
      <c r="E122" s="61"/>
      <c r="F122" s="61"/>
      <c r="G122" s="61"/>
      <c r="H122" s="61"/>
      <c r="I122" s="61"/>
      <c r="J122" s="61"/>
      <c r="K122" s="61"/>
      <c r="L122" s="61">
        <f>IFERROR(__xludf.DUMMYFUNCTION("""COMPUTED_VALUE"""),11049.0)</f>
        <v>11049</v>
      </c>
      <c r="M122" s="61" t="str">
        <f>IFERROR(__xludf.DUMMYFUNCTION("""COMPUTED_VALUE"""),"North America")</f>
        <v>North America</v>
      </c>
      <c r="N122" s="61"/>
      <c r="O122" s="61"/>
      <c r="P122" s="61"/>
      <c r="Q122" s="61"/>
      <c r="R122" s="61"/>
      <c r="S122" s="61"/>
      <c r="T122" s="61"/>
      <c r="U122" s="61"/>
      <c r="V122" s="61"/>
      <c r="W122" s="61"/>
      <c r="X122" s="61"/>
      <c r="Y122" s="61"/>
      <c r="Z122" s="61"/>
      <c r="AA122" s="61"/>
    </row>
    <row r="123">
      <c r="A123" s="61"/>
      <c r="B123" s="61"/>
      <c r="C123" s="61"/>
      <c r="D123" s="61"/>
      <c r="E123" s="61"/>
      <c r="F123" s="61"/>
      <c r="G123" s="61"/>
      <c r="H123" s="61"/>
      <c r="I123" s="61"/>
      <c r="J123" s="61"/>
      <c r="K123" s="61"/>
      <c r="L123" s="61">
        <f>IFERROR(__xludf.DUMMYFUNCTION("""COMPUTED_VALUE"""),884.0)</f>
        <v>884</v>
      </c>
      <c r="M123" s="61" t="str">
        <f>IFERROR(__xludf.DUMMYFUNCTION("""COMPUTED_VALUE"""),"North America")</f>
        <v>North America</v>
      </c>
      <c r="N123" s="61"/>
      <c r="O123" s="61"/>
      <c r="P123" s="61"/>
      <c r="Q123" s="61"/>
      <c r="R123" s="61"/>
      <c r="S123" s="61"/>
      <c r="T123" s="61"/>
      <c r="U123" s="61"/>
      <c r="V123" s="61"/>
      <c r="W123" s="61"/>
      <c r="X123" s="61"/>
      <c r="Y123" s="61"/>
      <c r="Z123" s="61"/>
      <c r="AA123" s="61"/>
    </row>
    <row r="124">
      <c r="A124" s="61"/>
      <c r="B124" s="61"/>
      <c r="C124" s="61"/>
      <c r="D124" s="61"/>
      <c r="E124" s="61"/>
      <c r="F124" s="61"/>
      <c r="G124" s="61"/>
      <c r="H124" s="61"/>
      <c r="I124" s="61"/>
      <c r="J124" s="61"/>
      <c r="K124" s="61"/>
      <c r="L124" s="61">
        <f>IFERROR(__xludf.DUMMYFUNCTION("""COMPUTED_VALUE"""),13259.0)</f>
        <v>13259</v>
      </c>
      <c r="M124" s="61" t="str">
        <f>IFERROR(__xludf.DUMMYFUNCTION("""COMPUTED_VALUE"""),"North America")</f>
        <v>North America</v>
      </c>
      <c r="N124" s="61"/>
      <c r="O124" s="61"/>
      <c r="P124" s="61"/>
      <c r="Q124" s="61"/>
      <c r="R124" s="61"/>
      <c r="S124" s="61"/>
      <c r="T124" s="61"/>
      <c r="U124" s="61"/>
      <c r="V124" s="61"/>
      <c r="W124" s="61"/>
      <c r="X124" s="61"/>
      <c r="Y124" s="61"/>
      <c r="Z124" s="61"/>
      <c r="AA124" s="61"/>
    </row>
    <row r="125">
      <c r="A125" s="61"/>
      <c r="B125" s="61"/>
      <c r="C125" s="61"/>
      <c r="D125" s="61"/>
      <c r="E125" s="61"/>
      <c r="F125" s="61"/>
      <c r="G125" s="61"/>
      <c r="H125" s="61"/>
      <c r="I125" s="61"/>
      <c r="J125" s="61"/>
      <c r="K125" s="61"/>
      <c r="L125" s="61">
        <f>IFERROR(__xludf.DUMMYFUNCTION("""COMPUTED_VALUE"""),884.0)</f>
        <v>884</v>
      </c>
      <c r="M125" s="61" t="str">
        <f>IFERROR(__xludf.DUMMYFUNCTION("""COMPUTED_VALUE"""),"North America")</f>
        <v>North America</v>
      </c>
      <c r="N125" s="61"/>
      <c r="O125" s="61"/>
      <c r="P125" s="61"/>
      <c r="Q125" s="61"/>
      <c r="R125" s="61"/>
      <c r="S125" s="61"/>
      <c r="T125" s="61"/>
      <c r="U125" s="61"/>
      <c r="V125" s="61"/>
      <c r="W125" s="61"/>
      <c r="X125" s="61"/>
      <c r="Y125" s="61"/>
      <c r="Z125" s="61"/>
      <c r="AA125" s="61"/>
    </row>
    <row r="126">
      <c r="A126" s="61"/>
      <c r="B126" s="61"/>
      <c r="C126" s="61"/>
      <c r="D126" s="61"/>
      <c r="E126" s="61"/>
      <c r="F126" s="61"/>
      <c r="G126" s="61"/>
      <c r="H126" s="61"/>
      <c r="I126" s="61"/>
      <c r="J126" s="61"/>
      <c r="K126" s="61"/>
      <c r="L126" s="61">
        <f>IFERROR(__xludf.DUMMYFUNCTION("""COMPUTED_VALUE"""),2210.0)</f>
        <v>2210</v>
      </c>
      <c r="M126" s="61" t="str">
        <f>IFERROR(__xludf.DUMMYFUNCTION("""COMPUTED_VALUE"""),"North America")</f>
        <v>North America</v>
      </c>
      <c r="N126" s="61"/>
      <c r="O126" s="61"/>
      <c r="P126" s="61"/>
      <c r="Q126" s="61"/>
      <c r="R126" s="61"/>
      <c r="S126" s="61"/>
      <c r="T126" s="61"/>
      <c r="U126" s="61"/>
      <c r="V126" s="61"/>
      <c r="W126" s="61"/>
      <c r="X126" s="61"/>
      <c r="Y126" s="61"/>
      <c r="Z126" s="61"/>
      <c r="AA126" s="61"/>
    </row>
    <row r="127">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row>
    <row r="128">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row>
    <row r="129">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row>
    <row r="130">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row>
    <row r="131">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row>
    <row r="132">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row>
    <row r="133">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row>
    <row r="134">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row>
    <row r="13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row>
    <row r="136">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row>
    <row r="137">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row>
    <row r="138">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row>
    <row r="139">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row>
    <row r="140">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row>
    <row r="141">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row>
    <row r="142">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row>
    <row r="143">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row>
    <row r="144">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row>
    <row r="14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row>
    <row r="146">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row>
    <row r="147">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row>
    <row r="148">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row>
    <row r="149">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row>
    <row r="150">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row>
    <row r="151">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row>
    <row r="152">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c r="AA152" s="61"/>
    </row>
    <row r="153">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c r="AA153" s="61"/>
    </row>
    <row r="154">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c r="AA154" s="61"/>
    </row>
    <row r="15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c r="AA155" s="61"/>
    </row>
    <row r="156">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c r="AA156" s="61"/>
    </row>
    <row r="157">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c r="AA157" s="61"/>
    </row>
    <row r="158">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c r="AA158" s="61"/>
    </row>
    <row r="159">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c r="AA159" s="61"/>
    </row>
    <row r="160">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c r="AA160" s="61"/>
    </row>
    <row r="161">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c r="AA161" s="61"/>
    </row>
    <row r="162">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row>
    <row r="163">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c r="AA163" s="61"/>
    </row>
    <row r="164">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c r="AA164" s="61"/>
    </row>
    <row r="16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c r="AA165" s="61"/>
    </row>
    <row r="166">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c r="AA166" s="61"/>
    </row>
    <row r="167">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row>
    <row r="168">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row>
    <row r="169">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row>
    <row r="170">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row>
    <row r="171">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row>
    <row r="172">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row>
    <row r="173">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row>
    <row r="174">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row>
    <row r="17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c r="AA175" s="61"/>
    </row>
    <row r="176">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row>
    <row r="177">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row>
    <row r="178">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row>
    <row r="179">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row>
    <row r="180">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row>
    <row r="181">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row>
    <row r="182">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row>
    <row r="183">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row>
    <row r="184">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row>
    <row r="18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row>
    <row r="186">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row>
    <row r="187">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row>
    <row r="188">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c r="AA188" s="61"/>
    </row>
    <row r="189">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row>
    <row r="190">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c r="AA190" s="61"/>
    </row>
    <row r="191">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row>
    <row r="192">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c r="AA192" s="61"/>
    </row>
    <row r="193">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c r="AA193" s="61"/>
    </row>
    <row r="194">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c r="AA194" s="61"/>
    </row>
    <row r="19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c r="AA195" s="61"/>
    </row>
    <row r="196">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c r="AA196" s="61"/>
    </row>
    <row r="197">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c r="AA197" s="61"/>
    </row>
    <row r="198">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row>
    <row r="199">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c r="AA199" s="61"/>
    </row>
    <row r="200">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c r="AA200" s="61"/>
    </row>
    <row r="201">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c r="AA201" s="61"/>
    </row>
    <row r="202">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c r="AA202" s="61"/>
    </row>
    <row r="203">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c r="AA203" s="61"/>
    </row>
    <row r="204">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c r="AA204" s="61"/>
    </row>
    <row r="20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c r="AA205" s="61"/>
    </row>
    <row r="206">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c r="AA206" s="61"/>
    </row>
    <row r="207">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c r="AA207" s="61"/>
    </row>
    <row r="208">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c r="AA208" s="61"/>
    </row>
    <row r="209">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c r="AA209" s="61"/>
    </row>
    <row r="210">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c r="AA210" s="61"/>
    </row>
    <row r="211">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c r="AA211" s="61"/>
    </row>
    <row r="212">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c r="AA212" s="61"/>
    </row>
    <row r="213">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c r="AA213" s="61"/>
    </row>
    <row r="214">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c r="AA214" s="61"/>
    </row>
    <row r="21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c r="AA215" s="61"/>
    </row>
    <row r="216">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c r="AA216" s="61"/>
    </row>
    <row r="217">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c r="AA217" s="61"/>
    </row>
    <row r="218">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c r="AA218" s="61"/>
    </row>
    <row r="219">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c r="AA219" s="61"/>
    </row>
    <row r="220">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c r="AA220" s="61"/>
    </row>
    <row r="221">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c r="AA221" s="61"/>
    </row>
    <row r="222">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row>
    <row r="223">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c r="AA223" s="61"/>
    </row>
    <row r="224">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c r="AA224" s="61"/>
    </row>
    <row r="2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c r="AA225" s="61"/>
    </row>
    <row r="226">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c r="AA226" s="61"/>
    </row>
    <row r="227">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row>
    <row r="228">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c r="AA228" s="61"/>
    </row>
    <row r="229">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c r="AA229" s="61"/>
    </row>
    <row r="230">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c r="AA230" s="61"/>
    </row>
    <row r="231">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c r="AA231" s="61"/>
    </row>
    <row r="232">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row>
    <row r="233">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c r="AA233" s="61"/>
    </row>
    <row r="234">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c r="AA234" s="61"/>
    </row>
    <row r="23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c r="AA235" s="61"/>
    </row>
    <row r="236">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c r="AA236" s="61"/>
    </row>
    <row r="237">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c r="AA237" s="61"/>
    </row>
    <row r="238">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c r="AA238" s="61"/>
    </row>
    <row r="239">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c r="AA239" s="61"/>
    </row>
    <row r="240">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c r="AA240" s="61"/>
    </row>
    <row r="241">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c r="AA241" s="61"/>
    </row>
    <row r="242">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c r="AA242" s="61"/>
    </row>
    <row r="243">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c r="AA243" s="61"/>
    </row>
    <row r="244">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c r="AA244" s="61"/>
    </row>
    <row r="24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c r="AA245" s="61"/>
    </row>
    <row r="246">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c r="AA246" s="61"/>
    </row>
    <row r="247">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c r="AA247" s="61"/>
    </row>
    <row r="248">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c r="AA248" s="61"/>
    </row>
    <row r="249">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c r="AA249" s="61"/>
    </row>
    <row r="250">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c r="AA250" s="61"/>
    </row>
    <row r="251">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c r="AA251" s="61"/>
    </row>
    <row r="252">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c r="AA252" s="61"/>
    </row>
    <row r="253">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c r="AA253" s="61"/>
    </row>
    <row r="254">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c r="AA254" s="61"/>
    </row>
    <row r="25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c r="AA255" s="61"/>
    </row>
    <row r="256">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c r="AA256" s="61"/>
    </row>
    <row r="257">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c r="AA257" s="61"/>
    </row>
    <row r="258">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c r="AA258" s="61"/>
    </row>
    <row r="259">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c r="AA259" s="61"/>
    </row>
    <row r="260">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c r="AA260" s="61"/>
    </row>
    <row r="261">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c r="AA261" s="61"/>
    </row>
    <row r="262">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c r="AA262" s="61"/>
    </row>
    <row r="263">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c r="AA263" s="61"/>
    </row>
    <row r="264">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c r="AA264" s="61"/>
    </row>
    <row r="26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c r="AA265" s="61"/>
    </row>
    <row r="266">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row>
    <row r="267">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c r="AA267" s="61"/>
    </row>
    <row r="268">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row>
    <row r="269">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row>
    <row r="270">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row>
    <row r="271">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row>
    <row r="272">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row>
    <row r="273">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row>
    <row r="274">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row>
    <row r="27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row>
    <row r="276">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row>
    <row r="277">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row>
    <row r="278">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row>
    <row r="279">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row>
    <row r="280">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c r="AA280" s="61"/>
    </row>
    <row r="281">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c r="AA281" s="61"/>
    </row>
    <row r="282">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c r="AA282" s="61"/>
    </row>
    <row r="283">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row>
    <row r="284">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c r="AA284" s="61"/>
    </row>
    <row r="28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c r="AA285" s="61"/>
    </row>
    <row r="286">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c r="AA286" s="61"/>
    </row>
    <row r="287">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c r="AA287" s="61"/>
    </row>
    <row r="288">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c r="AA288" s="61"/>
    </row>
    <row r="289">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c r="AA289" s="61"/>
    </row>
    <row r="290">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c r="AA290" s="61"/>
    </row>
    <row r="291">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c r="AA291" s="61"/>
    </row>
    <row r="292">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c r="AA292" s="61"/>
    </row>
    <row r="293">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c r="AA293" s="61"/>
    </row>
    <row r="294">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c r="AA294" s="61"/>
    </row>
    <row r="29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c r="AA295" s="61"/>
    </row>
    <row r="296">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c r="AA296" s="61"/>
    </row>
    <row r="297">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c r="AA297" s="61"/>
    </row>
    <row r="298">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c r="AA298" s="61"/>
    </row>
    <row r="299">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c r="AA299" s="61"/>
    </row>
    <row r="300">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c r="AA300" s="61"/>
    </row>
    <row r="301">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c r="AA301" s="61"/>
    </row>
    <row r="302">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c r="AA302" s="61"/>
    </row>
    <row r="303">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c r="AA303" s="61"/>
    </row>
    <row r="304">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c r="AA304" s="61"/>
    </row>
    <row r="30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c r="AA305" s="61"/>
    </row>
    <row r="306">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c r="AA306" s="61"/>
    </row>
    <row r="307">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c r="AA307" s="61"/>
    </row>
    <row r="308">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c r="AA308" s="61"/>
    </row>
    <row r="309">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c r="AA309" s="61"/>
    </row>
    <row r="310">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c r="AA310" s="61"/>
    </row>
    <row r="311">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c r="AA311" s="61"/>
    </row>
    <row r="312">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c r="AA312" s="61"/>
    </row>
    <row r="313">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c r="AA313" s="61"/>
    </row>
    <row r="314">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c r="AA314" s="61"/>
    </row>
    <row r="31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c r="AA315" s="61"/>
    </row>
    <row r="316">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c r="AA316" s="61"/>
    </row>
    <row r="317">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c r="AA317" s="61"/>
    </row>
    <row r="318">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c r="AA318" s="61"/>
    </row>
    <row r="319">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c r="AA319" s="61"/>
    </row>
    <row r="320">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c r="AA320" s="61"/>
    </row>
    <row r="321">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c r="AA321" s="61"/>
    </row>
    <row r="322">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c r="AA322" s="61"/>
    </row>
    <row r="323">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c r="AA323" s="61"/>
    </row>
    <row r="324">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c r="AA324" s="61"/>
    </row>
    <row r="3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c r="AA325" s="61"/>
    </row>
    <row r="326">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c r="AA326" s="61"/>
    </row>
    <row r="327">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c r="AA327" s="61"/>
    </row>
    <row r="328">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c r="AA328" s="61"/>
    </row>
    <row r="329">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c r="AA329" s="61"/>
    </row>
    <row r="330">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c r="AA330" s="61"/>
    </row>
    <row r="331">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c r="AA331" s="61"/>
    </row>
    <row r="332">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c r="AA332" s="61"/>
    </row>
    <row r="333">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c r="AA333" s="61"/>
    </row>
    <row r="334">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c r="AA334" s="61"/>
    </row>
    <row r="33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c r="AA335" s="61"/>
    </row>
    <row r="336">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c r="AA336" s="61"/>
    </row>
    <row r="337">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c r="AA337" s="61"/>
    </row>
    <row r="338">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c r="AA338" s="61"/>
    </row>
    <row r="339">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c r="AA339" s="61"/>
    </row>
    <row r="340">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c r="AA340" s="61"/>
    </row>
    <row r="341">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c r="AA341" s="61"/>
    </row>
    <row r="342">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c r="AA342" s="61"/>
    </row>
    <row r="343">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c r="AA343" s="61"/>
    </row>
    <row r="344">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c r="AA344" s="61"/>
    </row>
    <row r="34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c r="AA345" s="61"/>
    </row>
    <row r="346">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c r="AA346" s="61"/>
    </row>
    <row r="347">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c r="AA347" s="61"/>
    </row>
    <row r="348">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c r="AA348" s="61"/>
    </row>
    <row r="349">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c r="AA349" s="61"/>
    </row>
    <row r="350">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c r="AA350" s="61"/>
    </row>
    <row r="351">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c r="AA351" s="61"/>
    </row>
    <row r="352">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c r="AA352" s="61"/>
    </row>
    <row r="353">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c r="AA353" s="61"/>
    </row>
    <row r="354">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c r="AA354" s="61"/>
    </row>
    <row r="35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c r="AA355" s="61"/>
    </row>
    <row r="356">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c r="AA356" s="61"/>
    </row>
    <row r="357">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c r="AA357" s="61"/>
    </row>
    <row r="358">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c r="AA358" s="61"/>
    </row>
    <row r="359">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c r="AA359" s="61"/>
    </row>
    <row r="360">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c r="AA360" s="61"/>
    </row>
    <row r="361">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c r="AA361" s="61"/>
    </row>
    <row r="362">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c r="AA362" s="61"/>
    </row>
    <row r="363">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c r="AA363" s="61"/>
    </row>
    <row r="364">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c r="AA364" s="61"/>
    </row>
    <row r="36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c r="AA365" s="61"/>
    </row>
    <row r="366">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c r="AA366" s="61"/>
    </row>
    <row r="367">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c r="AA367" s="61"/>
    </row>
    <row r="368">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c r="AA368" s="61"/>
    </row>
    <row r="369">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c r="AA369" s="61"/>
    </row>
    <row r="370">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c r="AA370" s="61"/>
    </row>
    <row r="371">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c r="AA371" s="61"/>
    </row>
    <row r="372">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c r="AA372" s="61"/>
    </row>
    <row r="373">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c r="AA373" s="61"/>
    </row>
    <row r="374">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c r="AA374" s="61"/>
    </row>
    <row r="37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c r="AA375" s="61"/>
    </row>
    <row r="376">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c r="AA376" s="61"/>
    </row>
    <row r="377">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c r="AA377" s="61"/>
    </row>
    <row r="378">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c r="AA378" s="61"/>
    </row>
    <row r="379">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c r="AA379" s="61"/>
    </row>
    <row r="380">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c r="AA380" s="61"/>
    </row>
    <row r="381">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c r="AA381" s="61"/>
    </row>
    <row r="382">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c r="AA382" s="61"/>
    </row>
    <row r="383">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c r="AA383" s="61"/>
    </row>
    <row r="384">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c r="AA384" s="61"/>
    </row>
    <row r="38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c r="AA385" s="61"/>
    </row>
    <row r="386">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c r="AA386" s="61"/>
    </row>
    <row r="387">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c r="AA387" s="61"/>
    </row>
    <row r="388">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c r="AA388" s="61"/>
    </row>
    <row r="389">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c r="AA389" s="61"/>
    </row>
    <row r="390">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c r="AA390" s="61"/>
    </row>
    <row r="391">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c r="AA391" s="61"/>
    </row>
    <row r="392">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c r="AA392" s="61"/>
    </row>
    <row r="393">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c r="AA393" s="61"/>
    </row>
    <row r="394">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c r="AA394" s="61"/>
    </row>
    <row r="39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c r="AA395" s="61"/>
    </row>
    <row r="396">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c r="AA396" s="61"/>
    </row>
    <row r="397">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c r="AA397" s="61"/>
    </row>
    <row r="398">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c r="AA398" s="61"/>
    </row>
    <row r="399">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c r="AA399" s="61"/>
    </row>
    <row r="400">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c r="AA400" s="61"/>
    </row>
    <row r="401">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c r="AA401" s="61"/>
    </row>
    <row r="402">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c r="AA402" s="61"/>
    </row>
    <row r="403">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c r="AA403" s="61"/>
    </row>
    <row r="404">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c r="AA404" s="61"/>
    </row>
    <row r="40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c r="AA405" s="61"/>
    </row>
    <row r="406">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c r="AA406" s="61"/>
    </row>
    <row r="407">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c r="AA407" s="61"/>
    </row>
    <row r="408">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c r="AA408" s="61"/>
    </row>
    <row r="409">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c r="AA409" s="61"/>
    </row>
    <row r="410">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c r="AA410" s="61"/>
    </row>
    <row r="411">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c r="AA411" s="61"/>
    </row>
    <row r="412">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c r="AA412" s="61"/>
    </row>
    <row r="413">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c r="AA413" s="61"/>
    </row>
    <row r="414">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c r="AA414" s="61"/>
    </row>
    <row r="41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c r="AA415" s="61"/>
    </row>
    <row r="416">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c r="AA416" s="61"/>
    </row>
    <row r="417">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c r="AA417" s="61"/>
    </row>
    <row r="418">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c r="AA418" s="61"/>
    </row>
    <row r="419">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c r="AA419" s="61"/>
    </row>
    <row r="420">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c r="AA420" s="61"/>
    </row>
    <row r="421">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c r="AA421" s="61"/>
    </row>
    <row r="422">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c r="AA422" s="61"/>
    </row>
    <row r="423">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c r="AA423" s="61"/>
    </row>
    <row r="424">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c r="AA424" s="61"/>
    </row>
    <row r="4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c r="AA425" s="61"/>
    </row>
    <row r="426">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c r="AA426" s="61"/>
    </row>
    <row r="427">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c r="AA427" s="61"/>
    </row>
    <row r="428">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c r="AA428" s="61"/>
    </row>
    <row r="429">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c r="AA429" s="61"/>
    </row>
    <row r="430">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c r="AA430" s="61"/>
    </row>
    <row r="431">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c r="AA431" s="61"/>
    </row>
    <row r="432">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c r="AA432" s="61"/>
    </row>
    <row r="433">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c r="AA433" s="61"/>
    </row>
    <row r="434">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c r="AA434" s="61"/>
    </row>
    <row r="43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c r="AA435" s="61"/>
    </row>
    <row r="436">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c r="AA436" s="61"/>
    </row>
    <row r="437">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c r="AA437" s="61"/>
    </row>
    <row r="438">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c r="AA438" s="61"/>
    </row>
    <row r="439">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c r="AA439" s="61"/>
    </row>
    <row r="440">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c r="AA440" s="61"/>
    </row>
    <row r="441">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c r="AA441" s="61"/>
    </row>
    <row r="442">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c r="AA442" s="61"/>
    </row>
    <row r="443">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c r="AA443" s="61"/>
    </row>
    <row r="444">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c r="AA444" s="61"/>
    </row>
    <row r="44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c r="AA445" s="61"/>
    </row>
    <row r="446">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c r="AA446" s="61"/>
    </row>
    <row r="447">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c r="AA447" s="61"/>
    </row>
    <row r="448">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c r="AA448" s="61"/>
    </row>
    <row r="449">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c r="AA449" s="61"/>
    </row>
    <row r="450">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c r="AA450" s="61"/>
    </row>
    <row r="451">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c r="AA451" s="61"/>
    </row>
    <row r="452">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c r="AA452" s="61"/>
    </row>
    <row r="453">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c r="AA453" s="61"/>
    </row>
    <row r="454">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c r="AA454" s="61"/>
    </row>
    <row r="45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c r="AA455" s="61"/>
    </row>
    <row r="456">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c r="AA456" s="61"/>
    </row>
    <row r="457">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c r="AA457" s="61"/>
    </row>
    <row r="458">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c r="AA458" s="61"/>
    </row>
    <row r="459">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c r="AA459" s="61"/>
    </row>
    <row r="460">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c r="AA460" s="61"/>
    </row>
    <row r="461">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c r="AA461" s="61"/>
    </row>
    <row r="462">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c r="AA462" s="61"/>
    </row>
    <row r="463">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c r="AA463" s="61"/>
    </row>
    <row r="464">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c r="AA464" s="61"/>
    </row>
    <row r="46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c r="AA465" s="61"/>
    </row>
    <row r="466">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c r="AA466" s="61"/>
    </row>
    <row r="467">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c r="AA467" s="61"/>
    </row>
    <row r="468">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c r="AA468" s="61"/>
    </row>
    <row r="469">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c r="AA469" s="61"/>
    </row>
    <row r="470">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c r="AA470" s="61"/>
    </row>
    <row r="471">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c r="AA471" s="61"/>
    </row>
    <row r="472">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c r="AA472" s="61"/>
    </row>
    <row r="473">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c r="AA473" s="61"/>
    </row>
    <row r="474">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c r="AA474" s="61"/>
    </row>
    <row r="47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c r="AA475" s="61"/>
    </row>
    <row r="476">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c r="AA476" s="61"/>
    </row>
    <row r="477">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c r="AA477" s="61"/>
    </row>
    <row r="478">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c r="AA478" s="61"/>
    </row>
    <row r="479">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c r="AA479" s="61"/>
    </row>
    <row r="480">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c r="AA480" s="61"/>
    </row>
    <row r="481">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c r="AA481" s="61"/>
    </row>
    <row r="482">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c r="AA482" s="61"/>
    </row>
    <row r="483">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c r="AA483" s="61"/>
    </row>
    <row r="484">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c r="AA484" s="61"/>
    </row>
    <row r="48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c r="AA485" s="61"/>
    </row>
    <row r="486">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c r="AA486" s="61"/>
    </row>
    <row r="487">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c r="AA487" s="61"/>
    </row>
    <row r="488">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c r="AA488" s="61"/>
    </row>
    <row r="489">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c r="AA489" s="61"/>
    </row>
    <row r="490">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c r="AA490" s="61"/>
    </row>
    <row r="491">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c r="AA491" s="61"/>
    </row>
    <row r="492">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c r="AA492" s="61"/>
    </row>
    <row r="493">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c r="AA493" s="61"/>
    </row>
    <row r="494">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c r="AA494" s="61"/>
    </row>
    <row r="49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c r="AA495" s="61"/>
    </row>
    <row r="496">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c r="AA496" s="61"/>
    </row>
    <row r="497">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c r="AA497" s="61"/>
    </row>
    <row r="498">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c r="AA498" s="61"/>
    </row>
    <row r="499">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c r="AA499" s="61"/>
    </row>
    <row r="500">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c r="AA500" s="61"/>
    </row>
    <row r="501">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c r="AA501" s="61"/>
    </row>
    <row r="502">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c r="AA502" s="61"/>
    </row>
    <row r="503">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c r="AA503" s="61"/>
    </row>
    <row r="504">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c r="AA504" s="61"/>
    </row>
    <row r="50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c r="AA505" s="61"/>
    </row>
    <row r="506">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c r="AA506" s="61"/>
    </row>
    <row r="507">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c r="AA507" s="61"/>
    </row>
    <row r="508">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c r="AA508" s="61"/>
    </row>
    <row r="509">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c r="AA509" s="61"/>
    </row>
    <row r="510">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c r="AA510" s="61"/>
    </row>
    <row r="511">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c r="AA511" s="61"/>
    </row>
    <row r="512">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c r="AA512" s="61"/>
    </row>
    <row r="513">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c r="AA513" s="61"/>
    </row>
    <row r="514">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c r="AA514" s="61"/>
    </row>
    <row r="51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c r="AA515" s="61"/>
    </row>
    <row r="516">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c r="AA516" s="61"/>
    </row>
    <row r="517">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c r="AA517" s="61"/>
    </row>
    <row r="518">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c r="AA518" s="61"/>
    </row>
    <row r="519">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c r="AA519" s="61"/>
    </row>
    <row r="520">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c r="AA520" s="61"/>
    </row>
    <row r="521">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c r="AA521" s="61"/>
    </row>
    <row r="522">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c r="AA522" s="61"/>
    </row>
    <row r="523">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c r="AA523" s="61"/>
    </row>
    <row r="524">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c r="AA524" s="61"/>
    </row>
    <row r="5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c r="AA525" s="61"/>
    </row>
    <row r="526">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c r="AA526" s="61"/>
    </row>
    <row r="527">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c r="AA527" s="61"/>
    </row>
    <row r="528">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c r="AA528" s="61"/>
    </row>
    <row r="529">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c r="AA529" s="61"/>
    </row>
    <row r="530">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c r="AA530" s="61"/>
    </row>
    <row r="531">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c r="AA531" s="61"/>
    </row>
    <row r="532">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c r="AA532" s="61"/>
    </row>
    <row r="533">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c r="AA533" s="61"/>
    </row>
    <row r="534">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c r="AA534" s="61"/>
    </row>
    <row r="53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c r="AA535" s="61"/>
    </row>
    <row r="536">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c r="AA536" s="61"/>
    </row>
    <row r="537">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c r="AA537" s="61"/>
    </row>
    <row r="538">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c r="AA538" s="61"/>
    </row>
    <row r="539">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c r="AA539" s="61"/>
    </row>
    <row r="540">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c r="AA540" s="61"/>
    </row>
    <row r="541">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c r="AA541" s="61"/>
    </row>
    <row r="542">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c r="AA542" s="61"/>
    </row>
    <row r="543">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c r="AA543" s="61"/>
    </row>
    <row r="544">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c r="AA544" s="61"/>
    </row>
    <row r="54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c r="AA545" s="61"/>
    </row>
    <row r="546">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c r="AA546" s="61"/>
    </row>
    <row r="547">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c r="AA547" s="61"/>
    </row>
    <row r="548">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c r="AA548" s="61"/>
    </row>
    <row r="549">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c r="AA549" s="61"/>
    </row>
    <row r="550">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c r="AA550" s="61"/>
    </row>
    <row r="551">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c r="AA551" s="61"/>
    </row>
    <row r="552">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c r="AA552" s="61"/>
    </row>
    <row r="553">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c r="AA553" s="61"/>
    </row>
    <row r="554">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c r="AA554" s="61"/>
    </row>
    <row r="55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c r="AA555" s="61"/>
    </row>
    <row r="556">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c r="AA556" s="61"/>
    </row>
    <row r="557">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c r="AA557" s="61"/>
    </row>
    <row r="558">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c r="AA558" s="61"/>
    </row>
    <row r="559">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c r="AA559" s="61"/>
    </row>
    <row r="560">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c r="AA560" s="61"/>
    </row>
    <row r="561">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c r="AA561" s="61"/>
    </row>
    <row r="562">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c r="AA562" s="61"/>
    </row>
    <row r="563">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c r="AA563" s="61"/>
    </row>
    <row r="564">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c r="AA564" s="61"/>
    </row>
    <row r="56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c r="AA565" s="61"/>
    </row>
    <row r="566">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c r="AA566" s="61"/>
    </row>
    <row r="567">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c r="AA567" s="61"/>
    </row>
    <row r="568">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c r="AA568" s="61"/>
    </row>
    <row r="569">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c r="AA569" s="61"/>
    </row>
    <row r="570">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c r="AA570" s="61"/>
    </row>
    <row r="571">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c r="AA571" s="61"/>
    </row>
    <row r="572">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c r="AA572" s="61"/>
    </row>
    <row r="573">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c r="AA573" s="61"/>
    </row>
    <row r="574">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c r="AA574" s="61"/>
    </row>
    <row r="57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c r="AA575" s="61"/>
    </row>
    <row r="576">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c r="AA576" s="61"/>
    </row>
    <row r="577">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c r="AA577" s="61"/>
    </row>
    <row r="578">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c r="AA578" s="61"/>
    </row>
    <row r="579">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c r="AA579" s="61"/>
    </row>
    <row r="580">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c r="AA580" s="61"/>
    </row>
    <row r="581">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c r="AA581" s="61"/>
    </row>
    <row r="582">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c r="AA582" s="61"/>
    </row>
    <row r="583">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c r="AA583" s="61"/>
    </row>
    <row r="584">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c r="AA584" s="61"/>
    </row>
    <row r="58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c r="AA585" s="61"/>
    </row>
    <row r="586">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c r="AA586" s="61"/>
    </row>
    <row r="587">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c r="AA587" s="61"/>
    </row>
    <row r="588">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c r="AA588" s="61"/>
    </row>
    <row r="589">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c r="AA589" s="61"/>
    </row>
    <row r="590">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c r="AA590" s="61"/>
    </row>
    <row r="591">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c r="AA591" s="61"/>
    </row>
    <row r="592">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c r="AA592" s="61"/>
    </row>
    <row r="593">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c r="AA593" s="61"/>
    </row>
    <row r="594">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c r="AA594" s="61"/>
    </row>
    <row r="59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c r="AA595" s="61"/>
    </row>
    <row r="596">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c r="AA596" s="61"/>
    </row>
    <row r="597">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c r="AA597" s="61"/>
    </row>
    <row r="598">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c r="AA598" s="61"/>
    </row>
    <row r="599">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c r="AA599" s="61"/>
    </row>
    <row r="600">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c r="AA600" s="61"/>
    </row>
    <row r="601">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c r="AA601" s="61"/>
    </row>
    <row r="602">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c r="AA602" s="61"/>
    </row>
    <row r="603">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c r="AA603" s="61"/>
    </row>
    <row r="604">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c r="AA604" s="61"/>
    </row>
    <row r="60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c r="AA605" s="61"/>
    </row>
    <row r="606">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c r="AA606" s="61"/>
    </row>
    <row r="607">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c r="AA607" s="61"/>
    </row>
    <row r="608">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c r="AA608" s="61"/>
    </row>
    <row r="609">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c r="AA609" s="61"/>
    </row>
    <row r="610">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c r="AA610" s="61"/>
    </row>
    <row r="611">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c r="AA611" s="61"/>
    </row>
    <row r="612">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c r="AA612" s="61"/>
    </row>
    <row r="613">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c r="AA613" s="61"/>
    </row>
    <row r="614">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c r="AA614" s="61"/>
    </row>
    <row r="61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c r="AA615" s="61"/>
    </row>
    <row r="616">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c r="AA616" s="61"/>
    </row>
    <row r="617">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c r="AA617" s="61"/>
    </row>
    <row r="618">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c r="AA618" s="61"/>
    </row>
    <row r="619">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c r="AA619" s="61"/>
    </row>
    <row r="620">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c r="AA620" s="61"/>
    </row>
    <row r="621">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c r="AA621" s="61"/>
    </row>
    <row r="622">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c r="AA622" s="61"/>
    </row>
    <row r="623">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c r="AA623" s="61"/>
    </row>
    <row r="624">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c r="AA624" s="61"/>
    </row>
    <row r="6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c r="AA625" s="61"/>
    </row>
    <row r="626">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c r="AA626" s="61"/>
    </row>
    <row r="627">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c r="AA627" s="61"/>
    </row>
    <row r="628">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c r="AA628" s="61"/>
    </row>
    <row r="629">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c r="AA629" s="61"/>
    </row>
    <row r="630">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c r="AA630" s="61"/>
    </row>
    <row r="631">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c r="AA631" s="61"/>
    </row>
    <row r="632">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c r="AA632" s="61"/>
    </row>
    <row r="633">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c r="AA633" s="61"/>
    </row>
    <row r="634">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c r="AA634" s="61"/>
    </row>
    <row r="63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c r="AA635" s="61"/>
    </row>
    <row r="636">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c r="AA636" s="61"/>
    </row>
    <row r="637">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c r="AA637" s="61"/>
    </row>
    <row r="638">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c r="AA638" s="61"/>
    </row>
    <row r="639">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c r="AA639" s="61"/>
    </row>
    <row r="640">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c r="AA640" s="61"/>
    </row>
    <row r="641">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c r="AA641" s="61"/>
    </row>
    <row r="642">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c r="AA642" s="61"/>
    </row>
    <row r="643">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c r="AA643" s="61"/>
    </row>
    <row r="644">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c r="AA644" s="61"/>
    </row>
    <row r="64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c r="AA645" s="61"/>
    </row>
    <row r="646">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c r="AA646" s="61"/>
    </row>
    <row r="647">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c r="AA647" s="61"/>
    </row>
    <row r="648">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c r="AA648" s="61"/>
    </row>
    <row r="649">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c r="AA649" s="61"/>
    </row>
    <row r="650">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c r="AA650" s="61"/>
    </row>
    <row r="651">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c r="AA651" s="61"/>
    </row>
    <row r="652">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c r="AA652" s="61"/>
    </row>
    <row r="653">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c r="AA653" s="61"/>
    </row>
    <row r="654">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c r="AA654" s="61"/>
    </row>
    <row r="65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c r="AA655" s="61"/>
    </row>
    <row r="656">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c r="AA656" s="61"/>
    </row>
    <row r="657">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c r="AA657" s="61"/>
    </row>
    <row r="658">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c r="AA658" s="61"/>
    </row>
    <row r="659">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c r="AA659" s="61"/>
    </row>
    <row r="660">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c r="AA660" s="61"/>
    </row>
    <row r="661">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c r="AA661" s="61"/>
    </row>
    <row r="662">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c r="AA662" s="61"/>
    </row>
    <row r="663">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c r="AA663" s="61"/>
    </row>
    <row r="664">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c r="AA664" s="61"/>
    </row>
    <row r="66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c r="AA665" s="61"/>
    </row>
    <row r="666">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c r="AA666" s="61"/>
    </row>
    <row r="667">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c r="AA667" s="61"/>
    </row>
    <row r="668">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c r="AA668" s="61"/>
    </row>
    <row r="669">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c r="AA669" s="61"/>
    </row>
    <row r="670">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c r="AA670" s="61"/>
    </row>
    <row r="671">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c r="AA671" s="61"/>
    </row>
    <row r="672">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c r="AA672" s="61"/>
    </row>
    <row r="673">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c r="AA673" s="61"/>
    </row>
    <row r="674">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c r="AA674" s="61"/>
    </row>
    <row r="67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c r="AA675" s="61"/>
    </row>
    <row r="676">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c r="AA676" s="61"/>
    </row>
    <row r="677">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c r="AA677" s="61"/>
    </row>
    <row r="678">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c r="AA678" s="61"/>
    </row>
    <row r="679">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c r="AA679" s="61"/>
    </row>
    <row r="680">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c r="AA680" s="61"/>
    </row>
    <row r="681">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c r="AA681" s="61"/>
    </row>
    <row r="682">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c r="AA682" s="61"/>
    </row>
    <row r="683">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c r="AA683" s="61"/>
    </row>
    <row r="684">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c r="AA684" s="61"/>
    </row>
    <row r="68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c r="AA685" s="61"/>
    </row>
    <row r="686">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c r="AA686" s="61"/>
    </row>
    <row r="687">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c r="AA687" s="61"/>
    </row>
    <row r="688">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c r="AA688" s="61"/>
    </row>
    <row r="689">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c r="AA689" s="61"/>
    </row>
    <row r="690">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c r="AA690" s="61"/>
    </row>
    <row r="691">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c r="AA691" s="61"/>
    </row>
    <row r="692">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c r="AA692" s="61"/>
    </row>
    <row r="693">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c r="AA693" s="61"/>
    </row>
    <row r="694">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c r="AA694" s="61"/>
    </row>
    <row r="69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c r="AA695" s="61"/>
    </row>
    <row r="696">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c r="AA696" s="61"/>
    </row>
    <row r="697">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c r="AA697" s="61"/>
    </row>
    <row r="698">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c r="AA698" s="61"/>
    </row>
    <row r="699">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c r="AA699" s="61"/>
    </row>
    <row r="700">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c r="AA700" s="61"/>
    </row>
    <row r="701">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c r="AA701" s="61"/>
    </row>
    <row r="702">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c r="AA702" s="61"/>
    </row>
    <row r="703">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c r="AA703" s="61"/>
    </row>
    <row r="704">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c r="AA704" s="61"/>
    </row>
    <row r="70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c r="AA705" s="61"/>
    </row>
    <row r="706">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c r="AA706" s="61"/>
    </row>
    <row r="707">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c r="AA707" s="61"/>
    </row>
    <row r="708">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c r="AA708" s="61"/>
    </row>
    <row r="709">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c r="AA709" s="61"/>
    </row>
    <row r="710">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c r="AA710" s="61"/>
    </row>
    <row r="711">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c r="AA711" s="61"/>
    </row>
    <row r="712">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c r="AA712" s="61"/>
    </row>
    <row r="713">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c r="AA713" s="61"/>
    </row>
    <row r="714">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c r="AA714" s="61"/>
    </row>
    <row r="71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c r="AA715" s="61"/>
    </row>
    <row r="716">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c r="AA716" s="61"/>
    </row>
    <row r="717">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c r="AA717" s="61"/>
    </row>
    <row r="718">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c r="AA718" s="61"/>
    </row>
    <row r="719">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c r="AA719" s="61"/>
    </row>
    <row r="720">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c r="AA720" s="61"/>
    </row>
    <row r="721">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c r="AA721" s="61"/>
    </row>
    <row r="722">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c r="AA722" s="61"/>
    </row>
    <row r="723">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c r="AA723" s="61"/>
    </row>
    <row r="724">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c r="AA724" s="61"/>
    </row>
    <row r="7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c r="AA725" s="61"/>
    </row>
    <row r="726">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c r="AA726" s="61"/>
    </row>
    <row r="727">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c r="AA727" s="61"/>
    </row>
    <row r="728">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c r="AA728" s="61"/>
    </row>
    <row r="729">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c r="AA729" s="61"/>
    </row>
    <row r="730">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c r="AA730" s="61"/>
    </row>
    <row r="731">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c r="AA731" s="61"/>
    </row>
    <row r="732">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c r="AA732" s="61"/>
    </row>
    <row r="733">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c r="AA733" s="61"/>
    </row>
    <row r="734">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c r="AA734" s="61"/>
    </row>
    <row r="73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c r="AA735" s="61"/>
    </row>
    <row r="736">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c r="AA736" s="61"/>
    </row>
    <row r="737">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c r="AA737" s="61"/>
    </row>
    <row r="738">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c r="AA738" s="61"/>
    </row>
    <row r="739">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c r="AA739" s="61"/>
    </row>
    <row r="740">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c r="AA740" s="61"/>
    </row>
    <row r="741">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c r="AA741" s="61"/>
    </row>
    <row r="742">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c r="AA742" s="61"/>
    </row>
    <row r="743">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c r="AA743" s="61"/>
    </row>
    <row r="744">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c r="AA744" s="61"/>
    </row>
    <row r="74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c r="AA745" s="61"/>
    </row>
    <row r="746">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c r="AA746" s="61"/>
    </row>
    <row r="747">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c r="AA747" s="61"/>
    </row>
    <row r="748">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c r="AA748" s="61"/>
    </row>
    <row r="749">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c r="AA749" s="61"/>
    </row>
    <row r="750">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c r="AA750" s="61"/>
    </row>
    <row r="751">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c r="AA751" s="61"/>
    </row>
    <row r="752">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c r="AA752" s="61"/>
    </row>
    <row r="753">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c r="AA753" s="61"/>
    </row>
    <row r="754">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c r="AA754" s="61"/>
    </row>
    <row r="75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c r="AA755" s="61"/>
    </row>
    <row r="756">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c r="AA756" s="61"/>
    </row>
    <row r="757">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c r="AA757" s="61"/>
    </row>
    <row r="758">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c r="AA758" s="61"/>
    </row>
    <row r="759">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c r="AA759" s="61"/>
    </row>
    <row r="760">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c r="AA760" s="61"/>
    </row>
    <row r="761">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c r="AA761" s="61"/>
    </row>
    <row r="762">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c r="AA762" s="61"/>
    </row>
    <row r="763">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c r="AA763" s="61"/>
    </row>
    <row r="764">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c r="AA764" s="61"/>
    </row>
    <row r="76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c r="AA765" s="61"/>
    </row>
    <row r="766">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c r="AA766" s="61"/>
    </row>
    <row r="767">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c r="AA767" s="61"/>
    </row>
    <row r="768">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c r="AA768" s="61"/>
    </row>
    <row r="769">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c r="AA769" s="61"/>
    </row>
    <row r="770">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c r="AA770" s="61"/>
    </row>
    <row r="771">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c r="AA771" s="61"/>
    </row>
    <row r="772">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c r="AA772" s="61"/>
    </row>
    <row r="773">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c r="AA773" s="61"/>
    </row>
    <row r="774">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c r="AA774" s="61"/>
    </row>
    <row r="77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c r="AA775" s="61"/>
    </row>
    <row r="776">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c r="AA776" s="61"/>
    </row>
    <row r="777">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c r="AA777" s="61"/>
    </row>
    <row r="778">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c r="AA778" s="61"/>
    </row>
    <row r="779">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c r="AA779" s="61"/>
    </row>
    <row r="780">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c r="AA780" s="61"/>
    </row>
    <row r="781">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c r="AA781" s="61"/>
    </row>
    <row r="782">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c r="AA782" s="61"/>
    </row>
    <row r="783">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c r="AA783" s="61"/>
    </row>
    <row r="784">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c r="AA784" s="61"/>
    </row>
    <row r="78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c r="AA785" s="61"/>
    </row>
    <row r="786">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c r="AA786" s="61"/>
    </row>
    <row r="787">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c r="AA787" s="61"/>
    </row>
    <row r="788">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c r="AA788" s="61"/>
    </row>
    <row r="789">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c r="AA789" s="61"/>
    </row>
    <row r="790">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c r="AA790" s="61"/>
    </row>
    <row r="791">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c r="AA791" s="61"/>
    </row>
    <row r="792">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c r="AA792" s="61"/>
    </row>
    <row r="793">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c r="AA793" s="61"/>
    </row>
    <row r="794">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c r="AA794" s="61"/>
    </row>
    <row r="79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c r="AA795" s="61"/>
    </row>
    <row r="796">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c r="AA796" s="61"/>
    </row>
    <row r="797">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c r="AA797" s="61"/>
    </row>
    <row r="798">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c r="AA798" s="61"/>
    </row>
    <row r="799">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c r="AA799" s="61"/>
    </row>
    <row r="800">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c r="AA800" s="61"/>
    </row>
    <row r="801">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c r="AA801" s="61"/>
    </row>
    <row r="802">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c r="AA802" s="61"/>
    </row>
    <row r="803">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c r="AA803" s="61"/>
    </row>
    <row r="804">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c r="AA804" s="61"/>
    </row>
    <row r="80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c r="AA805" s="61"/>
    </row>
    <row r="806">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c r="AA806" s="61"/>
    </row>
    <row r="807">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c r="AA807" s="61"/>
    </row>
    <row r="808">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c r="AA808" s="61"/>
    </row>
    <row r="809">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c r="AA809" s="61"/>
    </row>
    <row r="810">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c r="AA810" s="61"/>
    </row>
    <row r="811">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c r="AA811" s="61"/>
    </row>
    <row r="812">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c r="AA812" s="61"/>
    </row>
    <row r="813">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c r="AA813" s="61"/>
    </row>
    <row r="814">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c r="AA814" s="61"/>
    </row>
    <row r="81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c r="AA815" s="61"/>
    </row>
    <row r="816">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c r="AA816" s="61"/>
    </row>
    <row r="817">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c r="AA817" s="61"/>
    </row>
    <row r="818">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c r="AA818" s="61"/>
    </row>
    <row r="819">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c r="AA819" s="61"/>
    </row>
    <row r="820">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c r="AA820" s="61"/>
    </row>
    <row r="821">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c r="AA821" s="61"/>
    </row>
    <row r="822">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c r="AA822" s="61"/>
    </row>
    <row r="823">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c r="AA823" s="61"/>
    </row>
    <row r="824">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c r="AA824" s="61"/>
    </row>
    <row r="8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c r="AA825" s="61"/>
    </row>
    <row r="826">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c r="AA826" s="61"/>
    </row>
    <row r="827">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c r="AA827" s="61"/>
    </row>
    <row r="828">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c r="AA828" s="61"/>
    </row>
    <row r="829">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c r="AA829" s="61"/>
    </row>
    <row r="830">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c r="AA830" s="61"/>
    </row>
    <row r="831">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c r="AA831" s="61"/>
    </row>
    <row r="832">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c r="AA832" s="61"/>
    </row>
    <row r="833">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c r="AA833" s="61"/>
    </row>
    <row r="834">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c r="AA834" s="61"/>
    </row>
    <row r="83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c r="AA835" s="61"/>
    </row>
    <row r="836">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c r="AA836" s="61"/>
    </row>
    <row r="837">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c r="AA837" s="61"/>
    </row>
    <row r="838">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c r="AA838" s="61"/>
    </row>
    <row r="839">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c r="AA839" s="61"/>
    </row>
    <row r="840">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c r="AA840" s="61"/>
    </row>
    <row r="841">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c r="AA841" s="61"/>
    </row>
    <row r="842">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c r="AA842" s="61"/>
    </row>
    <row r="843">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c r="AA843" s="61"/>
    </row>
    <row r="844">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c r="AA844" s="61"/>
    </row>
    <row r="84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c r="AA845" s="61"/>
    </row>
    <row r="846">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c r="AA846" s="61"/>
    </row>
    <row r="847">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c r="AA847" s="61"/>
    </row>
    <row r="848">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c r="AA848" s="61"/>
    </row>
    <row r="849">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c r="AA849" s="61"/>
    </row>
    <row r="850">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c r="AA850" s="61"/>
    </row>
    <row r="851">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c r="AA851" s="61"/>
    </row>
    <row r="852">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c r="AA852" s="61"/>
    </row>
    <row r="853">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c r="AA853" s="61"/>
    </row>
    <row r="854">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c r="AA854" s="61"/>
    </row>
    <row r="85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c r="AA855" s="61"/>
    </row>
    <row r="856">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c r="AA856" s="61"/>
    </row>
    <row r="857">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c r="AA857" s="61"/>
    </row>
    <row r="858">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c r="AA858" s="61"/>
    </row>
    <row r="859">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c r="AA859" s="61"/>
    </row>
    <row r="860">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c r="AA860" s="61"/>
    </row>
    <row r="861">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c r="AA861" s="61"/>
    </row>
    <row r="862">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c r="AA862" s="61"/>
    </row>
    <row r="863">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c r="AA863" s="61"/>
    </row>
    <row r="864">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c r="AA864" s="61"/>
    </row>
    <row r="86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c r="AA865" s="61"/>
    </row>
    <row r="866">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c r="AA866" s="61"/>
    </row>
    <row r="867">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c r="AA867" s="61"/>
    </row>
    <row r="868">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c r="AA868" s="61"/>
    </row>
    <row r="869">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c r="AA869" s="61"/>
    </row>
    <row r="870">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c r="AA870" s="61"/>
    </row>
    <row r="871">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c r="AA871" s="61"/>
    </row>
    <row r="872">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c r="AA872" s="61"/>
    </row>
    <row r="873">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c r="AA873" s="61"/>
    </row>
    <row r="874">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c r="AA874" s="61"/>
    </row>
    <row r="87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c r="AA875" s="61"/>
    </row>
    <row r="876">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c r="AA876" s="61"/>
    </row>
    <row r="877">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c r="AA877" s="61"/>
    </row>
    <row r="878">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c r="AA878" s="61"/>
    </row>
    <row r="879">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c r="AA879" s="61"/>
    </row>
    <row r="880">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c r="AA880" s="61"/>
    </row>
    <row r="881">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c r="AA881" s="61"/>
    </row>
    <row r="882">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c r="AA882" s="61"/>
    </row>
    <row r="883">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c r="AA883" s="61"/>
    </row>
    <row r="884">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c r="AA884" s="61"/>
    </row>
    <row r="88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c r="AA885" s="61"/>
    </row>
    <row r="886">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c r="AA886" s="61"/>
    </row>
    <row r="887">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c r="AA887" s="61"/>
    </row>
    <row r="888">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c r="AA888" s="61"/>
    </row>
    <row r="889">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c r="AA889" s="61"/>
    </row>
    <row r="890">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c r="AA890" s="61"/>
    </row>
    <row r="891">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c r="AA891" s="61"/>
    </row>
    <row r="892">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c r="AA892" s="61"/>
    </row>
    <row r="893">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c r="AA893" s="61"/>
    </row>
    <row r="894">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c r="AA894" s="61"/>
    </row>
    <row r="89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c r="AA895" s="61"/>
    </row>
    <row r="896">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c r="AA896" s="61"/>
    </row>
    <row r="897">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c r="AA897" s="61"/>
    </row>
    <row r="898">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c r="AA898" s="61"/>
    </row>
    <row r="899">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c r="AA899" s="61"/>
    </row>
    <row r="900">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c r="AA900" s="61"/>
    </row>
    <row r="901">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c r="AA901" s="61"/>
    </row>
    <row r="902">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c r="AA902" s="61"/>
    </row>
    <row r="903">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c r="AA903" s="61"/>
    </row>
    <row r="904">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c r="AA904" s="61"/>
    </row>
    <row r="90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c r="AA905" s="61"/>
    </row>
    <row r="906">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c r="AA906" s="61"/>
    </row>
    <row r="907">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c r="AA907" s="61"/>
    </row>
    <row r="908">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c r="AA908" s="61"/>
    </row>
    <row r="909">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c r="AA909" s="61"/>
    </row>
    <row r="910">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c r="AA910" s="61"/>
    </row>
    <row r="911">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c r="AA911" s="61"/>
    </row>
    <row r="912">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c r="AA912" s="61"/>
    </row>
    <row r="913">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c r="AA913" s="61"/>
    </row>
    <row r="914">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c r="AA914" s="61"/>
    </row>
    <row r="91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c r="AA915" s="61"/>
    </row>
    <row r="916">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c r="AA916" s="61"/>
    </row>
    <row r="917">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c r="AA917" s="61"/>
    </row>
    <row r="918">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c r="AA918" s="61"/>
    </row>
    <row r="919">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c r="AA919" s="61"/>
    </row>
    <row r="920">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c r="AA920" s="61"/>
    </row>
    <row r="921">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c r="AA921" s="61"/>
    </row>
    <row r="922">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c r="AA922" s="61"/>
    </row>
    <row r="923">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c r="AA923" s="61"/>
    </row>
    <row r="924">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c r="AA924" s="61"/>
    </row>
    <row r="9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c r="AA925" s="61"/>
    </row>
    <row r="926">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c r="AA926" s="61"/>
    </row>
    <row r="927">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c r="AA927" s="61"/>
    </row>
    <row r="928">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c r="AA928" s="61"/>
    </row>
    <row r="929">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c r="AA929" s="61"/>
    </row>
    <row r="930">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c r="AA930" s="61"/>
    </row>
    <row r="931">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c r="AA931" s="61"/>
    </row>
    <row r="932">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c r="AA932" s="61"/>
    </row>
    <row r="933">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c r="AA933" s="61"/>
    </row>
    <row r="934">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c r="AA934" s="61"/>
    </row>
    <row r="93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c r="AA935" s="61"/>
    </row>
    <row r="936">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c r="AA936" s="61"/>
    </row>
    <row r="937">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c r="AA937" s="61"/>
    </row>
    <row r="938">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c r="AA938" s="61"/>
    </row>
    <row r="939">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c r="AA939" s="61"/>
    </row>
    <row r="940">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c r="AA940" s="61"/>
    </row>
    <row r="941">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c r="AA941" s="61"/>
    </row>
    <row r="942">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c r="AA942" s="61"/>
    </row>
    <row r="943">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c r="AA943" s="61"/>
    </row>
    <row r="944">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c r="AA944" s="61"/>
    </row>
    <row r="94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c r="AA945" s="61"/>
    </row>
    <row r="946">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c r="AA946" s="61"/>
    </row>
    <row r="947">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c r="AA947" s="61"/>
    </row>
    <row r="948">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c r="AA948" s="61"/>
    </row>
    <row r="949">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c r="AA949" s="61"/>
    </row>
    <row r="950">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c r="AA950" s="61"/>
    </row>
    <row r="951">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c r="AA951" s="61"/>
    </row>
    <row r="952">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c r="AA952" s="61"/>
    </row>
    <row r="953">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c r="AA953" s="61"/>
    </row>
    <row r="954">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c r="AA954" s="61"/>
    </row>
    <row r="95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c r="AA955" s="61"/>
    </row>
    <row r="956">
      <c r="L956" s="39"/>
      <c r="M956" s="39"/>
    </row>
    <row r="957">
      <c r="L957" s="39"/>
      <c r="M957" s="39"/>
    </row>
    <row r="958">
      <c r="L958" s="39"/>
      <c r="M958" s="39"/>
    </row>
    <row r="959">
      <c r="L959" s="39"/>
      <c r="M959" s="39"/>
    </row>
    <row r="960">
      <c r="L960" s="39"/>
      <c r="M960" s="39"/>
    </row>
    <row r="961">
      <c r="L961" s="39"/>
      <c r="M961" s="39"/>
    </row>
    <row r="962">
      <c r="L962" s="39"/>
      <c r="M962" s="39"/>
    </row>
    <row r="963">
      <c r="L963" s="39"/>
      <c r="M963" s="39"/>
    </row>
    <row r="964">
      <c r="L964" s="39"/>
      <c r="M964" s="39"/>
    </row>
    <row r="965">
      <c r="L965" s="39"/>
      <c r="M965" s="39"/>
    </row>
    <row r="966">
      <c r="L966" s="39"/>
      <c r="M966" s="39"/>
    </row>
    <row r="967">
      <c r="L967" s="39"/>
      <c r="M967" s="39"/>
    </row>
    <row r="968">
      <c r="L968" s="39"/>
      <c r="M968" s="39"/>
    </row>
    <row r="969">
      <c r="L969" s="39"/>
      <c r="M969" s="39"/>
    </row>
    <row r="970">
      <c r="L970" s="39"/>
      <c r="M970" s="39"/>
    </row>
    <row r="971">
      <c r="L971" s="39"/>
      <c r="M971" s="39"/>
    </row>
    <row r="972">
      <c r="L972" s="39"/>
      <c r="M972" s="39"/>
    </row>
    <row r="973">
      <c r="L973" s="39"/>
      <c r="M973" s="39"/>
    </row>
    <row r="974">
      <c r="L974" s="39"/>
      <c r="M974" s="39"/>
    </row>
    <row r="975">
      <c r="L975" s="39"/>
      <c r="M975" s="39"/>
    </row>
    <row r="976">
      <c r="L976" s="39"/>
      <c r="M976" s="39"/>
    </row>
    <row r="977">
      <c r="L977" s="39"/>
      <c r="M977" s="39"/>
    </row>
    <row r="978">
      <c r="L978" s="39"/>
      <c r="M978" s="39"/>
    </row>
    <row r="979">
      <c r="L979" s="39"/>
      <c r="M979" s="39"/>
    </row>
    <row r="980">
      <c r="L980" s="39"/>
      <c r="M980" s="39"/>
    </row>
    <row r="981">
      <c r="L981" s="39"/>
      <c r="M981" s="39"/>
    </row>
    <row r="982">
      <c r="L982" s="39"/>
      <c r="M982" s="39"/>
    </row>
    <row r="983">
      <c r="L983" s="39"/>
      <c r="M983" s="39"/>
    </row>
    <row r="984">
      <c r="L984" s="39"/>
      <c r="M984" s="39"/>
    </row>
    <row r="985">
      <c r="L985" s="39"/>
      <c r="M985" s="39"/>
    </row>
    <row r="986">
      <c r="L986" s="39"/>
      <c r="M986" s="39"/>
    </row>
    <row r="987">
      <c r="L987" s="39"/>
      <c r="M987" s="39"/>
    </row>
    <row r="988">
      <c r="L988" s="39"/>
      <c r="M988" s="39"/>
    </row>
    <row r="989">
      <c r="L989" s="39"/>
      <c r="M989" s="39"/>
    </row>
    <row r="990">
      <c r="L990" s="39"/>
      <c r="M990" s="39"/>
    </row>
    <row r="991">
      <c r="L991" s="39"/>
      <c r="M991" s="39"/>
    </row>
    <row r="992">
      <c r="L992" s="39"/>
      <c r="M992" s="39"/>
    </row>
    <row r="993">
      <c r="L993" s="39"/>
      <c r="M993" s="39"/>
    </row>
    <row r="994">
      <c r="L994" s="39"/>
      <c r="M994" s="39"/>
    </row>
    <row r="995">
      <c r="L995" s="39"/>
      <c r="M995" s="39"/>
    </row>
    <row r="996">
      <c r="L996" s="39"/>
      <c r="M996" s="39"/>
    </row>
    <row r="997">
      <c r="L997" s="39"/>
      <c r="M997" s="39"/>
    </row>
    <row r="998">
      <c r="L998" s="39"/>
      <c r="M998" s="39"/>
    </row>
    <row r="999">
      <c r="L999" s="39"/>
      <c r="M999" s="39"/>
    </row>
    <row r="1000">
      <c r="L1000" s="39"/>
      <c r="M1000" s="3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4" t="s">
        <v>427</v>
      </c>
      <c r="B1" s="64" t="s">
        <v>2</v>
      </c>
      <c r="C1" s="73" t="s">
        <v>428</v>
      </c>
      <c r="D1" s="74" t="s">
        <v>429</v>
      </c>
      <c r="E1" s="73" t="s">
        <v>430</v>
      </c>
      <c r="F1" s="73" t="s">
        <v>431</v>
      </c>
      <c r="G1" s="73" t="s">
        <v>432</v>
      </c>
      <c r="H1" s="64" t="s">
        <v>433</v>
      </c>
      <c r="I1" s="64" t="s">
        <v>434</v>
      </c>
      <c r="J1" s="64" t="s">
        <v>435</v>
      </c>
    </row>
    <row r="2">
      <c r="A2" s="61" t="s">
        <v>436</v>
      </c>
      <c r="B2" s="61" t="s">
        <v>437</v>
      </c>
      <c r="C2" s="71">
        <v>28112.0</v>
      </c>
      <c r="D2" s="75">
        <v>43978.0</v>
      </c>
      <c r="E2" s="71">
        <v>8020.0</v>
      </c>
      <c r="F2" s="61" t="s">
        <v>438</v>
      </c>
      <c r="G2" s="71">
        <v>108.0</v>
      </c>
      <c r="H2" s="61" t="s">
        <v>439</v>
      </c>
      <c r="I2" s="67">
        <v>10.0</v>
      </c>
      <c r="J2" s="76">
        <v>280.0</v>
      </c>
      <c r="K2" s="77"/>
      <c r="L2" s="77" t="s">
        <v>440</v>
      </c>
    </row>
    <row r="3">
      <c r="A3" s="61" t="s">
        <v>441</v>
      </c>
      <c r="B3" s="61" t="s">
        <v>394</v>
      </c>
      <c r="C3" s="71">
        <v>45444.0</v>
      </c>
      <c r="D3" s="75">
        <v>43979.0</v>
      </c>
      <c r="E3" s="71">
        <v>8060.0</v>
      </c>
      <c r="F3" s="61" t="s">
        <v>442</v>
      </c>
      <c r="G3" s="71">
        <v>108.0</v>
      </c>
      <c r="H3" s="61" t="s">
        <v>439</v>
      </c>
      <c r="I3" s="67">
        <v>60.0</v>
      </c>
      <c r="J3" s="76">
        <v>1970.0</v>
      </c>
      <c r="K3" s="78"/>
      <c r="L3" s="78"/>
    </row>
    <row r="4">
      <c r="A4" s="61" t="s">
        <v>443</v>
      </c>
      <c r="B4" s="61" t="s">
        <v>437</v>
      </c>
      <c r="C4" s="71">
        <v>66017.0</v>
      </c>
      <c r="D4" s="75">
        <v>43980.0</v>
      </c>
      <c r="E4" s="71">
        <v>8010.0</v>
      </c>
      <c r="F4" s="61" t="s">
        <v>444</v>
      </c>
      <c r="G4" s="71">
        <v>103.0</v>
      </c>
      <c r="H4" s="61" t="s">
        <v>445</v>
      </c>
      <c r="I4" s="67">
        <v>140.0</v>
      </c>
      <c r="J4" s="76">
        <v>1680.0</v>
      </c>
      <c r="K4" s="48"/>
      <c r="L4" s="48" t="s">
        <v>446</v>
      </c>
    </row>
    <row r="5">
      <c r="A5" s="61" t="s">
        <v>441</v>
      </c>
      <c r="B5" s="61" t="s">
        <v>394</v>
      </c>
      <c r="C5" s="71">
        <v>45444.0</v>
      </c>
      <c r="D5" s="75">
        <v>43980.0</v>
      </c>
      <c r="E5" s="71">
        <v>8060.0</v>
      </c>
      <c r="F5" s="61" t="s">
        <v>442</v>
      </c>
      <c r="G5" s="71">
        <v>110.0</v>
      </c>
      <c r="H5" s="61" t="s">
        <v>447</v>
      </c>
      <c r="I5" s="67">
        <v>60.0</v>
      </c>
      <c r="J5" s="76">
        <v>4230.0</v>
      </c>
      <c r="K5" s="48"/>
      <c r="L5" s="48" t="s">
        <v>448</v>
      </c>
    </row>
    <row r="6">
      <c r="A6" s="61" t="s">
        <v>441</v>
      </c>
      <c r="B6" s="61" t="s">
        <v>394</v>
      </c>
      <c r="C6" s="71">
        <v>48112.0</v>
      </c>
      <c r="D6" s="75">
        <v>43981.0</v>
      </c>
      <c r="E6" s="71">
        <v>8060.0</v>
      </c>
      <c r="F6" s="61" t="s">
        <v>442</v>
      </c>
      <c r="G6" s="71">
        <v>109.0</v>
      </c>
      <c r="H6" s="61" t="s">
        <v>449</v>
      </c>
      <c r="I6" s="67">
        <v>60.0</v>
      </c>
      <c r="J6" s="76">
        <v>1970.0</v>
      </c>
      <c r="K6" s="48"/>
      <c r="L6" s="48" t="s">
        <v>450</v>
      </c>
    </row>
    <row r="7">
      <c r="A7" s="61" t="s">
        <v>443</v>
      </c>
      <c r="B7" s="61" t="s">
        <v>437</v>
      </c>
      <c r="C7" s="71">
        <v>66031.0</v>
      </c>
      <c r="D7" s="75">
        <v>43982.0</v>
      </c>
      <c r="E7" s="71">
        <v>8020.0</v>
      </c>
      <c r="F7" s="61" t="s">
        <v>438</v>
      </c>
      <c r="G7" s="71">
        <v>103.0</v>
      </c>
      <c r="H7" s="61" t="s">
        <v>445</v>
      </c>
      <c r="I7" s="67">
        <v>140.0</v>
      </c>
      <c r="J7" s="76">
        <v>1680.0</v>
      </c>
      <c r="K7" s="48"/>
      <c r="L7" s="48" t="s">
        <v>451</v>
      </c>
    </row>
    <row r="8">
      <c r="A8" s="61" t="s">
        <v>443</v>
      </c>
      <c r="B8" s="61" t="s">
        <v>437</v>
      </c>
      <c r="C8" s="71">
        <v>66016.0</v>
      </c>
      <c r="D8" s="75">
        <v>43982.0</v>
      </c>
      <c r="E8" s="71">
        <v>8020.0</v>
      </c>
      <c r="F8" s="61" t="s">
        <v>438</v>
      </c>
      <c r="G8" s="71">
        <v>103.0</v>
      </c>
      <c r="H8" s="61" t="s">
        <v>445</v>
      </c>
      <c r="I8" s="67">
        <v>120.0</v>
      </c>
      <c r="J8" s="76">
        <v>1440.0</v>
      </c>
      <c r="K8" s="78"/>
      <c r="L8" s="78"/>
    </row>
    <row r="9">
      <c r="A9" s="61" t="s">
        <v>441</v>
      </c>
      <c r="B9" s="61" t="s">
        <v>394</v>
      </c>
      <c r="C9" s="71">
        <v>44031.0</v>
      </c>
      <c r="D9" s="75">
        <v>43983.0</v>
      </c>
      <c r="E9" s="71">
        <v>8050.0</v>
      </c>
      <c r="F9" s="61" t="s">
        <v>452</v>
      </c>
      <c r="G9" s="71">
        <v>110.0</v>
      </c>
      <c r="H9" s="61" t="s">
        <v>447</v>
      </c>
      <c r="I9" s="67">
        <v>60.0</v>
      </c>
      <c r="J9" s="76">
        <v>4230.0</v>
      </c>
      <c r="K9" s="77"/>
      <c r="L9" s="77" t="s">
        <v>453</v>
      </c>
    </row>
    <row r="10">
      <c r="A10" s="61" t="s">
        <v>441</v>
      </c>
      <c r="B10" s="61" t="s">
        <v>394</v>
      </c>
      <c r="C10" s="71">
        <v>48112.0</v>
      </c>
      <c r="D10" s="75">
        <v>43984.0</v>
      </c>
      <c r="E10" s="71">
        <v>8060.0</v>
      </c>
      <c r="F10" s="61" t="s">
        <v>442</v>
      </c>
      <c r="G10" s="71">
        <v>110.0</v>
      </c>
      <c r="H10" s="61" t="s">
        <v>447</v>
      </c>
      <c r="I10" s="67">
        <v>50.0</v>
      </c>
      <c r="J10" s="76">
        <v>3520.0</v>
      </c>
    </row>
    <row r="11">
      <c r="A11" s="61" t="s">
        <v>443</v>
      </c>
      <c r="B11" s="61" t="s">
        <v>437</v>
      </c>
      <c r="C11" s="71">
        <v>68116.0</v>
      </c>
      <c r="D11" s="75">
        <v>43986.0</v>
      </c>
      <c r="E11" s="71">
        <v>8020.0</v>
      </c>
      <c r="F11" s="61" t="s">
        <v>438</v>
      </c>
      <c r="G11" s="71">
        <v>105.0</v>
      </c>
      <c r="H11" s="61" t="s">
        <v>454</v>
      </c>
      <c r="I11" s="67">
        <v>190.0</v>
      </c>
      <c r="J11" s="76">
        <v>1900.0</v>
      </c>
    </row>
    <row r="12">
      <c r="A12" s="61" t="s">
        <v>443</v>
      </c>
      <c r="B12" s="61" t="s">
        <v>437</v>
      </c>
      <c r="C12" s="71">
        <v>65629.0</v>
      </c>
      <c r="D12" s="75">
        <v>43989.0</v>
      </c>
      <c r="E12" s="71">
        <v>8010.0</v>
      </c>
      <c r="F12" s="61" t="s">
        <v>444</v>
      </c>
      <c r="G12" s="71">
        <v>104.0</v>
      </c>
      <c r="H12" s="61" t="s">
        <v>455</v>
      </c>
      <c r="I12" s="67">
        <v>130.0</v>
      </c>
      <c r="J12" s="76">
        <v>1560.0</v>
      </c>
    </row>
    <row r="13">
      <c r="A13" s="61" t="s">
        <v>443</v>
      </c>
      <c r="B13" s="61" t="s">
        <v>437</v>
      </c>
      <c r="C13" s="71">
        <v>66015.0</v>
      </c>
      <c r="D13" s="75">
        <v>43992.0</v>
      </c>
      <c r="E13" s="71">
        <v>8010.0</v>
      </c>
      <c r="F13" s="61" t="s">
        <v>444</v>
      </c>
      <c r="G13" s="71">
        <v>104.0</v>
      </c>
      <c r="H13" s="61" t="s">
        <v>455</v>
      </c>
      <c r="I13" s="67">
        <v>140.0</v>
      </c>
      <c r="J13" s="76">
        <v>1680.0</v>
      </c>
    </row>
    <row r="14">
      <c r="A14" s="61" t="s">
        <v>443</v>
      </c>
      <c r="B14" s="61" t="s">
        <v>437</v>
      </c>
      <c r="C14" s="71">
        <v>68097.0</v>
      </c>
      <c r="D14" s="75">
        <v>43992.0</v>
      </c>
      <c r="E14" s="71">
        <v>8010.0</v>
      </c>
      <c r="F14" s="61" t="s">
        <v>444</v>
      </c>
      <c r="G14" s="71">
        <v>105.0</v>
      </c>
      <c r="H14" s="61" t="s">
        <v>454</v>
      </c>
      <c r="I14" s="67">
        <v>130.0</v>
      </c>
      <c r="J14" s="76">
        <v>1300.0</v>
      </c>
    </row>
    <row r="15">
      <c r="A15" s="61" t="s">
        <v>436</v>
      </c>
      <c r="B15" s="61" t="s">
        <v>437</v>
      </c>
      <c r="C15" s="71">
        <v>24030.0</v>
      </c>
      <c r="D15" s="75">
        <v>43992.0</v>
      </c>
      <c r="E15" s="71">
        <v>8020.0</v>
      </c>
      <c r="F15" s="61" t="s">
        <v>438</v>
      </c>
      <c r="G15" s="71">
        <v>106.0</v>
      </c>
      <c r="H15" s="61" t="s">
        <v>447</v>
      </c>
      <c r="I15" s="67">
        <v>20.0</v>
      </c>
      <c r="J15" s="76">
        <v>1400.0</v>
      </c>
    </row>
    <row r="16">
      <c r="A16" s="61" t="s">
        <v>443</v>
      </c>
      <c r="B16" s="61" t="s">
        <v>437</v>
      </c>
      <c r="C16" s="71">
        <v>66030.0</v>
      </c>
      <c r="D16" s="75">
        <v>43993.0</v>
      </c>
      <c r="E16" s="71">
        <v>8010.0</v>
      </c>
      <c r="F16" s="61" t="s">
        <v>444</v>
      </c>
      <c r="G16" s="71">
        <v>104.0</v>
      </c>
      <c r="H16" s="61" t="s">
        <v>455</v>
      </c>
      <c r="I16" s="67">
        <v>150.0</v>
      </c>
      <c r="J16" s="76">
        <v>1800.0</v>
      </c>
    </row>
    <row r="17">
      <c r="A17" s="61" t="s">
        <v>441</v>
      </c>
      <c r="B17" s="61" t="s">
        <v>394</v>
      </c>
      <c r="C17" s="71">
        <v>45442.0</v>
      </c>
      <c r="D17" s="75">
        <v>43993.0</v>
      </c>
      <c r="E17" s="71">
        <v>8050.0</v>
      </c>
      <c r="F17" s="61" t="s">
        <v>452</v>
      </c>
      <c r="G17" s="71">
        <v>109.0</v>
      </c>
      <c r="H17" s="61" t="s">
        <v>449</v>
      </c>
      <c r="I17" s="67">
        <v>60.0</v>
      </c>
      <c r="J17" s="76">
        <v>1970.0</v>
      </c>
    </row>
    <row r="18">
      <c r="A18" s="61" t="s">
        <v>443</v>
      </c>
      <c r="B18" s="61" t="s">
        <v>437</v>
      </c>
      <c r="C18" s="71">
        <v>65666.0</v>
      </c>
      <c r="D18" s="75">
        <v>43995.0</v>
      </c>
      <c r="E18" s="71">
        <v>8020.0</v>
      </c>
      <c r="F18" s="61" t="s">
        <v>438</v>
      </c>
      <c r="G18" s="71">
        <v>107.0</v>
      </c>
      <c r="H18" s="61" t="s">
        <v>456</v>
      </c>
      <c r="I18" s="67">
        <v>120.0</v>
      </c>
      <c r="J18" s="76">
        <v>600.0</v>
      </c>
    </row>
    <row r="19">
      <c r="A19" s="61" t="s">
        <v>441</v>
      </c>
      <c r="B19" s="61" t="s">
        <v>394</v>
      </c>
      <c r="C19" s="71">
        <v>44016.0</v>
      </c>
      <c r="D19" s="75">
        <v>43997.0</v>
      </c>
      <c r="E19" s="71">
        <v>8050.0</v>
      </c>
      <c r="F19" s="61" t="s">
        <v>452</v>
      </c>
      <c r="G19" s="71">
        <v>110.0</v>
      </c>
      <c r="H19" s="61" t="s">
        <v>447</v>
      </c>
      <c r="I19" s="67">
        <v>50.0</v>
      </c>
      <c r="J19" s="76">
        <v>3520.0</v>
      </c>
    </row>
    <row r="20">
      <c r="A20" s="61" t="s">
        <v>443</v>
      </c>
      <c r="B20" s="61" t="s">
        <v>437</v>
      </c>
      <c r="C20" s="71">
        <v>65631.0</v>
      </c>
      <c r="D20" s="75">
        <v>43999.0</v>
      </c>
      <c r="E20" s="71">
        <v>8020.0</v>
      </c>
      <c r="F20" s="61" t="s">
        <v>438</v>
      </c>
      <c r="G20" s="71">
        <v>103.0</v>
      </c>
      <c r="H20" s="61" t="s">
        <v>445</v>
      </c>
      <c r="I20" s="67">
        <v>120.0</v>
      </c>
      <c r="J20" s="76">
        <v>1440.0</v>
      </c>
    </row>
    <row r="21">
      <c r="A21" s="61" t="s">
        <v>436</v>
      </c>
      <c r="B21" s="61" t="s">
        <v>437</v>
      </c>
      <c r="C21" s="71">
        <v>24031.0</v>
      </c>
      <c r="D21" s="75">
        <v>43999.0</v>
      </c>
      <c r="E21" s="71">
        <v>8020.0</v>
      </c>
      <c r="F21" s="61" t="s">
        <v>438</v>
      </c>
      <c r="G21" s="71">
        <v>113.0</v>
      </c>
      <c r="H21" s="61" t="s">
        <v>457</v>
      </c>
      <c r="I21" s="67">
        <v>100.0</v>
      </c>
      <c r="J21" s="76">
        <v>2500.0</v>
      </c>
    </row>
    <row r="22">
      <c r="A22" s="61" t="s">
        <v>441</v>
      </c>
      <c r="B22" s="61" t="s">
        <v>394</v>
      </c>
      <c r="C22" s="71">
        <v>44017.0</v>
      </c>
      <c r="D22" s="75">
        <v>43999.0</v>
      </c>
      <c r="E22" s="71">
        <v>8060.0</v>
      </c>
      <c r="F22" s="61" t="s">
        <v>442</v>
      </c>
      <c r="G22" s="71">
        <v>108.0</v>
      </c>
      <c r="H22" s="61" t="s">
        <v>439</v>
      </c>
      <c r="I22" s="67">
        <v>70.0</v>
      </c>
      <c r="J22" s="76">
        <v>2300.0</v>
      </c>
    </row>
    <row r="23">
      <c r="A23" s="61" t="s">
        <v>441</v>
      </c>
      <c r="B23" s="61" t="s">
        <v>394</v>
      </c>
      <c r="C23" s="71">
        <v>45427.0</v>
      </c>
      <c r="D23" s="75">
        <v>44000.0</v>
      </c>
      <c r="E23" s="71">
        <v>8050.0</v>
      </c>
      <c r="F23" s="61" t="s">
        <v>452</v>
      </c>
      <c r="G23" s="71">
        <v>109.0</v>
      </c>
      <c r="H23" s="61" t="s">
        <v>449</v>
      </c>
      <c r="I23" s="67">
        <v>60.0</v>
      </c>
      <c r="J23" s="76">
        <v>1970.0</v>
      </c>
    </row>
    <row r="24">
      <c r="A24" s="61" t="s">
        <v>443</v>
      </c>
      <c r="B24" s="61" t="s">
        <v>437</v>
      </c>
      <c r="C24" s="71">
        <v>65666.0</v>
      </c>
      <c r="D24" s="75">
        <v>44001.0</v>
      </c>
      <c r="E24" s="71">
        <v>8010.0</v>
      </c>
      <c r="F24" s="61" t="s">
        <v>444</v>
      </c>
      <c r="G24" s="71">
        <v>105.0</v>
      </c>
      <c r="H24" s="61" t="s">
        <v>454</v>
      </c>
      <c r="I24" s="67">
        <v>160.0</v>
      </c>
      <c r="J24" s="76">
        <v>1600.0</v>
      </c>
    </row>
    <row r="25">
      <c r="A25" s="61" t="s">
        <v>436</v>
      </c>
      <c r="B25" s="61" t="s">
        <v>437</v>
      </c>
      <c r="C25" s="71">
        <v>28112.0</v>
      </c>
      <c r="D25" s="75">
        <v>44004.0</v>
      </c>
      <c r="E25" s="71">
        <v>8020.0</v>
      </c>
      <c r="F25" s="61" t="s">
        <v>438</v>
      </c>
      <c r="G25" s="71">
        <v>101.0</v>
      </c>
      <c r="H25" s="61" t="s">
        <v>458</v>
      </c>
      <c r="I25" s="67">
        <v>40.0</v>
      </c>
      <c r="J25" s="76">
        <v>480.0</v>
      </c>
    </row>
    <row r="26">
      <c r="A26" s="61" t="s">
        <v>441</v>
      </c>
      <c r="B26" s="61" t="s">
        <v>394</v>
      </c>
      <c r="C26" s="71">
        <v>48116.0</v>
      </c>
      <c r="D26" s="75">
        <v>44004.0</v>
      </c>
      <c r="E26" s="71">
        <v>8060.0</v>
      </c>
      <c r="F26" s="61" t="s">
        <v>442</v>
      </c>
      <c r="G26" s="71">
        <v>110.0</v>
      </c>
      <c r="H26" s="61" t="s">
        <v>447</v>
      </c>
      <c r="I26" s="67">
        <v>60.0</v>
      </c>
      <c r="J26" s="76">
        <v>4230.0</v>
      </c>
    </row>
    <row r="27">
      <c r="A27" s="61" t="s">
        <v>443</v>
      </c>
      <c r="B27" s="61" t="s">
        <v>437</v>
      </c>
      <c r="C27" s="71">
        <v>66032.0</v>
      </c>
      <c r="D27" s="75">
        <v>44005.0</v>
      </c>
      <c r="E27" s="71">
        <v>8010.0</v>
      </c>
      <c r="F27" s="61" t="s">
        <v>444</v>
      </c>
      <c r="G27" s="71">
        <v>104.0</v>
      </c>
      <c r="H27" s="61" t="s">
        <v>455</v>
      </c>
      <c r="I27" s="67">
        <v>140.0</v>
      </c>
      <c r="J27" s="76">
        <v>1680.0</v>
      </c>
    </row>
    <row r="28">
      <c r="A28" s="61" t="s">
        <v>436</v>
      </c>
      <c r="B28" s="61" t="s">
        <v>437</v>
      </c>
      <c r="C28" s="71">
        <v>24031.0</v>
      </c>
      <c r="D28" s="75">
        <v>44005.0</v>
      </c>
      <c r="E28" s="71">
        <v>8020.0</v>
      </c>
      <c r="F28" s="61" t="s">
        <v>438</v>
      </c>
      <c r="G28" s="71">
        <v>108.0</v>
      </c>
      <c r="H28" s="61" t="s">
        <v>439</v>
      </c>
      <c r="I28" s="67">
        <v>20.0</v>
      </c>
      <c r="J28" s="76">
        <v>560.0</v>
      </c>
    </row>
    <row r="29">
      <c r="A29" s="61" t="s">
        <v>443</v>
      </c>
      <c r="B29" s="61" t="s">
        <v>437</v>
      </c>
      <c r="C29" s="71">
        <v>66030.0</v>
      </c>
      <c r="D29" s="75">
        <v>44009.0</v>
      </c>
      <c r="E29" s="71">
        <v>8010.0</v>
      </c>
      <c r="F29" s="61" t="s">
        <v>444</v>
      </c>
      <c r="G29" s="71">
        <v>103.0</v>
      </c>
      <c r="H29" s="61" t="s">
        <v>445</v>
      </c>
      <c r="I29" s="67">
        <v>120.0</v>
      </c>
      <c r="J29" s="76">
        <v>1440.0</v>
      </c>
    </row>
    <row r="30">
      <c r="A30" s="61" t="s">
        <v>443</v>
      </c>
      <c r="B30" s="61" t="s">
        <v>437</v>
      </c>
      <c r="C30" s="71">
        <v>66017.0</v>
      </c>
      <c r="D30" s="75">
        <v>44010.0</v>
      </c>
      <c r="E30" s="71">
        <v>8010.0</v>
      </c>
      <c r="F30" s="61" t="s">
        <v>444</v>
      </c>
      <c r="G30" s="71">
        <v>104.0</v>
      </c>
      <c r="H30" s="61" t="s">
        <v>455</v>
      </c>
      <c r="I30" s="67">
        <v>140.0</v>
      </c>
      <c r="J30" s="76">
        <v>1680.0</v>
      </c>
    </row>
    <row r="31">
      <c r="A31" s="61" t="s">
        <v>436</v>
      </c>
      <c r="B31" s="61" t="s">
        <v>437</v>
      </c>
      <c r="C31" s="71">
        <v>25442.0</v>
      </c>
      <c r="D31" s="75">
        <v>44011.0</v>
      </c>
      <c r="E31" s="71">
        <v>8010.0</v>
      </c>
      <c r="F31" s="61" t="s">
        <v>444</v>
      </c>
      <c r="G31" s="71">
        <v>106.0</v>
      </c>
      <c r="H31" s="61" t="s">
        <v>459</v>
      </c>
      <c r="I31" s="67">
        <v>20.0</v>
      </c>
      <c r="J31" s="76">
        <v>100.0</v>
      </c>
    </row>
    <row r="32">
      <c r="A32" s="61" t="s">
        <v>441</v>
      </c>
      <c r="B32" s="61" t="s">
        <v>394</v>
      </c>
      <c r="C32" s="71">
        <v>44015.0</v>
      </c>
      <c r="D32" s="75">
        <v>44013.0</v>
      </c>
      <c r="E32" s="71">
        <v>8060.0</v>
      </c>
      <c r="F32" s="61" t="s">
        <v>442</v>
      </c>
      <c r="G32" s="71">
        <v>109.0</v>
      </c>
      <c r="H32" s="61" t="s">
        <v>449</v>
      </c>
      <c r="I32" s="67">
        <v>70.0</v>
      </c>
      <c r="J32" s="76">
        <v>2300.0</v>
      </c>
    </row>
    <row r="33">
      <c r="A33" s="61" t="s">
        <v>441</v>
      </c>
      <c r="B33" s="61" t="s">
        <v>394</v>
      </c>
      <c r="C33" s="71">
        <v>45446.0</v>
      </c>
      <c r="D33" s="75">
        <v>44015.0</v>
      </c>
      <c r="E33" s="71">
        <v>8050.0</v>
      </c>
      <c r="F33" s="61" t="s">
        <v>452</v>
      </c>
      <c r="G33" s="71">
        <v>108.0</v>
      </c>
      <c r="H33" s="61" t="s">
        <v>439</v>
      </c>
      <c r="I33" s="67">
        <v>50.0</v>
      </c>
      <c r="J33" s="76">
        <v>1640.0</v>
      </c>
    </row>
    <row r="34">
      <c r="A34" s="61" t="s">
        <v>441</v>
      </c>
      <c r="B34" s="61" t="s">
        <v>394</v>
      </c>
      <c r="C34" s="71">
        <v>48101.0</v>
      </c>
      <c r="D34" s="75">
        <v>44016.0</v>
      </c>
      <c r="E34" s="71">
        <v>8060.0</v>
      </c>
      <c r="F34" s="61" t="s">
        <v>442</v>
      </c>
      <c r="G34" s="71">
        <v>110.0</v>
      </c>
      <c r="H34" s="61" t="s">
        <v>447</v>
      </c>
      <c r="I34" s="67">
        <v>50.0</v>
      </c>
      <c r="J34" s="76">
        <v>3520.0</v>
      </c>
    </row>
    <row r="35">
      <c r="A35" s="61" t="s">
        <v>443</v>
      </c>
      <c r="B35" s="61" t="s">
        <v>437</v>
      </c>
      <c r="C35" s="71">
        <v>66031.0</v>
      </c>
      <c r="D35" s="75">
        <v>44018.0</v>
      </c>
      <c r="E35" s="71">
        <v>8020.0</v>
      </c>
      <c r="F35" s="61" t="s">
        <v>438</v>
      </c>
      <c r="G35" s="71">
        <v>105.0</v>
      </c>
      <c r="H35" s="61" t="s">
        <v>454</v>
      </c>
      <c r="I35" s="67">
        <v>100.0</v>
      </c>
      <c r="J35" s="76">
        <v>1000.0</v>
      </c>
    </row>
    <row r="36">
      <c r="A36" s="61" t="s">
        <v>441</v>
      </c>
      <c r="B36" s="61" t="s">
        <v>394</v>
      </c>
      <c r="C36" s="71">
        <v>45429.0</v>
      </c>
      <c r="D36" s="75">
        <v>44018.0</v>
      </c>
      <c r="E36" s="71">
        <v>8060.0</v>
      </c>
      <c r="F36" s="61" t="s">
        <v>442</v>
      </c>
      <c r="G36" s="71">
        <v>110.0</v>
      </c>
      <c r="H36" s="61" t="s">
        <v>447</v>
      </c>
      <c r="I36" s="67">
        <v>50.0</v>
      </c>
      <c r="J36" s="76">
        <v>3520.0</v>
      </c>
    </row>
    <row r="37">
      <c r="A37" s="61" t="s">
        <v>441</v>
      </c>
      <c r="B37" s="61" t="s">
        <v>394</v>
      </c>
      <c r="C37" s="71">
        <v>45429.0</v>
      </c>
      <c r="D37" s="75">
        <v>44021.0</v>
      </c>
      <c r="E37" s="71">
        <v>8060.0</v>
      </c>
      <c r="F37" s="61" t="s">
        <v>442</v>
      </c>
      <c r="G37" s="71">
        <v>109.0</v>
      </c>
      <c r="H37" s="61" t="s">
        <v>449</v>
      </c>
      <c r="I37" s="67">
        <v>80.0</v>
      </c>
      <c r="J37" s="76">
        <v>2630.0</v>
      </c>
    </row>
    <row r="38">
      <c r="A38" s="61" t="s">
        <v>441</v>
      </c>
      <c r="B38" s="61" t="s">
        <v>394</v>
      </c>
      <c r="C38" s="71">
        <v>44031.0</v>
      </c>
      <c r="D38" s="75">
        <v>44022.0</v>
      </c>
      <c r="E38" s="71">
        <v>8050.0</v>
      </c>
      <c r="F38" s="61" t="s">
        <v>452</v>
      </c>
      <c r="G38" s="71">
        <v>109.0</v>
      </c>
      <c r="H38" s="61" t="s">
        <v>449</v>
      </c>
      <c r="I38" s="67">
        <v>50.0</v>
      </c>
      <c r="J38" s="76">
        <v>1640.0</v>
      </c>
    </row>
    <row r="39">
      <c r="A39" s="61" t="s">
        <v>441</v>
      </c>
      <c r="B39" s="61" t="s">
        <v>394</v>
      </c>
      <c r="C39" s="71">
        <v>48097.0</v>
      </c>
      <c r="D39" s="75">
        <v>44022.0</v>
      </c>
      <c r="E39" s="71">
        <v>8060.0</v>
      </c>
      <c r="F39" s="61" t="s">
        <v>442</v>
      </c>
      <c r="G39" s="71">
        <v>110.0</v>
      </c>
      <c r="H39" s="61" t="s">
        <v>447</v>
      </c>
      <c r="I39" s="67">
        <v>70.0</v>
      </c>
      <c r="J39" s="76">
        <v>4930.0</v>
      </c>
    </row>
    <row r="40">
      <c r="A40" s="61" t="s">
        <v>436</v>
      </c>
      <c r="B40" s="61" t="s">
        <v>437</v>
      </c>
      <c r="C40" s="71">
        <v>25442.0</v>
      </c>
      <c r="D40" s="75">
        <v>44026.0</v>
      </c>
      <c r="E40" s="71">
        <v>8010.0</v>
      </c>
      <c r="F40" s="61" t="s">
        <v>444</v>
      </c>
      <c r="G40" s="71">
        <v>118.0</v>
      </c>
      <c r="H40" s="61" t="s">
        <v>460</v>
      </c>
      <c r="I40" s="67">
        <v>70.0</v>
      </c>
      <c r="J40" s="76">
        <v>1260.0</v>
      </c>
    </row>
    <row r="41">
      <c r="A41" s="61" t="s">
        <v>436</v>
      </c>
      <c r="B41" s="61" t="s">
        <v>437</v>
      </c>
      <c r="C41" s="71">
        <v>25442.0</v>
      </c>
      <c r="D41" s="75">
        <v>44026.0</v>
      </c>
      <c r="E41" s="71">
        <v>8010.0</v>
      </c>
      <c r="F41" s="61" t="s">
        <v>444</v>
      </c>
      <c r="G41" s="71">
        <v>117.0</v>
      </c>
      <c r="H41" s="61" t="s">
        <v>461</v>
      </c>
      <c r="I41" s="67">
        <v>80.0</v>
      </c>
      <c r="J41" s="76">
        <v>1440.0</v>
      </c>
    </row>
    <row r="42">
      <c r="A42" s="61" t="s">
        <v>443</v>
      </c>
      <c r="B42" s="61" t="s">
        <v>437</v>
      </c>
      <c r="C42" s="71">
        <v>65631.0</v>
      </c>
      <c r="D42" s="75">
        <v>44029.0</v>
      </c>
      <c r="E42" s="71">
        <v>8020.0</v>
      </c>
      <c r="F42" s="61" t="s">
        <v>438</v>
      </c>
      <c r="G42" s="71">
        <v>107.0</v>
      </c>
      <c r="H42" s="61" t="s">
        <v>456</v>
      </c>
      <c r="I42" s="67">
        <v>190.0</v>
      </c>
      <c r="J42" s="76">
        <v>950.0</v>
      </c>
    </row>
    <row r="43">
      <c r="A43" s="61" t="s">
        <v>436</v>
      </c>
      <c r="B43" s="61" t="s">
        <v>437</v>
      </c>
      <c r="C43" s="71">
        <v>28112.0</v>
      </c>
      <c r="D43" s="75">
        <v>44031.0</v>
      </c>
      <c r="E43" s="71">
        <v>8020.0</v>
      </c>
      <c r="F43" s="61" t="s">
        <v>438</v>
      </c>
      <c r="G43" s="71">
        <v>118.0</v>
      </c>
      <c r="H43" s="61" t="s">
        <v>460</v>
      </c>
      <c r="I43" s="67">
        <v>70.0</v>
      </c>
      <c r="J43" s="76">
        <v>1260.0</v>
      </c>
    </row>
    <row r="44">
      <c r="A44" s="61" t="s">
        <v>441</v>
      </c>
      <c r="B44" s="61" t="s">
        <v>394</v>
      </c>
      <c r="C44" s="71">
        <v>48099.0</v>
      </c>
      <c r="D44" s="75">
        <v>44032.0</v>
      </c>
      <c r="E44" s="71">
        <v>8050.0</v>
      </c>
      <c r="F44" s="61" t="s">
        <v>452</v>
      </c>
      <c r="G44" s="71">
        <v>109.0</v>
      </c>
      <c r="H44" s="61" t="s">
        <v>449</v>
      </c>
      <c r="I44" s="67">
        <v>60.0</v>
      </c>
      <c r="J44" s="76">
        <v>1970.0</v>
      </c>
    </row>
    <row r="45">
      <c r="A45" s="61" t="s">
        <v>441</v>
      </c>
      <c r="B45" s="61" t="s">
        <v>394</v>
      </c>
      <c r="C45" s="71">
        <v>45431.0</v>
      </c>
      <c r="D45" s="75">
        <v>44034.0</v>
      </c>
      <c r="E45" s="71">
        <v>8050.0</v>
      </c>
      <c r="F45" s="61" t="s">
        <v>452</v>
      </c>
      <c r="G45" s="71">
        <v>108.0</v>
      </c>
      <c r="H45" s="61" t="s">
        <v>439</v>
      </c>
      <c r="I45" s="67">
        <v>60.0</v>
      </c>
      <c r="J45" s="76">
        <v>1970.0</v>
      </c>
    </row>
    <row r="46">
      <c r="A46" s="61" t="s">
        <v>443</v>
      </c>
      <c r="B46" s="61" t="s">
        <v>437</v>
      </c>
      <c r="C46" s="71">
        <v>66016.0</v>
      </c>
      <c r="D46" s="75">
        <v>44035.0</v>
      </c>
      <c r="E46" s="71">
        <v>8020.0</v>
      </c>
      <c r="F46" s="61" t="s">
        <v>438</v>
      </c>
      <c r="G46" s="71">
        <v>104.0</v>
      </c>
      <c r="H46" s="61" t="s">
        <v>455</v>
      </c>
      <c r="I46" s="67">
        <v>130.0</v>
      </c>
      <c r="J46" s="76">
        <v>1560.0</v>
      </c>
    </row>
    <row r="47">
      <c r="A47" s="61" t="s">
        <v>443</v>
      </c>
      <c r="B47" s="61" t="s">
        <v>437</v>
      </c>
      <c r="C47" s="71">
        <v>66031.0</v>
      </c>
      <c r="D47" s="75">
        <v>44041.0</v>
      </c>
      <c r="E47" s="71">
        <v>8020.0</v>
      </c>
      <c r="F47" s="61" t="s">
        <v>438</v>
      </c>
      <c r="G47" s="71">
        <v>104.0</v>
      </c>
      <c r="H47" s="61" t="s">
        <v>455</v>
      </c>
      <c r="I47" s="67">
        <v>150.0</v>
      </c>
      <c r="J47" s="76">
        <v>1800.0</v>
      </c>
    </row>
    <row r="48">
      <c r="A48" s="61" t="s">
        <v>441</v>
      </c>
      <c r="B48" s="61" t="s">
        <v>394</v>
      </c>
      <c r="C48" s="71">
        <v>44032.0</v>
      </c>
      <c r="D48" s="75">
        <v>44041.0</v>
      </c>
      <c r="E48" s="71">
        <v>8060.0</v>
      </c>
      <c r="F48" s="61" t="s">
        <v>442</v>
      </c>
      <c r="G48" s="71">
        <v>108.0</v>
      </c>
      <c r="H48" s="61" t="s">
        <v>439</v>
      </c>
      <c r="I48" s="67">
        <v>60.0</v>
      </c>
      <c r="J48" s="76">
        <v>1970.0</v>
      </c>
    </row>
    <row r="49">
      <c r="A49" s="61" t="s">
        <v>436</v>
      </c>
      <c r="B49" s="61" t="s">
        <v>437</v>
      </c>
      <c r="C49" s="71">
        <v>25442.0</v>
      </c>
      <c r="D49" s="75">
        <v>44043.0</v>
      </c>
      <c r="E49" s="71">
        <v>8010.0</v>
      </c>
      <c r="F49" s="61" t="s">
        <v>444</v>
      </c>
      <c r="G49" s="71">
        <v>102.0</v>
      </c>
      <c r="H49" s="61" t="s">
        <v>462</v>
      </c>
      <c r="I49" s="67">
        <v>10.0</v>
      </c>
      <c r="J49" s="76">
        <v>120.0</v>
      </c>
    </row>
    <row r="50">
      <c r="A50" s="61" t="s">
        <v>436</v>
      </c>
      <c r="B50" s="61" t="s">
        <v>437</v>
      </c>
      <c r="C50" s="71">
        <v>28112.0</v>
      </c>
      <c r="D50" s="75">
        <v>44044.0</v>
      </c>
      <c r="E50" s="71">
        <v>8020.0</v>
      </c>
      <c r="F50" s="61" t="s">
        <v>438</v>
      </c>
      <c r="G50" s="71">
        <v>106.0</v>
      </c>
      <c r="H50" s="61" t="s">
        <v>459</v>
      </c>
      <c r="I50" s="67">
        <v>70.0</v>
      </c>
      <c r="J50" s="76">
        <v>350.0</v>
      </c>
    </row>
    <row r="51">
      <c r="A51" s="61" t="s">
        <v>441</v>
      </c>
      <c r="B51" s="61" t="s">
        <v>394</v>
      </c>
      <c r="C51" s="71">
        <v>45444.0</v>
      </c>
      <c r="D51" s="75">
        <v>44045.0</v>
      </c>
      <c r="E51" s="71">
        <v>8060.0</v>
      </c>
      <c r="F51" s="61" t="s">
        <v>442</v>
      </c>
      <c r="G51" s="71">
        <v>109.0</v>
      </c>
      <c r="H51" s="61" t="s">
        <v>449</v>
      </c>
      <c r="I51" s="67">
        <v>70.0</v>
      </c>
      <c r="J51" s="76">
        <v>2300.0</v>
      </c>
    </row>
    <row r="52">
      <c r="A52" s="61" t="s">
        <v>441</v>
      </c>
      <c r="B52" s="61" t="s">
        <v>394</v>
      </c>
      <c r="C52" s="71">
        <v>45431.0</v>
      </c>
      <c r="D52" s="75">
        <v>44045.0</v>
      </c>
      <c r="E52" s="71">
        <v>8050.0</v>
      </c>
      <c r="F52" s="61" t="s">
        <v>452</v>
      </c>
      <c r="G52" s="71">
        <v>111.0</v>
      </c>
      <c r="H52" s="61" t="s">
        <v>463</v>
      </c>
      <c r="I52" s="67">
        <v>60.0</v>
      </c>
      <c r="J52" s="76">
        <v>1410.0</v>
      </c>
    </row>
    <row r="53">
      <c r="A53" s="61" t="s">
        <v>443</v>
      </c>
      <c r="B53" s="61" t="s">
        <v>437</v>
      </c>
      <c r="C53" s="71">
        <v>65666.0</v>
      </c>
      <c r="D53" s="75">
        <v>44046.0</v>
      </c>
      <c r="E53" s="71">
        <v>8010.0</v>
      </c>
      <c r="F53" s="61" t="s">
        <v>444</v>
      </c>
      <c r="G53" s="71">
        <v>103.0</v>
      </c>
      <c r="H53" s="61" t="s">
        <v>445</v>
      </c>
      <c r="I53" s="67">
        <v>120.0</v>
      </c>
      <c r="J53" s="76">
        <v>1440.0</v>
      </c>
    </row>
    <row r="54">
      <c r="A54" s="61" t="s">
        <v>443</v>
      </c>
      <c r="B54" s="61" t="s">
        <v>437</v>
      </c>
      <c r="C54" s="71">
        <v>68099.0</v>
      </c>
      <c r="D54" s="75">
        <v>44046.0</v>
      </c>
      <c r="E54" s="71">
        <v>8020.0</v>
      </c>
      <c r="F54" s="61" t="s">
        <v>438</v>
      </c>
      <c r="G54" s="71">
        <v>107.0</v>
      </c>
      <c r="H54" s="61" t="s">
        <v>456</v>
      </c>
      <c r="I54" s="67">
        <v>170.0</v>
      </c>
      <c r="J54" s="76">
        <v>850.0</v>
      </c>
    </row>
    <row r="55">
      <c r="A55" s="61" t="s">
        <v>443</v>
      </c>
      <c r="B55" s="61" t="s">
        <v>437</v>
      </c>
      <c r="C55" s="71">
        <v>66032.0</v>
      </c>
      <c r="D55" s="75">
        <v>44051.0</v>
      </c>
      <c r="E55" s="71">
        <v>8010.0</v>
      </c>
      <c r="F55" s="61" t="s">
        <v>444</v>
      </c>
      <c r="G55" s="71">
        <v>103.0</v>
      </c>
      <c r="H55" s="61" t="s">
        <v>445</v>
      </c>
      <c r="I55" s="67">
        <v>170.0</v>
      </c>
      <c r="J55" s="76">
        <v>2040.0</v>
      </c>
    </row>
    <row r="56">
      <c r="A56" s="61" t="s">
        <v>443</v>
      </c>
      <c r="B56" s="61" t="s">
        <v>437</v>
      </c>
      <c r="C56" s="71">
        <v>68101.0</v>
      </c>
      <c r="D56" s="75">
        <v>44053.0</v>
      </c>
      <c r="E56" s="71">
        <v>8010.0</v>
      </c>
      <c r="F56" s="61" t="s">
        <v>444</v>
      </c>
      <c r="G56" s="71">
        <v>105.0</v>
      </c>
      <c r="H56" s="61" t="s">
        <v>454</v>
      </c>
      <c r="I56" s="67">
        <v>140.0</v>
      </c>
      <c r="J56" s="76">
        <v>1400.0</v>
      </c>
    </row>
    <row r="57">
      <c r="A57" s="61" t="s">
        <v>441</v>
      </c>
      <c r="B57" s="61" t="s">
        <v>394</v>
      </c>
      <c r="C57" s="71">
        <v>48099.0</v>
      </c>
      <c r="D57" s="75">
        <v>44053.0</v>
      </c>
      <c r="E57" s="71">
        <v>8050.0</v>
      </c>
      <c r="F57" s="61" t="s">
        <v>452</v>
      </c>
      <c r="G57" s="71">
        <v>110.0</v>
      </c>
      <c r="H57" s="61" t="s">
        <v>447</v>
      </c>
      <c r="I57" s="67">
        <v>60.0</v>
      </c>
      <c r="J57" s="76">
        <v>4230.0</v>
      </c>
    </row>
    <row r="58">
      <c r="A58" s="61" t="s">
        <v>441</v>
      </c>
      <c r="B58" s="61" t="s">
        <v>394</v>
      </c>
      <c r="C58" s="71">
        <v>48116.0</v>
      </c>
      <c r="D58" s="75">
        <v>44054.0</v>
      </c>
      <c r="E58" s="71">
        <v>8060.0</v>
      </c>
      <c r="F58" s="61" t="s">
        <v>442</v>
      </c>
      <c r="G58" s="71">
        <v>109.0</v>
      </c>
      <c r="H58" s="61" t="s">
        <v>449</v>
      </c>
      <c r="I58" s="67">
        <v>60.0</v>
      </c>
      <c r="J58" s="76">
        <v>1970.0</v>
      </c>
    </row>
    <row r="59">
      <c r="A59" s="61" t="s">
        <v>443</v>
      </c>
      <c r="B59" s="61" t="s">
        <v>437</v>
      </c>
      <c r="C59" s="71">
        <v>65666.0</v>
      </c>
      <c r="D59" s="75">
        <v>44055.0</v>
      </c>
      <c r="E59" s="71">
        <v>8020.0</v>
      </c>
      <c r="F59" s="61" t="s">
        <v>438</v>
      </c>
      <c r="G59" s="71">
        <v>103.0</v>
      </c>
      <c r="H59" s="61" t="s">
        <v>445</v>
      </c>
      <c r="I59" s="67">
        <v>200.0</v>
      </c>
      <c r="J59" s="76">
        <v>2400.0</v>
      </c>
    </row>
    <row r="60">
      <c r="A60" s="61" t="s">
        <v>441</v>
      </c>
      <c r="B60" s="61" t="s">
        <v>394</v>
      </c>
      <c r="C60" s="71">
        <v>48101.0</v>
      </c>
      <c r="D60" s="75">
        <v>44055.0</v>
      </c>
      <c r="E60" s="71">
        <v>8060.0</v>
      </c>
      <c r="F60" s="61" t="s">
        <v>442</v>
      </c>
      <c r="G60" s="71">
        <v>109.0</v>
      </c>
      <c r="H60" s="61" t="s">
        <v>449</v>
      </c>
      <c r="I60" s="67">
        <v>60.0</v>
      </c>
      <c r="J60" s="76">
        <v>1970.0</v>
      </c>
    </row>
    <row r="61">
      <c r="A61" s="61" t="s">
        <v>441</v>
      </c>
      <c r="B61" s="61" t="s">
        <v>394</v>
      </c>
      <c r="C61" s="71">
        <v>44015.0</v>
      </c>
      <c r="D61" s="75">
        <v>44056.0</v>
      </c>
      <c r="E61" s="71">
        <v>8060.0</v>
      </c>
      <c r="F61" s="61" t="s">
        <v>442</v>
      </c>
      <c r="G61" s="71">
        <v>108.0</v>
      </c>
      <c r="H61" s="61" t="s">
        <v>439</v>
      </c>
      <c r="I61" s="67">
        <v>60.0</v>
      </c>
      <c r="J61" s="76">
        <v>1970.0</v>
      </c>
    </row>
    <row r="62">
      <c r="A62" s="61" t="s">
        <v>441</v>
      </c>
      <c r="B62" s="61" t="s">
        <v>394</v>
      </c>
      <c r="C62" s="71">
        <v>44016.0</v>
      </c>
      <c r="D62" s="75">
        <v>44057.0</v>
      </c>
      <c r="E62" s="71">
        <v>8050.0</v>
      </c>
      <c r="F62" s="61" t="s">
        <v>452</v>
      </c>
      <c r="G62" s="71">
        <v>108.0</v>
      </c>
      <c r="H62" s="61" t="s">
        <v>439</v>
      </c>
      <c r="I62" s="67">
        <v>70.0</v>
      </c>
      <c r="J62" s="76">
        <v>2300.0</v>
      </c>
    </row>
    <row r="63">
      <c r="A63" s="61" t="s">
        <v>443</v>
      </c>
      <c r="B63" s="61" t="s">
        <v>437</v>
      </c>
      <c r="C63" s="71">
        <v>68116.0</v>
      </c>
      <c r="D63" s="75">
        <v>44060.0</v>
      </c>
      <c r="E63" s="71">
        <v>8010.0</v>
      </c>
      <c r="F63" s="61" t="s">
        <v>444</v>
      </c>
      <c r="G63" s="71">
        <v>105.0</v>
      </c>
      <c r="H63" s="61" t="s">
        <v>454</v>
      </c>
      <c r="I63" s="67">
        <v>190.0</v>
      </c>
      <c r="J63" s="76">
        <v>1900.0</v>
      </c>
    </row>
    <row r="64">
      <c r="A64" s="61" t="s">
        <v>443</v>
      </c>
      <c r="B64" s="61" t="s">
        <v>437</v>
      </c>
      <c r="C64" s="71">
        <v>68112.0</v>
      </c>
      <c r="D64" s="75">
        <v>44062.0</v>
      </c>
      <c r="E64" s="71">
        <v>8010.0</v>
      </c>
      <c r="F64" s="61" t="s">
        <v>444</v>
      </c>
      <c r="G64" s="71">
        <v>104.0</v>
      </c>
      <c r="H64" s="61" t="s">
        <v>455</v>
      </c>
      <c r="I64" s="67">
        <v>180.0</v>
      </c>
      <c r="J64" s="76">
        <v>2160.0</v>
      </c>
    </row>
    <row r="65">
      <c r="A65" s="61" t="s">
        <v>443</v>
      </c>
      <c r="B65" s="61" t="s">
        <v>437</v>
      </c>
      <c r="C65" s="71">
        <v>68099.0</v>
      </c>
      <c r="D65" s="75">
        <v>44062.0</v>
      </c>
      <c r="E65" s="71">
        <v>8020.0</v>
      </c>
      <c r="F65" s="61" t="s">
        <v>438</v>
      </c>
      <c r="G65" s="71">
        <v>104.0</v>
      </c>
      <c r="H65" s="61" t="s">
        <v>455</v>
      </c>
      <c r="I65" s="67">
        <v>120.0</v>
      </c>
      <c r="J65" s="76">
        <v>1440.0</v>
      </c>
    </row>
    <row r="66">
      <c r="A66" s="61" t="s">
        <v>441</v>
      </c>
      <c r="B66" s="61" t="s">
        <v>394</v>
      </c>
      <c r="C66" s="71">
        <v>44032.0</v>
      </c>
      <c r="D66" s="75">
        <v>44063.0</v>
      </c>
      <c r="E66" s="71">
        <v>8060.0</v>
      </c>
      <c r="F66" s="61" t="s">
        <v>442</v>
      </c>
      <c r="G66" s="71">
        <v>109.0</v>
      </c>
      <c r="H66" s="61" t="s">
        <v>449</v>
      </c>
      <c r="I66" s="67">
        <v>70.0</v>
      </c>
      <c r="J66" s="76">
        <v>2300.0</v>
      </c>
    </row>
    <row r="67">
      <c r="A67" s="61" t="s">
        <v>443</v>
      </c>
      <c r="B67" s="61" t="s">
        <v>437</v>
      </c>
      <c r="C67" s="71">
        <v>65662.0</v>
      </c>
      <c r="D67" s="75">
        <v>44065.0</v>
      </c>
      <c r="E67" s="71">
        <v>8020.0</v>
      </c>
      <c r="F67" s="61" t="s">
        <v>438</v>
      </c>
      <c r="G67" s="71">
        <v>104.0</v>
      </c>
      <c r="H67" s="61" t="s">
        <v>455</v>
      </c>
      <c r="I67" s="67">
        <v>110.0</v>
      </c>
      <c r="J67" s="76">
        <v>1320.0</v>
      </c>
    </row>
    <row r="68">
      <c r="A68" s="61" t="s">
        <v>443</v>
      </c>
      <c r="B68" s="61" t="s">
        <v>437</v>
      </c>
      <c r="C68" s="71">
        <v>65629.0</v>
      </c>
      <c r="D68" s="75">
        <v>44066.0</v>
      </c>
      <c r="E68" s="71">
        <v>8010.0</v>
      </c>
      <c r="F68" s="61" t="s">
        <v>444</v>
      </c>
      <c r="G68" s="71">
        <v>105.0</v>
      </c>
      <c r="H68" s="61" t="s">
        <v>454</v>
      </c>
      <c r="I68" s="67">
        <v>140.0</v>
      </c>
      <c r="J68" s="76">
        <v>1400.0</v>
      </c>
    </row>
    <row r="69">
      <c r="A69" s="61" t="s">
        <v>443</v>
      </c>
      <c r="B69" s="61" t="s">
        <v>437</v>
      </c>
      <c r="C69" s="71">
        <v>65666.0</v>
      </c>
      <c r="D69" s="75">
        <v>44067.0</v>
      </c>
      <c r="E69" s="71">
        <v>8010.0</v>
      </c>
      <c r="F69" s="61" t="s">
        <v>444</v>
      </c>
      <c r="G69" s="71">
        <v>104.0</v>
      </c>
      <c r="H69" s="61" t="s">
        <v>455</v>
      </c>
      <c r="I69" s="67">
        <v>140.0</v>
      </c>
      <c r="J69" s="76">
        <v>1680.0</v>
      </c>
    </row>
    <row r="70">
      <c r="A70" s="61" t="s">
        <v>441</v>
      </c>
      <c r="B70" s="61" t="s">
        <v>394</v>
      </c>
      <c r="C70" s="71">
        <v>44031.0</v>
      </c>
      <c r="D70" s="75">
        <v>44070.0</v>
      </c>
      <c r="E70" s="71">
        <v>8050.0</v>
      </c>
      <c r="F70" s="61" t="s">
        <v>452</v>
      </c>
      <c r="G70" s="71">
        <v>108.0</v>
      </c>
      <c r="H70" s="61" t="s">
        <v>439</v>
      </c>
      <c r="I70" s="67">
        <v>60.0</v>
      </c>
      <c r="J70" s="76">
        <v>1970.0</v>
      </c>
    </row>
    <row r="71">
      <c r="A71" s="61" t="s">
        <v>441</v>
      </c>
      <c r="B71" s="61" t="s">
        <v>394</v>
      </c>
      <c r="C71" s="71">
        <v>48097.0</v>
      </c>
      <c r="D71" s="75">
        <v>44071.0</v>
      </c>
      <c r="E71" s="71">
        <v>8060.0</v>
      </c>
      <c r="F71" s="61" t="s">
        <v>442</v>
      </c>
      <c r="G71" s="71">
        <v>109.0</v>
      </c>
      <c r="H71" s="61" t="s">
        <v>449</v>
      </c>
      <c r="I71" s="67">
        <v>60.0</v>
      </c>
      <c r="J71" s="76">
        <v>1970.0</v>
      </c>
    </row>
    <row r="72">
      <c r="A72" s="61" t="s">
        <v>441</v>
      </c>
      <c r="B72" s="61" t="s">
        <v>394</v>
      </c>
      <c r="C72" s="71">
        <v>45429.0</v>
      </c>
      <c r="D72" s="75">
        <v>44071.0</v>
      </c>
      <c r="E72" s="71">
        <v>8060.0</v>
      </c>
      <c r="F72" s="61" t="s">
        <v>442</v>
      </c>
      <c r="G72" s="71">
        <v>108.0</v>
      </c>
      <c r="H72" s="61" t="s">
        <v>439</v>
      </c>
      <c r="I72" s="67">
        <v>80.0</v>
      </c>
      <c r="J72" s="76">
        <v>2630.0</v>
      </c>
    </row>
    <row r="73">
      <c r="A73" s="61" t="s">
        <v>436</v>
      </c>
      <c r="B73" s="61" t="s">
        <v>437</v>
      </c>
      <c r="C73" s="71">
        <v>28112.0</v>
      </c>
      <c r="D73" s="75">
        <v>44074.0</v>
      </c>
      <c r="E73" s="71">
        <v>8020.0</v>
      </c>
      <c r="F73" s="61" t="s">
        <v>438</v>
      </c>
      <c r="G73" s="71">
        <v>114.0</v>
      </c>
      <c r="H73" s="61" t="s">
        <v>464</v>
      </c>
      <c r="I73" s="67">
        <v>50.0</v>
      </c>
      <c r="J73" s="76">
        <v>1250.0</v>
      </c>
    </row>
    <row r="74">
      <c r="A74" s="61" t="s">
        <v>443</v>
      </c>
      <c r="B74" s="61" t="s">
        <v>437</v>
      </c>
      <c r="C74" s="71">
        <v>68112.0</v>
      </c>
      <c r="D74" s="75">
        <v>44076.0</v>
      </c>
      <c r="E74" s="71">
        <v>8010.0</v>
      </c>
      <c r="F74" s="61" t="s">
        <v>444</v>
      </c>
      <c r="G74" s="71">
        <v>105.0</v>
      </c>
      <c r="H74" s="61" t="s">
        <v>454</v>
      </c>
      <c r="I74" s="67">
        <v>120.0</v>
      </c>
      <c r="J74" s="76">
        <v>1200.0</v>
      </c>
    </row>
    <row r="75">
      <c r="A75" s="61" t="s">
        <v>443</v>
      </c>
      <c r="B75" s="61" t="s">
        <v>437</v>
      </c>
      <c r="C75" s="71">
        <v>65627.0</v>
      </c>
      <c r="D75" s="75">
        <v>44076.0</v>
      </c>
      <c r="E75" s="71">
        <v>8020.0</v>
      </c>
      <c r="F75" s="61" t="s">
        <v>438</v>
      </c>
      <c r="G75" s="71">
        <v>104.0</v>
      </c>
      <c r="H75" s="61" t="s">
        <v>455</v>
      </c>
      <c r="I75" s="67">
        <v>160.0</v>
      </c>
      <c r="J75" s="76">
        <v>1920.0</v>
      </c>
    </row>
    <row r="76">
      <c r="A76" s="61" t="s">
        <v>443</v>
      </c>
      <c r="B76" s="61" t="s">
        <v>437</v>
      </c>
      <c r="C76" s="71">
        <v>68099.0</v>
      </c>
      <c r="D76" s="75">
        <v>44078.0</v>
      </c>
      <c r="E76" s="71">
        <v>8020.0</v>
      </c>
      <c r="F76" s="61" t="s">
        <v>438</v>
      </c>
      <c r="G76" s="71">
        <v>105.0</v>
      </c>
      <c r="H76" s="61" t="s">
        <v>454</v>
      </c>
      <c r="I76" s="67">
        <v>140.0</v>
      </c>
      <c r="J76" s="76">
        <v>1400.0</v>
      </c>
    </row>
    <row r="77">
      <c r="A77" s="61" t="s">
        <v>436</v>
      </c>
      <c r="B77" s="61" t="s">
        <v>437</v>
      </c>
      <c r="C77" s="71">
        <v>28112.0</v>
      </c>
      <c r="D77" s="75">
        <v>44078.0</v>
      </c>
      <c r="E77" s="71">
        <v>8020.0</v>
      </c>
      <c r="F77" s="61" t="s">
        <v>438</v>
      </c>
      <c r="G77" s="71">
        <v>102.0</v>
      </c>
      <c r="H77" s="61" t="s">
        <v>462</v>
      </c>
      <c r="I77" s="67">
        <v>70.0</v>
      </c>
      <c r="J77" s="76">
        <v>840.0</v>
      </c>
    </row>
    <row r="78">
      <c r="A78" s="61" t="s">
        <v>436</v>
      </c>
      <c r="B78" s="61" t="s">
        <v>437</v>
      </c>
      <c r="C78" s="71">
        <v>25442.0</v>
      </c>
      <c r="D78" s="75">
        <v>44078.0</v>
      </c>
      <c r="E78" s="71">
        <v>8010.0</v>
      </c>
      <c r="F78" s="61" t="s">
        <v>444</v>
      </c>
      <c r="G78" s="71">
        <v>116.0</v>
      </c>
      <c r="H78" s="61" t="s">
        <v>465</v>
      </c>
      <c r="I78" s="67">
        <v>60.0</v>
      </c>
      <c r="J78" s="76">
        <v>360.0</v>
      </c>
    </row>
    <row r="79">
      <c r="A79" s="61" t="s">
        <v>436</v>
      </c>
      <c r="B79" s="61" t="s">
        <v>437</v>
      </c>
      <c r="C79" s="71">
        <v>24030.0</v>
      </c>
      <c r="D79" s="75">
        <v>44082.0</v>
      </c>
      <c r="E79" s="71">
        <v>8020.0</v>
      </c>
      <c r="F79" s="61" t="s">
        <v>438</v>
      </c>
      <c r="G79" s="71">
        <v>102.0</v>
      </c>
      <c r="H79" s="61" t="s">
        <v>462</v>
      </c>
      <c r="I79" s="67">
        <v>30.0</v>
      </c>
      <c r="J79" s="76">
        <v>360.0</v>
      </c>
    </row>
    <row r="80">
      <c r="A80" s="61" t="s">
        <v>436</v>
      </c>
      <c r="B80" s="61" t="s">
        <v>437</v>
      </c>
      <c r="C80" s="71">
        <v>24031.0</v>
      </c>
      <c r="D80" s="75">
        <v>44085.0</v>
      </c>
      <c r="E80" s="71">
        <v>8020.0</v>
      </c>
      <c r="F80" s="61" t="s">
        <v>438</v>
      </c>
      <c r="G80" s="71">
        <v>101.0</v>
      </c>
      <c r="H80" s="61" t="s">
        <v>458</v>
      </c>
      <c r="I80" s="67">
        <v>100.0</v>
      </c>
      <c r="J80" s="76">
        <v>1200.0</v>
      </c>
    </row>
    <row r="81">
      <c r="A81" s="61" t="s">
        <v>436</v>
      </c>
      <c r="B81" s="61" t="s">
        <v>437</v>
      </c>
      <c r="C81" s="71">
        <v>25442.0</v>
      </c>
      <c r="D81" s="75">
        <v>44085.0</v>
      </c>
      <c r="E81" s="71">
        <v>8010.0</v>
      </c>
      <c r="F81" s="61" t="s">
        <v>444</v>
      </c>
      <c r="G81" s="71">
        <v>118.0</v>
      </c>
      <c r="H81" s="61" t="s">
        <v>460</v>
      </c>
      <c r="I81" s="67">
        <v>70.0</v>
      </c>
      <c r="J81" s="76">
        <v>1260.0</v>
      </c>
    </row>
    <row r="82">
      <c r="A82" s="61" t="s">
        <v>443</v>
      </c>
      <c r="B82" s="61" t="s">
        <v>437</v>
      </c>
      <c r="C82" s="71">
        <v>65662.0</v>
      </c>
      <c r="D82" s="75">
        <v>44088.0</v>
      </c>
      <c r="E82" s="71">
        <v>8020.0</v>
      </c>
      <c r="F82" s="61" t="s">
        <v>438</v>
      </c>
      <c r="G82" s="71">
        <v>103.0</v>
      </c>
      <c r="H82" s="61" t="s">
        <v>445</v>
      </c>
      <c r="I82" s="67">
        <v>120.0</v>
      </c>
      <c r="J82" s="76">
        <v>1440.0</v>
      </c>
    </row>
    <row r="83">
      <c r="A83" s="61" t="s">
        <v>436</v>
      </c>
      <c r="B83" s="61" t="s">
        <v>437</v>
      </c>
      <c r="C83" s="71">
        <v>24030.0</v>
      </c>
      <c r="D83" s="75">
        <v>44088.0</v>
      </c>
      <c r="E83" s="71">
        <v>8020.0</v>
      </c>
      <c r="F83" s="61" t="s">
        <v>438</v>
      </c>
      <c r="G83" s="71">
        <v>101.0</v>
      </c>
      <c r="H83" s="61" t="s">
        <v>458</v>
      </c>
      <c r="I83" s="67">
        <v>130.0</v>
      </c>
      <c r="J83" s="76">
        <v>1560.0</v>
      </c>
    </row>
    <row r="84">
      <c r="A84" s="61" t="s">
        <v>441</v>
      </c>
      <c r="B84" s="61" t="s">
        <v>394</v>
      </c>
      <c r="C84" s="71">
        <v>44017.0</v>
      </c>
      <c r="D84" s="75">
        <v>44088.0</v>
      </c>
      <c r="E84" s="71">
        <v>8060.0</v>
      </c>
      <c r="F84" s="61" t="s">
        <v>442</v>
      </c>
      <c r="G84" s="71">
        <v>109.0</v>
      </c>
      <c r="H84" s="61" t="s">
        <v>449</v>
      </c>
      <c r="I84" s="67">
        <v>70.0</v>
      </c>
      <c r="J84" s="76">
        <v>2300.0</v>
      </c>
    </row>
    <row r="85">
      <c r="A85" s="61" t="s">
        <v>436</v>
      </c>
      <c r="B85" s="61" t="s">
        <v>437</v>
      </c>
      <c r="C85" s="71">
        <v>25442.0</v>
      </c>
      <c r="D85" s="75">
        <v>44090.0</v>
      </c>
      <c r="E85" s="71">
        <v>8010.0</v>
      </c>
      <c r="F85" s="61" t="s">
        <v>444</v>
      </c>
      <c r="G85" s="71">
        <v>101.0</v>
      </c>
      <c r="H85" s="61" t="s">
        <v>458</v>
      </c>
      <c r="I85" s="67">
        <v>40.0</v>
      </c>
      <c r="J85" s="76">
        <v>480.0</v>
      </c>
    </row>
    <row r="86">
      <c r="A86" s="61" t="s">
        <v>443</v>
      </c>
      <c r="B86" s="61" t="s">
        <v>437</v>
      </c>
      <c r="C86" s="71">
        <v>68116.0</v>
      </c>
      <c r="D86" s="75">
        <v>44091.0</v>
      </c>
      <c r="E86" s="71">
        <v>8020.0</v>
      </c>
      <c r="F86" s="61" t="s">
        <v>438</v>
      </c>
      <c r="G86" s="71">
        <v>104.0</v>
      </c>
      <c r="H86" s="61" t="s">
        <v>455</v>
      </c>
      <c r="I86" s="67">
        <v>150.0</v>
      </c>
      <c r="J86" s="76">
        <v>1800.0</v>
      </c>
    </row>
    <row r="87">
      <c r="A87" s="61" t="s">
        <v>443</v>
      </c>
      <c r="B87" s="61" t="s">
        <v>437</v>
      </c>
      <c r="C87" s="71">
        <v>68097.0</v>
      </c>
      <c r="D87" s="75">
        <v>44092.0</v>
      </c>
      <c r="E87" s="71">
        <v>8010.0</v>
      </c>
      <c r="F87" s="61" t="s">
        <v>444</v>
      </c>
      <c r="G87" s="71">
        <v>104.0</v>
      </c>
      <c r="H87" s="61" t="s">
        <v>455</v>
      </c>
      <c r="I87" s="67">
        <v>140.0</v>
      </c>
      <c r="J87" s="76">
        <v>1680.0</v>
      </c>
    </row>
    <row r="88">
      <c r="A88" s="61" t="s">
        <v>441</v>
      </c>
      <c r="B88" s="61" t="s">
        <v>394</v>
      </c>
      <c r="C88" s="71">
        <v>48114.0</v>
      </c>
      <c r="D88" s="75">
        <v>44094.0</v>
      </c>
      <c r="E88" s="71">
        <v>8050.0</v>
      </c>
      <c r="F88" s="61" t="s">
        <v>452</v>
      </c>
      <c r="G88" s="71">
        <v>111.0</v>
      </c>
      <c r="H88" s="61" t="s">
        <v>463</v>
      </c>
      <c r="I88" s="67">
        <v>80.0</v>
      </c>
      <c r="J88" s="76">
        <v>1880.0</v>
      </c>
    </row>
    <row r="89">
      <c r="A89" s="61" t="s">
        <v>441</v>
      </c>
      <c r="B89" s="61" t="s">
        <v>394</v>
      </c>
      <c r="C89" s="71">
        <v>44016.0</v>
      </c>
      <c r="D89" s="75">
        <v>44096.0</v>
      </c>
      <c r="E89" s="71">
        <v>8050.0</v>
      </c>
      <c r="F89" s="61" t="s">
        <v>452</v>
      </c>
      <c r="G89" s="71">
        <v>109.0</v>
      </c>
      <c r="H89" s="61" t="s">
        <v>449</v>
      </c>
      <c r="I89" s="67">
        <v>60.0</v>
      </c>
      <c r="J89" s="76">
        <v>1970.0</v>
      </c>
    </row>
    <row r="90">
      <c r="A90" s="61" t="s">
        <v>441</v>
      </c>
      <c r="B90" s="61" t="s">
        <v>394</v>
      </c>
      <c r="C90" s="71">
        <v>45427.0</v>
      </c>
      <c r="D90" s="75">
        <v>44100.0</v>
      </c>
      <c r="E90" s="71">
        <v>8050.0</v>
      </c>
      <c r="F90" s="61" t="s">
        <v>452</v>
      </c>
      <c r="G90" s="71">
        <v>108.0</v>
      </c>
      <c r="H90" s="61" t="s">
        <v>439</v>
      </c>
      <c r="I90" s="67">
        <v>70.0</v>
      </c>
      <c r="J90" s="76">
        <v>2300.0</v>
      </c>
    </row>
    <row r="91">
      <c r="A91" s="61" t="s">
        <v>441</v>
      </c>
      <c r="B91" s="61" t="s">
        <v>394</v>
      </c>
      <c r="C91" s="71">
        <v>44030.0</v>
      </c>
      <c r="D91" s="75">
        <v>44101.0</v>
      </c>
      <c r="E91" s="71">
        <v>8060.0</v>
      </c>
      <c r="F91" s="61" t="s">
        <v>442</v>
      </c>
      <c r="G91" s="71">
        <v>109.0</v>
      </c>
      <c r="H91" s="61" t="s">
        <v>449</v>
      </c>
      <c r="I91" s="67">
        <v>60.0</v>
      </c>
      <c r="J91" s="76">
        <v>1970.0</v>
      </c>
    </row>
    <row r="92">
      <c r="A92" s="61" t="s">
        <v>436</v>
      </c>
      <c r="B92" s="61" t="s">
        <v>437</v>
      </c>
      <c r="C92" s="71">
        <v>28112.0</v>
      </c>
      <c r="D92" s="75">
        <v>44102.0</v>
      </c>
      <c r="E92" s="71">
        <v>8020.0</v>
      </c>
      <c r="F92" s="61" t="s">
        <v>438</v>
      </c>
      <c r="G92" s="71">
        <v>117.0</v>
      </c>
      <c r="H92" s="61" t="s">
        <v>461</v>
      </c>
      <c r="I92" s="67">
        <v>80.0</v>
      </c>
      <c r="J92" s="76">
        <v>1440.0</v>
      </c>
    </row>
    <row r="93">
      <c r="A93" s="61" t="s">
        <v>441</v>
      </c>
      <c r="B93" s="61" t="s">
        <v>394</v>
      </c>
      <c r="C93" s="71">
        <v>45442.0</v>
      </c>
      <c r="D93" s="75">
        <v>44102.0</v>
      </c>
      <c r="E93" s="71">
        <v>8050.0</v>
      </c>
      <c r="F93" s="61" t="s">
        <v>452</v>
      </c>
      <c r="G93" s="71">
        <v>108.0</v>
      </c>
      <c r="H93" s="61" t="s">
        <v>439</v>
      </c>
      <c r="I93" s="67">
        <v>50.0</v>
      </c>
      <c r="J93" s="76">
        <v>1640.0</v>
      </c>
    </row>
    <row r="94">
      <c r="A94" s="61" t="s">
        <v>443</v>
      </c>
      <c r="B94" s="61" t="s">
        <v>437</v>
      </c>
      <c r="C94" s="71">
        <v>66016.0</v>
      </c>
      <c r="D94" s="75">
        <v>44105.0</v>
      </c>
      <c r="E94" s="71">
        <v>8020.0</v>
      </c>
      <c r="F94" s="61" t="s">
        <v>438</v>
      </c>
      <c r="G94" s="71">
        <v>105.0</v>
      </c>
      <c r="H94" s="61" t="s">
        <v>454</v>
      </c>
      <c r="I94" s="67">
        <v>120.0</v>
      </c>
      <c r="J94" s="76">
        <v>1200.0</v>
      </c>
    </row>
    <row r="95">
      <c r="A95" s="61" t="s">
        <v>441</v>
      </c>
      <c r="B95" s="61" t="s">
        <v>394</v>
      </c>
      <c r="C95" s="71">
        <v>48099.0</v>
      </c>
      <c r="D95" s="75">
        <v>44105.0</v>
      </c>
      <c r="E95" s="71">
        <v>8050.0</v>
      </c>
      <c r="F95" s="61" t="s">
        <v>452</v>
      </c>
      <c r="G95" s="71">
        <v>111.0</v>
      </c>
      <c r="H95" s="61" t="s">
        <v>463</v>
      </c>
      <c r="I95" s="67">
        <v>60.0</v>
      </c>
      <c r="J95" s="76">
        <v>1410.0</v>
      </c>
    </row>
    <row r="96">
      <c r="A96" s="61" t="s">
        <v>443</v>
      </c>
      <c r="B96" s="61" t="s">
        <v>437</v>
      </c>
      <c r="C96" s="71">
        <v>68116.0</v>
      </c>
      <c r="D96" s="75">
        <v>44106.0</v>
      </c>
      <c r="E96" s="71">
        <v>8010.0</v>
      </c>
      <c r="F96" s="61" t="s">
        <v>444</v>
      </c>
      <c r="G96" s="71">
        <v>104.0</v>
      </c>
      <c r="H96" s="61" t="s">
        <v>455</v>
      </c>
      <c r="I96" s="67">
        <v>160.0</v>
      </c>
      <c r="J96" s="76">
        <v>1920.0</v>
      </c>
    </row>
    <row r="97">
      <c r="A97" s="61" t="s">
        <v>443</v>
      </c>
      <c r="B97" s="61" t="s">
        <v>437</v>
      </c>
      <c r="C97" s="71">
        <v>66015.0</v>
      </c>
      <c r="D97" s="75">
        <v>44107.0</v>
      </c>
      <c r="E97" s="71">
        <v>8010.0</v>
      </c>
      <c r="F97" s="61" t="s">
        <v>444</v>
      </c>
      <c r="G97" s="71">
        <v>103.0</v>
      </c>
      <c r="H97" s="61" t="s">
        <v>445</v>
      </c>
      <c r="I97" s="67">
        <v>140.0</v>
      </c>
      <c r="J97" s="76">
        <v>1680.0</v>
      </c>
    </row>
    <row r="98">
      <c r="A98" s="61" t="s">
        <v>443</v>
      </c>
      <c r="B98" s="61" t="s">
        <v>437</v>
      </c>
      <c r="C98" s="71">
        <v>68116.0</v>
      </c>
      <c r="D98" s="75">
        <v>44109.0</v>
      </c>
      <c r="E98" s="71">
        <v>8020.0</v>
      </c>
      <c r="F98" s="61" t="s">
        <v>438</v>
      </c>
      <c r="G98" s="71">
        <v>107.0</v>
      </c>
      <c r="H98" s="61" t="s">
        <v>456</v>
      </c>
      <c r="I98" s="67">
        <v>160.0</v>
      </c>
      <c r="J98" s="76">
        <v>800.0</v>
      </c>
    </row>
    <row r="99">
      <c r="A99" s="61" t="s">
        <v>443</v>
      </c>
      <c r="B99" s="61" t="s">
        <v>437</v>
      </c>
      <c r="C99" s="71">
        <v>68101.0</v>
      </c>
      <c r="D99" s="75">
        <v>44109.0</v>
      </c>
      <c r="E99" s="71">
        <v>8010.0</v>
      </c>
      <c r="F99" s="61" t="s">
        <v>444</v>
      </c>
      <c r="G99" s="71">
        <v>104.0</v>
      </c>
      <c r="H99" s="61" t="s">
        <v>455</v>
      </c>
      <c r="I99" s="67">
        <v>190.0</v>
      </c>
      <c r="J99" s="76">
        <v>2280.0</v>
      </c>
    </row>
    <row r="100">
      <c r="A100" s="61" t="s">
        <v>441</v>
      </c>
      <c r="B100" s="61" t="s">
        <v>394</v>
      </c>
      <c r="C100" s="71">
        <v>44030.0</v>
      </c>
      <c r="D100" s="75">
        <v>44109.0</v>
      </c>
      <c r="E100" s="71">
        <v>8060.0</v>
      </c>
      <c r="F100" s="61" t="s">
        <v>442</v>
      </c>
      <c r="G100" s="71">
        <v>108.0</v>
      </c>
      <c r="H100" s="61" t="s">
        <v>439</v>
      </c>
      <c r="I100" s="67">
        <v>60.0</v>
      </c>
      <c r="J100" s="76">
        <v>1970.0</v>
      </c>
    </row>
    <row r="101">
      <c r="A101" s="61" t="s">
        <v>443</v>
      </c>
      <c r="B101" s="61" t="s">
        <v>437</v>
      </c>
      <c r="C101" s="71">
        <v>65627.0</v>
      </c>
      <c r="D101" s="75">
        <v>44111.0</v>
      </c>
      <c r="E101" s="71">
        <v>8020.0</v>
      </c>
      <c r="F101" s="61" t="s">
        <v>438</v>
      </c>
      <c r="G101" s="71">
        <v>103.0</v>
      </c>
      <c r="H101" s="61" t="s">
        <v>445</v>
      </c>
      <c r="I101" s="67">
        <v>140.0</v>
      </c>
      <c r="J101" s="76">
        <v>1680.0</v>
      </c>
    </row>
    <row r="102">
      <c r="A102" s="61" t="s">
        <v>441</v>
      </c>
      <c r="B102" s="61" t="s">
        <v>394</v>
      </c>
      <c r="C102" s="71">
        <v>45446.0</v>
      </c>
      <c r="D102" s="75">
        <v>44111.0</v>
      </c>
      <c r="E102" s="71">
        <v>8050.0</v>
      </c>
      <c r="F102" s="61" t="s">
        <v>452</v>
      </c>
      <c r="G102" s="71">
        <v>111.0</v>
      </c>
      <c r="H102" s="61" t="s">
        <v>463</v>
      </c>
      <c r="I102" s="67">
        <v>80.0</v>
      </c>
      <c r="J102" s="76">
        <v>1880.0</v>
      </c>
    </row>
    <row r="103">
      <c r="A103" s="61" t="s">
        <v>443</v>
      </c>
      <c r="B103" s="61" t="s">
        <v>437</v>
      </c>
      <c r="C103" s="71">
        <v>65629.0</v>
      </c>
      <c r="D103" s="75">
        <v>44113.0</v>
      </c>
      <c r="E103" s="71">
        <v>8010.0</v>
      </c>
      <c r="F103" s="61" t="s">
        <v>444</v>
      </c>
      <c r="G103" s="71">
        <v>103.0</v>
      </c>
      <c r="H103" s="61" t="s">
        <v>445</v>
      </c>
      <c r="I103" s="67">
        <v>190.0</v>
      </c>
      <c r="J103" s="76">
        <v>2280.0</v>
      </c>
    </row>
    <row r="104">
      <c r="A104" s="61" t="s">
        <v>441</v>
      </c>
      <c r="B104" s="61" t="s">
        <v>394</v>
      </c>
      <c r="C104" s="71">
        <v>48114.0</v>
      </c>
      <c r="D104" s="75">
        <v>44113.0</v>
      </c>
      <c r="E104" s="71">
        <v>8050.0</v>
      </c>
      <c r="F104" s="61" t="s">
        <v>452</v>
      </c>
      <c r="G104" s="71">
        <v>110.0</v>
      </c>
      <c r="H104" s="61" t="s">
        <v>447</v>
      </c>
      <c r="I104" s="67">
        <v>60.0</v>
      </c>
      <c r="J104" s="76">
        <v>4230.0</v>
      </c>
    </row>
    <row r="105">
      <c r="A105" s="61" t="s">
        <v>436</v>
      </c>
      <c r="B105" s="61" t="s">
        <v>437</v>
      </c>
      <c r="C105" s="71">
        <v>24030.0</v>
      </c>
      <c r="D105" s="75">
        <v>44115.0</v>
      </c>
      <c r="E105" s="71">
        <v>8020.0</v>
      </c>
      <c r="F105" s="61" t="s">
        <v>438</v>
      </c>
      <c r="G105" s="71">
        <v>108.0</v>
      </c>
      <c r="H105" s="61" t="s">
        <v>439</v>
      </c>
      <c r="I105" s="67">
        <v>80.0</v>
      </c>
      <c r="J105" s="76">
        <v>2240.0</v>
      </c>
    </row>
    <row r="106">
      <c r="A106" s="61" t="s">
        <v>441</v>
      </c>
      <c r="B106" s="61" t="s">
        <v>394</v>
      </c>
      <c r="C106" s="71">
        <v>48114.0</v>
      </c>
      <c r="D106" s="75">
        <v>44115.0</v>
      </c>
      <c r="E106" s="71">
        <v>8050.0</v>
      </c>
      <c r="F106" s="61" t="s">
        <v>452</v>
      </c>
      <c r="G106" s="71">
        <v>109.0</v>
      </c>
      <c r="H106" s="61" t="s">
        <v>449</v>
      </c>
      <c r="I106" s="67">
        <v>60.0</v>
      </c>
      <c r="J106" s="76">
        <v>1970.0</v>
      </c>
    </row>
    <row r="107">
      <c r="A107" s="61" t="s">
        <v>436</v>
      </c>
      <c r="B107" s="61" t="s">
        <v>437</v>
      </c>
      <c r="C107" s="71">
        <v>25442.0</v>
      </c>
      <c r="D107" s="75">
        <v>44078.0</v>
      </c>
      <c r="E107" s="71">
        <v>8010.0</v>
      </c>
      <c r="F107" s="61" t="s">
        <v>444</v>
      </c>
      <c r="G107" s="71">
        <v>116.0</v>
      </c>
      <c r="H107" s="61" t="s">
        <v>465</v>
      </c>
      <c r="I107" s="67">
        <v>60.0</v>
      </c>
      <c r="J107" s="76">
        <v>360.0</v>
      </c>
    </row>
  </sheetData>
  <drawing r:id="rId1"/>
</worksheet>
</file>