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lntcon-my.sharepoint.com/personal/sanyam_garg_lntecc_com/Documents/Desktop/New folder/"/>
    </mc:Choice>
  </mc:AlternateContent>
  <xr:revisionPtr revIDLastSave="494" documentId="8_{D9F884EB-7C1C-44F5-B7F1-6DD2EDECD44A}" xr6:coauthVersionLast="47" xr6:coauthVersionMax="47" xr10:uidLastSave="{DA36176D-7B61-4DB2-9B10-E5BE0EF1C270}"/>
  <bookViews>
    <workbookView xWindow="-110" yWindow="-110" windowWidth="19420" windowHeight="10420" xr2:uid="{00000000-000D-0000-FFFF-FFFF00000000}"/>
  </bookViews>
  <sheets>
    <sheet name="Pin End" sheetId="1" r:id="rId1"/>
    <sheet name="(6e&lt;=L) Fixed End Case" sheetId="3" r:id="rId2"/>
    <sheet name="(3e&gt;L) Fixed end case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2" l="1"/>
  <c r="F49" i="2"/>
  <c r="S10" i="2"/>
  <c r="S9" i="2"/>
  <c r="S8" i="2"/>
  <c r="S7" i="2"/>
  <c r="N20" i="3"/>
  <c r="N18" i="3"/>
  <c r="Q70" i="1"/>
  <c r="P35" i="1"/>
  <c r="F65" i="3"/>
  <c r="F66" i="3" s="1"/>
  <c r="F58" i="3"/>
  <c r="F59" i="3" s="1"/>
  <c r="F72" i="3" s="1"/>
  <c r="F67" i="3"/>
  <c r="F39" i="3"/>
  <c r="F40" i="3" s="1"/>
  <c r="F43" i="3" s="1"/>
  <c r="F31" i="3"/>
  <c r="F12" i="3"/>
  <c r="F47" i="3" s="1"/>
  <c r="F15" i="3"/>
  <c r="F79" i="2"/>
  <c r="F80" i="2" s="1"/>
  <c r="F71" i="2"/>
  <c r="F72" i="2" s="1"/>
  <c r="F12" i="2"/>
  <c r="F47" i="2"/>
  <c r="F45" i="2"/>
  <c r="F35" i="2"/>
  <c r="F48" i="1"/>
  <c r="F41" i="1"/>
  <c r="F42" i="1" s="1"/>
  <c r="F49" i="1"/>
  <c r="F78" i="1"/>
  <c r="F77" i="1"/>
  <c r="F70" i="1"/>
  <c r="F71" i="1" s="1"/>
  <c r="F22" i="1"/>
  <c r="F19" i="2"/>
  <c r="F68" i="3" l="1"/>
  <c r="N19" i="3"/>
  <c r="F73" i="3"/>
  <c r="N21" i="3" s="1"/>
  <c r="F48" i="2"/>
  <c r="F44" i="3"/>
  <c r="F46" i="3" s="1"/>
  <c r="F41" i="3"/>
  <c r="F63" i="2"/>
  <c r="F66" i="2" s="1"/>
  <c r="F81" i="2"/>
  <c r="F82" i="2" s="1"/>
  <c r="F53" i="2"/>
  <c r="F52" i="2" s="1"/>
  <c r="F64" i="2" s="1"/>
  <c r="F50" i="1"/>
  <c r="F79" i="1"/>
  <c r="M59" i="1"/>
  <c r="M58" i="1"/>
  <c r="F25" i="1"/>
  <c r="F26" i="1" s="1"/>
  <c r="F45" i="3" l="1"/>
  <c r="F48" i="3" s="1"/>
  <c r="F49" i="3" s="1"/>
  <c r="F50" i="3" s="1"/>
  <c r="N17" i="3" s="1"/>
  <c r="H52" i="2"/>
  <c r="F54" i="2"/>
  <c r="H67" i="2"/>
  <c r="M60" i="1"/>
  <c r="M62" i="1" s="1"/>
  <c r="F29" i="1"/>
  <c r="F69" i="3" l="1"/>
  <c r="F32" i="1"/>
  <c r="P33" i="1"/>
  <c r="P34" i="1" s="1"/>
  <c r="F55" i="2"/>
  <c r="F83" i="2" s="1"/>
  <c r="M61" i="1"/>
  <c r="M63" i="1" s="1"/>
  <c r="H32" i="1"/>
  <c r="F30" i="1"/>
  <c r="F31" i="1"/>
  <c r="F86" i="2" l="1"/>
  <c r="F87" i="2" s="1"/>
  <c r="S11" i="2" s="1"/>
  <c r="S6" i="2"/>
  <c r="F33" i="1"/>
  <c r="F59" i="1"/>
  <c r="Q69" i="1" s="1"/>
  <c r="F60" i="1"/>
  <c r="Q68" i="1" s="1"/>
  <c r="F51" i="1" l="1"/>
  <c r="F54" i="1" s="1"/>
  <c r="F55" i="1" s="1"/>
  <c r="P36" i="1" s="1"/>
  <c r="P32" i="1"/>
  <c r="H33" i="1"/>
  <c r="F61" i="1"/>
  <c r="F62" i="1" s="1"/>
  <c r="Q67" i="1" s="1"/>
  <c r="H62" i="1" l="1"/>
  <c r="F80" i="1"/>
  <c r="F83" i="1" s="1"/>
  <c r="F84" i="1" s="1"/>
  <c r="Q71" i="1" s="1"/>
  <c r="H61" i="1"/>
</calcChain>
</file>

<file path=xl/sharedStrings.xml><?xml version="1.0" encoding="utf-8"?>
<sst xmlns="http://schemas.openxmlformats.org/spreadsheetml/2006/main" count="332" uniqueCount="143">
  <si>
    <t>Case 1</t>
  </si>
  <si>
    <t>DATA NEEDED</t>
  </si>
  <si>
    <t>N/mm2</t>
  </si>
  <si>
    <t>N</t>
  </si>
  <si>
    <t>mm2</t>
  </si>
  <si>
    <t>Case 1.1(Square Plate selection)</t>
  </si>
  <si>
    <t>mm</t>
  </si>
  <si>
    <t>Actual Pressure Intensity=Pu/Actual Area</t>
  </si>
  <si>
    <t>Thickness of base plate(ts)</t>
  </si>
  <si>
    <t>Length of section(h)</t>
  </si>
  <si>
    <t>Width of section(bf)</t>
  </si>
  <si>
    <t>Factored Load (Pu)</t>
  </si>
  <si>
    <t>Steel Yield strength(fy)</t>
  </si>
  <si>
    <t>Bearing strength of concrete</t>
  </si>
  <si>
    <t>Bigger Projection(a)</t>
  </si>
  <si>
    <t xml:space="preserve"> </t>
  </si>
  <si>
    <t>Case 1.2 (If Projections are Kept Equal(a=b)</t>
  </si>
  <si>
    <t>a</t>
  </si>
  <si>
    <t>b</t>
  </si>
  <si>
    <t>c</t>
  </si>
  <si>
    <t>Y=ax^2+bx+c</t>
  </si>
  <si>
    <t>X1</t>
  </si>
  <si>
    <t>X2</t>
  </si>
  <si>
    <t>Positive root</t>
  </si>
  <si>
    <t>KN-m</t>
  </si>
  <si>
    <t>KN</t>
  </si>
  <si>
    <t>DESIGNING</t>
  </si>
  <si>
    <t>Compressive strength of concrete(fck)</t>
  </si>
  <si>
    <t>Factored Load(P)</t>
  </si>
  <si>
    <t>Area(A)</t>
  </si>
  <si>
    <t>mm3</t>
  </si>
  <si>
    <t>Maximum Pressure(Pmax)</t>
  </si>
  <si>
    <t>Calculated values</t>
  </si>
  <si>
    <t>Inserted values</t>
  </si>
  <si>
    <t>Bolt Diameter</t>
  </si>
  <si>
    <t>Factored Shear Force acting on slab base bolts</t>
  </si>
  <si>
    <t>1.Shear capacity of bolt</t>
  </si>
  <si>
    <r>
      <t>Required Area of Plate(</t>
    </r>
    <r>
      <rPr>
        <b/>
        <sz val="12"/>
        <color theme="1"/>
        <rFont val="Calibri"/>
        <family val="2"/>
        <scheme val="minor"/>
      </rPr>
      <t>A</t>
    </r>
    <r>
      <rPr>
        <b/>
        <sz val="10"/>
        <color theme="1"/>
        <rFont val="Calibri"/>
        <family val="2"/>
        <scheme val="minor"/>
      </rPr>
      <t>re)</t>
    </r>
  </si>
  <si>
    <t>Yield strength of bolt</t>
  </si>
  <si>
    <t>Hole Diameter</t>
  </si>
  <si>
    <t>Clearance</t>
  </si>
  <si>
    <t>Bolt Dia(mm)</t>
  </si>
  <si>
    <t>12 to 14</t>
  </si>
  <si>
    <t>16 to 24</t>
  </si>
  <si>
    <t>&gt;24</t>
  </si>
  <si>
    <t>2.Bearing capacity of bolt</t>
  </si>
  <si>
    <t>Ultimate strength of Bolt(fub)(N/mm2)</t>
  </si>
  <si>
    <t>Ultimate strength of steel plate(fu)(N/mm2)</t>
  </si>
  <si>
    <t>Partial safety factor of bolt Material(Ymb)</t>
  </si>
  <si>
    <t>Minimum Pitch(P)</t>
  </si>
  <si>
    <t xml:space="preserve">Minimum End Distance </t>
  </si>
  <si>
    <t>DESIGN OF BOLT CONNECTION AT BASE PLATE</t>
  </si>
  <si>
    <t>Thickness of Slab plate(ts)</t>
  </si>
  <si>
    <t>Kb=Min(e/3do, P/3do-0.25, fub/fu)</t>
  </si>
  <si>
    <t>Net area of Bolt(Anb)</t>
  </si>
  <si>
    <t>Design Shear capacity of bolt(Vdsb=fub(Anb*n)/(Ymb*(3^0.5)</t>
  </si>
  <si>
    <t>Design Bearing Capacity(Vdpb=2.5*Kb*d*t*fu/Ymb)</t>
  </si>
  <si>
    <t>Bolt Strength</t>
  </si>
  <si>
    <t>Thickness of column(t)</t>
  </si>
  <si>
    <t>Yield strength of bolt(fy)</t>
  </si>
  <si>
    <t>Ultimate strength of Steel(fu)(N/mm2)</t>
  </si>
  <si>
    <t>Bolt Diameter(d)</t>
  </si>
  <si>
    <t>Length(L)</t>
  </si>
  <si>
    <t>Factored Moment(Mx)</t>
  </si>
  <si>
    <t>Distance of bolt from centre(a)</t>
  </si>
  <si>
    <t>Factored Load(P)=0.45fck*x*w-fb</t>
  </si>
  <si>
    <t>Factored Moment(Mx)=0.45fck*x*w(L/2-x/2)+fb*a</t>
  </si>
  <si>
    <t>Part over compression acting(x)</t>
  </si>
  <si>
    <t>1.INPUT PARAMETERS</t>
  </si>
  <si>
    <t>Factored Shear force(Fx)</t>
  </si>
  <si>
    <t>Factored Shear force(Fz)</t>
  </si>
  <si>
    <t>Resultant shear force(R)</t>
  </si>
  <si>
    <t>BOLT PROPERTIES</t>
  </si>
  <si>
    <t>Depth of section(d)</t>
  </si>
  <si>
    <t>Selected section</t>
  </si>
  <si>
    <t>Design Shear capacity of bolt(Vdsb=fub*(Anb*n)/(Ymb*(3^0.5)</t>
  </si>
  <si>
    <t>Hole Diameter(do)</t>
  </si>
  <si>
    <t>Hole Diameter(d0)</t>
  </si>
  <si>
    <t>1.Tensile capacity of bolt</t>
  </si>
  <si>
    <t>Tensile strength of All bolts on tension side=Tensile strength of one bolt*no of bolt</t>
  </si>
  <si>
    <t>CALCULATION FOR BOLT VALUE AND COMPRESSION FLANGE</t>
  </si>
  <si>
    <t>Projected part outside the column boundary(a)</t>
  </si>
  <si>
    <t>Number of Bolts Provided in Tension Side</t>
  </si>
  <si>
    <t>Minimum End Distance €</t>
  </si>
  <si>
    <t>2.Shear capacity of single bolt</t>
  </si>
  <si>
    <t>3.Bearing capacity of single bolt</t>
  </si>
  <si>
    <t>Resultant Shear Force(F)</t>
  </si>
  <si>
    <t>Minimum Pressure(Pmax)</t>
  </si>
  <si>
    <t>Base Pressure at x-x section</t>
  </si>
  <si>
    <t>Nmm</t>
  </si>
  <si>
    <t>2.Bearing capacity of single bolt</t>
  </si>
  <si>
    <t>1.Shear capacity of single bolt</t>
  </si>
  <si>
    <t>Bolt strength</t>
  </si>
  <si>
    <t>Number of Total bolt required to resist shear= Shear force/Shear strength</t>
  </si>
  <si>
    <t>FINAL RESULTS</t>
  </si>
  <si>
    <t>Width of Base Plate(w)</t>
  </si>
  <si>
    <t>Length of Base Plate(L)</t>
  </si>
  <si>
    <t>Bolt diameter</t>
  </si>
  <si>
    <t>No of Bolt Required</t>
  </si>
  <si>
    <t>Thickness(t)</t>
  </si>
  <si>
    <t>Smaller Projection(b)</t>
  </si>
  <si>
    <t>Number of bolt required</t>
  </si>
  <si>
    <t>Breadth(w)</t>
  </si>
  <si>
    <t>Tension force coming on bolts OR Tension force(fb)</t>
  </si>
  <si>
    <t xml:space="preserve"> No of Bolt Required to resist shear</t>
  </si>
  <si>
    <r>
      <t>Maximum Bending Moment at column end(M</t>
    </r>
    <r>
      <rPr>
        <b/>
        <sz val="8"/>
        <color theme="1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>)=0.45fck*x*w*(c-(x/2))</t>
    </r>
  </si>
  <si>
    <r>
      <t>Base PlateThickness Required(t) (Mmax=1.2f</t>
    </r>
    <r>
      <rPr>
        <b/>
        <sz val="9"/>
        <color theme="1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>*Z</t>
    </r>
    <r>
      <rPr>
        <b/>
        <sz val="8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/Ymo)</t>
    </r>
  </si>
  <si>
    <t>Ultimate strength of Steel base plate(fu)(N/mm2)</t>
  </si>
  <si>
    <t>CONCRETE PROPERTIES</t>
  </si>
  <si>
    <t>STEEL PROPERTIES</t>
  </si>
  <si>
    <t>Assume Length of Base Plate(L)</t>
  </si>
  <si>
    <t>Assume Width of Base Plate((W)</t>
  </si>
  <si>
    <t>Bearing strength of concrete(0.45*fck)</t>
  </si>
  <si>
    <t>COLUMN SECTION PROPERTIES</t>
  </si>
  <si>
    <t>Width of column section(bf)</t>
  </si>
  <si>
    <t>Projected part outside the column boundary(c)=(L-d)/2</t>
  </si>
  <si>
    <t>Single Bolt Strength(=Min(Shear capacity of single bolt, bearing capacity of single bolt)</t>
  </si>
  <si>
    <t>Tensile strength of one bolt(Tdb)=(Anb*fy*1.25/1.1)</t>
  </si>
  <si>
    <r>
      <t>Minimum number of Bolt Required(n</t>
    </r>
    <r>
      <rPr>
        <b/>
        <sz val="8"/>
        <color theme="1"/>
        <rFont val="Calibri"/>
        <family val="2"/>
        <scheme val="minor"/>
      </rPr>
      <t>min</t>
    </r>
    <r>
      <rPr>
        <b/>
        <sz val="11"/>
        <color theme="1"/>
        <rFont val="Calibri"/>
        <family val="2"/>
        <scheme val="minor"/>
      </rPr>
      <t>)</t>
    </r>
  </si>
  <si>
    <t>Width of Base Plate(W)</t>
  </si>
  <si>
    <t>Length of Base Plate</t>
  </si>
  <si>
    <t xml:space="preserve"> No of Bolt Provided to resist tension</t>
  </si>
  <si>
    <t>LOADS ACTING:-COMPRESSION FORCE(P), MOMENT(M), SHEAR FORCE(F) and ECCENTRICITY (e &gt; L/3)</t>
  </si>
  <si>
    <t>DESIGN OF FIXED COLUMN BASE WHEN BOLT IS IN TENSION (e&gt;L/3)</t>
  </si>
  <si>
    <t xml:space="preserve"> Eccentricity(Mx/P&gt;L/3)</t>
  </si>
  <si>
    <t>Yield strength of steel Base Plate(fy)</t>
  </si>
  <si>
    <t>Yield strength of base plate(fy)</t>
  </si>
  <si>
    <t>Width of Column section(bf)</t>
  </si>
  <si>
    <t>Depth of Column section(d)</t>
  </si>
  <si>
    <t>DESIGN OF FIXED COLUMN BASE WHEN BOLT IS IN TENSION (e&lt;=L/6)</t>
  </si>
  <si>
    <t>LOADS ACTING:-COMPRESSION FORCE(P), MOMENT(M), SHEAR FORCE(F) and ECCENTRICITY (e) &lt;= L/6</t>
  </si>
  <si>
    <t>Eccentricity(Mx/P)</t>
  </si>
  <si>
    <t>Minimum Width(w) needed to be provided=(2P/(L*0.45fck))</t>
  </si>
  <si>
    <t>Section Modules(Z)=w*L*L/6</t>
  </si>
  <si>
    <t>Moment at xx Section(Mxx)(rec area+triangle area)</t>
  </si>
  <si>
    <t>Thickness of base plate required(t)=(Mxx*ymo*6/(1.2fy)^0.5</t>
  </si>
  <si>
    <t>Length of base plate(L)</t>
  </si>
  <si>
    <t>Width Assuming for base plate(w)</t>
  </si>
  <si>
    <t>DESIGN OF COLUMN BASE WITH PIN END</t>
  </si>
  <si>
    <t>When subjected to Direct compressive load and Shear force at the bolts</t>
  </si>
  <si>
    <t>Characteristic strength of concrete(fck)</t>
  </si>
  <si>
    <t>Steel Plate Properties</t>
  </si>
  <si>
    <t>COLUMN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</si>
</sst>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theme="1"/>
      <name val="Times New Roman"/>
      <family val="1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8" borderId="1" xfId="0" applyFill="1" applyBorder="1"/>
    <xf numFmtId="0" fontId="0" fillId="1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4" xfId="0" applyFont="1" applyBorder="1"/>
    <xf numFmtId="0" fontId="0" fillId="9" borderId="0" xfId="0" applyFill="1" applyAlignment="1">
      <alignment horizontal="left"/>
    </xf>
    <xf numFmtId="0" fontId="0" fillId="3" borderId="1" xfId="0" applyFill="1" applyBorder="1"/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vertical="top" wrapText="1"/>
    </xf>
    <xf numFmtId="0" fontId="0" fillId="10" borderId="0" xfId="0" applyFill="1"/>
    <xf numFmtId="0" fontId="0" fillId="11" borderId="1" xfId="0" applyFill="1" applyBorder="1"/>
    <xf numFmtId="0" fontId="0" fillId="12" borderId="1" xfId="0" applyFill="1" applyBorder="1"/>
    <xf numFmtId="0" fontId="5" fillId="9" borderId="2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0" fillId="11" borderId="1" xfId="0" applyFill="1" applyBorder="1" applyAlignment="1">
      <alignment horizontal="right"/>
    </xf>
    <xf numFmtId="0" fontId="5" fillId="0" borderId="0" xfId="0" applyFont="1" applyAlignment="1">
      <alignment wrapText="1"/>
    </xf>
    <xf numFmtId="0" fontId="0" fillId="6" borderId="0" xfId="0" applyFill="1"/>
    <xf numFmtId="0" fontId="9" fillId="0" borderId="0" xfId="0" applyFont="1" applyAlignment="1">
      <alignment horizontal="left"/>
    </xf>
    <xf numFmtId="0" fontId="5" fillId="9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9" borderId="2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7" borderId="5" xfId="0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0" fillId="9" borderId="0" xfId="0" applyFont="1" applyFill="1" applyAlignment="1">
      <alignment horizontal="left"/>
    </xf>
    <xf numFmtId="0" fontId="10" fillId="2" borderId="5" xfId="0" applyFont="1" applyFill="1" applyBorder="1" applyAlignment="1">
      <alignment horizontal="left"/>
    </xf>
    <xf numFmtId="0" fontId="10" fillId="2" borderId="0" xfId="0" applyFont="1" applyFill="1" applyAlignment="1">
      <alignment horizontal="left"/>
    </xf>
    <xf numFmtId="0" fontId="5" fillId="0" borderId="9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4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6" borderId="3" xfId="0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9" fillId="2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 wrapText="1"/>
    </xf>
    <xf numFmtId="0" fontId="5" fillId="9" borderId="1" xfId="0" applyFont="1" applyFill="1" applyBorder="1" applyAlignment="1">
      <alignment horizontal="left" wrapText="1"/>
    </xf>
    <xf numFmtId="0" fontId="5" fillId="9" borderId="3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 wrapText="1"/>
    </xf>
    <xf numFmtId="0" fontId="5" fillId="3" borderId="6" xfId="0" applyFont="1" applyFill="1" applyBorder="1" applyAlignment="1">
      <alignment horizontal="left" wrapText="1"/>
    </xf>
    <xf numFmtId="0" fontId="5" fillId="3" borderId="10" xfId="0" applyFont="1" applyFill="1" applyBorder="1" applyAlignment="1">
      <alignment horizontal="left" wrapText="1"/>
    </xf>
    <xf numFmtId="0" fontId="5" fillId="3" borderId="11" xfId="0" applyFont="1" applyFill="1" applyBorder="1" applyAlignment="1">
      <alignment horizontal="left" wrapText="1"/>
    </xf>
    <xf numFmtId="0" fontId="5" fillId="3" borderId="12" xfId="0" applyFont="1" applyFill="1" applyBorder="1" applyAlignment="1">
      <alignment horizontal="left" wrapText="1"/>
    </xf>
    <xf numFmtId="0" fontId="5" fillId="3" borderId="13" xfId="0" applyFont="1" applyFill="1" applyBorder="1" applyAlignment="1">
      <alignment horizontal="left" wrapText="1"/>
    </xf>
    <xf numFmtId="0" fontId="0" fillId="10" borderId="7" xfId="0" applyFill="1" applyBorder="1" applyAlignment="1">
      <alignment horizontal="left" vertical="center"/>
    </xf>
    <xf numFmtId="0" fontId="0" fillId="10" borderId="8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6" borderId="0" xfId="0" applyFill="1" applyAlignment="1">
      <alignment horizontal="left"/>
    </xf>
    <xf numFmtId="0" fontId="0" fillId="6" borderId="5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579614</xdr:colOff>
      <xdr:row>55</xdr:row>
      <xdr:rowOff>64489</xdr:rowOff>
    </xdr:from>
    <xdr:to>
      <xdr:col>14</xdr:col>
      <xdr:colOff>473529</xdr:colOff>
      <xdr:row>63</xdr:row>
      <xdr:rowOff>112980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3823A80-94FC-460E-B05D-683FCE44E6A8}"/>
            </a:ext>
          </a:extLst>
        </xdr:cNvPr>
        <xdr:cNvSpPr/>
      </xdr:nvSpPr>
      <xdr:spPr>
        <a:xfrm>
          <a:off x="7265257" y="9172203"/>
          <a:ext cx="1717272" cy="153620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601967</xdr:colOff>
      <xdr:row>59</xdr:row>
      <xdr:rowOff>112824</xdr:rowOff>
    </xdr:from>
    <xdr:to>
      <xdr:col>14</xdr:col>
      <xdr:colOff>347967</xdr:colOff>
      <xdr:row>59</xdr:row>
      <xdr:rowOff>118597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03D7048-155C-4925-841B-B9D9C220F527}"/>
            </a:ext>
          </a:extLst>
        </xdr:cNvPr>
        <xdr:cNvCxnSpPr/>
      </xdr:nvCxnSpPr>
      <xdr:spPr>
        <a:xfrm flipH="1">
          <a:off x="7276523" y="9842435"/>
          <a:ext cx="1566333" cy="57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155286</xdr:colOff>
      <xdr:row>55</xdr:row>
      <xdr:rowOff>25400</xdr:rowOff>
    </xdr:from>
    <xdr:to>
      <xdr:col>13</xdr:col>
      <xdr:colOff>172604</xdr:colOff>
      <xdr:row>64</xdr:row>
      <xdr:rowOff>94672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E85BBE5-F31D-4053-B803-B94BEA556586}"/>
            </a:ext>
          </a:extLst>
        </xdr:cNvPr>
        <xdr:cNvCxnSpPr/>
      </xdr:nvCxnSpPr>
      <xdr:spPr>
        <a:xfrm flipH="1">
          <a:off x="9108786" y="8502650"/>
          <a:ext cx="17318" cy="17266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181783</xdr:colOff>
      <xdr:row>62</xdr:row>
      <xdr:rowOff>114715</xdr:rowOff>
    </xdr:from>
    <xdr:to>
      <xdr:col>12</xdr:col>
      <xdr:colOff>267508</xdr:colOff>
      <xdr:row>63</xdr:row>
      <xdr:rowOff>18814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B84F748-CBA9-4FD5-B47B-0DEB05F05516}"/>
            </a:ext>
          </a:extLst>
        </xdr:cNvPr>
        <xdr:cNvSpPr/>
      </xdr:nvSpPr>
      <xdr:spPr>
        <a:xfrm>
          <a:off x="8525683" y="9881015"/>
          <a:ext cx="85725" cy="882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169585</xdr:colOff>
      <xdr:row>56</xdr:row>
      <xdr:rowOff>151867</xdr:rowOff>
    </xdr:from>
    <xdr:to>
      <xdr:col>12</xdr:col>
      <xdr:colOff>255310</xdr:colOff>
      <xdr:row>57</xdr:row>
      <xdr:rowOff>57505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D044950-9D65-4C55-8100-337AB2DD3EFB}"/>
            </a:ext>
          </a:extLst>
        </xdr:cNvPr>
        <xdr:cNvSpPr/>
      </xdr:nvSpPr>
      <xdr:spPr>
        <a:xfrm>
          <a:off x="8513485" y="8813267"/>
          <a:ext cx="85725" cy="89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207806</xdr:colOff>
      <xdr:row>57</xdr:row>
      <xdr:rowOff>18142</xdr:rowOff>
    </xdr:from>
    <xdr:to>
      <xdr:col>13</xdr:col>
      <xdr:colOff>185965</xdr:colOff>
      <xdr:row>57</xdr:row>
      <xdr:rowOff>24583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1CA31E9-591E-4FA6-95BB-B71A9431CE69}"/>
            </a:ext>
          </a:extLst>
        </xdr:cNvPr>
        <xdr:cNvCxnSpPr/>
      </xdr:nvCxnSpPr>
      <xdr:spPr>
        <a:xfrm flipV="1">
          <a:off x="7501235" y="9497785"/>
          <a:ext cx="585944" cy="64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131536</xdr:colOff>
      <xdr:row>57</xdr:row>
      <xdr:rowOff>63159</xdr:rowOff>
    </xdr:from>
    <xdr:to>
      <xdr:col>14</xdr:col>
      <xdr:colOff>139335</xdr:colOff>
      <xdr:row>59</xdr:row>
      <xdr:rowOff>163286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6DD2283-F5A4-484B-AA67-496B839914C9}"/>
            </a:ext>
          </a:extLst>
        </xdr:cNvPr>
        <xdr:cNvCxnSpPr/>
      </xdr:nvCxnSpPr>
      <xdr:spPr>
        <a:xfrm flipH="1">
          <a:off x="8640536" y="9542802"/>
          <a:ext cx="7799" cy="47205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349296</xdr:colOff>
      <xdr:row>56</xdr:row>
      <xdr:rowOff>6904</xdr:rowOff>
    </xdr:from>
    <xdr:ext cx="246093" cy="248851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8ACF74A-5A79-4958-87AB-26B53548B772}"/>
            </a:ext>
          </a:extLst>
        </xdr:cNvPr>
        <xdr:cNvSpPr/>
      </xdr:nvSpPr>
      <xdr:spPr>
        <a:xfrm>
          <a:off x="8693196" y="8668304"/>
          <a:ext cx="246093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</a:t>
          </a:r>
        </a:p>
      </xdr:txBody>
    </xdr:sp>
    <xdr:clientData/>
  </xdr:oneCellAnchor>
  <xdr:oneCellAnchor>
    <xdr:from>
      <xdr:col>13</xdr:col>
      <xdr:colOff>577799</xdr:colOff>
      <xdr:row>57</xdr:row>
      <xdr:rowOff>146003</xdr:rowOff>
    </xdr:from>
    <xdr:ext cx="252057" cy="248851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44C851C-183E-4C30-9CF0-5EF2B56F1C6A}"/>
            </a:ext>
          </a:extLst>
        </xdr:cNvPr>
        <xdr:cNvSpPr/>
      </xdr:nvSpPr>
      <xdr:spPr>
        <a:xfrm>
          <a:off x="8479013" y="9625646"/>
          <a:ext cx="252057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</a:t>
          </a:r>
        </a:p>
      </xdr:txBody>
    </xdr:sp>
    <xdr:clientData/>
  </xdr:oneCellAnchor>
  <xdr:twoCellAnchor>
    <xdr:from>
      <xdr:col>11</xdr:col>
      <xdr:colOff>585107</xdr:colOff>
      <xdr:row>63</xdr:row>
      <xdr:rowOff>176892</xdr:rowOff>
    </xdr:from>
    <xdr:to>
      <xdr:col>14</xdr:col>
      <xdr:colOff>476250</xdr:colOff>
      <xdr:row>64</xdr:row>
      <xdr:rowOff>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5459252E-C310-4108-8AC8-5344804274D7}"/>
            </a:ext>
          </a:extLst>
        </xdr:cNvPr>
        <xdr:cNvCxnSpPr/>
      </xdr:nvCxnSpPr>
      <xdr:spPr>
        <a:xfrm flipH="1">
          <a:off x="7270750" y="10772321"/>
          <a:ext cx="1714500" cy="90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660400</xdr:colOff>
      <xdr:row>64</xdr:row>
      <xdr:rowOff>50800</xdr:rowOff>
    </xdr:from>
    <xdr:to>
      <xdr:col>13</xdr:col>
      <xdr:colOff>660400</xdr:colOff>
      <xdr:row>66</xdr:row>
      <xdr:rowOff>50800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99D2F9A0-D9F9-4FF4-BCCF-156FAD5DC0D3}"/>
            </a:ext>
          </a:extLst>
        </xdr:cNvPr>
        <xdr:cNvCxnSpPr/>
      </xdr:nvCxnSpPr>
      <xdr:spPr>
        <a:xfrm>
          <a:off x="9613900" y="10185400"/>
          <a:ext cx="0" cy="184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698500</xdr:colOff>
      <xdr:row>64</xdr:row>
      <xdr:rowOff>48260</xdr:rowOff>
    </xdr:from>
    <xdr:to>
      <xdr:col>13</xdr:col>
      <xdr:colOff>698500</xdr:colOff>
      <xdr:row>66</xdr:row>
      <xdr:rowOff>48260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E07EEA6D-DF99-472B-8856-90196E59C1EA}"/>
            </a:ext>
          </a:extLst>
        </xdr:cNvPr>
        <xdr:cNvCxnSpPr/>
      </xdr:nvCxnSpPr>
      <xdr:spPr>
        <a:xfrm>
          <a:off x="9652000" y="10182860"/>
          <a:ext cx="0" cy="184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746760</xdr:colOff>
      <xdr:row>64</xdr:row>
      <xdr:rowOff>50800</xdr:rowOff>
    </xdr:from>
    <xdr:to>
      <xdr:col>13</xdr:col>
      <xdr:colOff>746760</xdr:colOff>
      <xdr:row>66</xdr:row>
      <xdr:rowOff>50800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D7AC153-F797-447D-A96F-CE1C5C7648CA}"/>
            </a:ext>
          </a:extLst>
        </xdr:cNvPr>
        <xdr:cNvCxnSpPr/>
      </xdr:nvCxnSpPr>
      <xdr:spPr>
        <a:xfrm>
          <a:off x="9700260" y="10185400"/>
          <a:ext cx="0" cy="184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445352</xdr:colOff>
      <xdr:row>66</xdr:row>
      <xdr:rowOff>18753</xdr:rowOff>
    </xdr:from>
    <xdr:ext cx="470322" cy="248851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4BF8EB5-31CA-476E-B05D-59ADB5265A98}"/>
            </a:ext>
          </a:extLst>
        </xdr:cNvPr>
        <xdr:cNvSpPr/>
      </xdr:nvSpPr>
      <xdr:spPr>
        <a:xfrm>
          <a:off x="8961036" y="10870569"/>
          <a:ext cx="470322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Pmax</a:t>
          </a:r>
        </a:p>
      </xdr:txBody>
    </xdr:sp>
    <xdr:clientData/>
  </xdr:oneCellAnchor>
  <xdr:oneCellAnchor>
    <xdr:from>
      <xdr:col>13</xdr:col>
      <xdr:colOff>27996</xdr:colOff>
      <xdr:row>52</xdr:row>
      <xdr:rowOff>39062</xdr:rowOff>
    </xdr:from>
    <xdr:ext cx="238591" cy="248851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98644A69-1C43-41BA-BD22-2EB6E4CD0575}"/>
            </a:ext>
          </a:extLst>
        </xdr:cNvPr>
        <xdr:cNvSpPr/>
      </xdr:nvSpPr>
      <xdr:spPr>
        <a:xfrm>
          <a:off x="8981496" y="8332162"/>
          <a:ext cx="238591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</a:t>
          </a:r>
        </a:p>
      </xdr:txBody>
    </xdr:sp>
    <xdr:clientData/>
  </xdr:oneCellAnchor>
  <xdr:twoCellAnchor>
    <xdr:from>
      <xdr:col>14</xdr:col>
      <xdr:colOff>564243</xdr:colOff>
      <xdr:row>55</xdr:row>
      <xdr:rowOff>117021</xdr:rowOff>
    </xdr:from>
    <xdr:to>
      <xdr:col>14</xdr:col>
      <xdr:colOff>564243</xdr:colOff>
      <xdr:row>64</xdr:row>
      <xdr:rowOff>26307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D9116AA-0F12-43A8-9CB2-3516C06AABE9}"/>
            </a:ext>
          </a:extLst>
        </xdr:cNvPr>
        <xdr:cNvCxnSpPr/>
      </xdr:nvCxnSpPr>
      <xdr:spPr>
        <a:xfrm>
          <a:off x="9073243" y="9224735"/>
          <a:ext cx="0" cy="15829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552752</xdr:colOff>
      <xdr:row>59</xdr:row>
      <xdr:rowOff>22377</xdr:rowOff>
    </xdr:from>
    <xdr:ext cx="431800" cy="248851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40B098B0-67C5-4675-BA5B-614CF58DADD2}"/>
            </a:ext>
          </a:extLst>
        </xdr:cNvPr>
        <xdr:cNvSpPr/>
      </xdr:nvSpPr>
      <xdr:spPr>
        <a:xfrm>
          <a:off x="9061752" y="9873948"/>
          <a:ext cx="431800" cy="248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</a:t>
          </a:r>
        </a:p>
      </xdr:txBody>
    </xdr:sp>
    <xdr:clientData/>
  </xdr:oneCellAnchor>
  <xdr:twoCellAnchor>
    <xdr:from>
      <xdr:col>8</xdr:col>
      <xdr:colOff>444500</xdr:colOff>
      <xdr:row>63</xdr:row>
      <xdr:rowOff>17318</xdr:rowOff>
    </xdr:from>
    <xdr:to>
      <xdr:col>11</xdr:col>
      <xdr:colOff>444500</xdr:colOff>
      <xdr:row>63</xdr:row>
      <xdr:rowOff>103909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CC7571E-EA03-4838-8E6A-63662B405BAE}"/>
            </a:ext>
          </a:extLst>
        </xdr:cNvPr>
        <xdr:cNvSpPr/>
      </xdr:nvSpPr>
      <xdr:spPr>
        <a:xfrm>
          <a:off x="6083300" y="9967768"/>
          <a:ext cx="2095500" cy="8659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51961</xdr:colOff>
      <xdr:row>62</xdr:row>
      <xdr:rowOff>11550</xdr:rowOff>
    </xdr:from>
    <xdr:to>
      <xdr:col>9</xdr:col>
      <xdr:colOff>121235</xdr:colOff>
      <xdr:row>66</xdr:row>
      <xdr:rowOff>86595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A896CC53-3341-4AB0-BCD6-5A304E5FB165}"/>
            </a:ext>
          </a:extLst>
        </xdr:cNvPr>
        <xdr:cNvSpPr/>
      </xdr:nvSpPr>
      <xdr:spPr>
        <a:xfrm rot="5400000" flipV="1">
          <a:off x="6021250" y="10056961"/>
          <a:ext cx="627495" cy="69274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38103</xdr:colOff>
      <xdr:row>62</xdr:row>
      <xdr:rowOff>3</xdr:rowOff>
    </xdr:from>
    <xdr:to>
      <xdr:col>11</xdr:col>
      <xdr:colOff>94681</xdr:colOff>
      <xdr:row>66</xdr:row>
      <xdr:rowOff>129316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3228AD48-D712-49AF-8DFD-B882D122AF8D}"/>
            </a:ext>
          </a:extLst>
        </xdr:cNvPr>
        <xdr:cNvSpPr/>
      </xdr:nvSpPr>
      <xdr:spPr>
        <a:xfrm rot="5400000" flipV="1">
          <a:off x="6431110" y="10999646"/>
          <a:ext cx="681763" cy="5657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584785</xdr:colOff>
      <xdr:row>62</xdr:row>
      <xdr:rowOff>155864</xdr:rowOff>
    </xdr:from>
    <xdr:to>
      <xdr:col>9</xdr:col>
      <xdr:colOff>202045</xdr:colOff>
      <xdr:row>63</xdr:row>
      <xdr:rowOff>19059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D68BEB12-B270-4825-97F3-C0DA3DC070E2}"/>
            </a:ext>
          </a:extLst>
        </xdr:cNvPr>
        <xdr:cNvSpPr/>
      </xdr:nvSpPr>
      <xdr:spPr>
        <a:xfrm flipV="1">
          <a:off x="6223585" y="9922164"/>
          <a:ext cx="226860" cy="4734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786437</xdr:colOff>
      <xdr:row>62</xdr:row>
      <xdr:rowOff>165122</xdr:rowOff>
    </xdr:from>
    <xdr:to>
      <xdr:col>11</xdr:col>
      <xdr:colOff>279400</xdr:colOff>
      <xdr:row>63</xdr:row>
      <xdr:rowOff>26691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71D55664-4E00-41C3-A447-FA384F7BECB6}"/>
            </a:ext>
          </a:extLst>
        </xdr:cNvPr>
        <xdr:cNvSpPr/>
      </xdr:nvSpPr>
      <xdr:spPr>
        <a:xfrm flipV="1">
          <a:off x="7466637" y="11823722"/>
          <a:ext cx="439113" cy="4571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536864</xdr:colOff>
      <xdr:row>58</xdr:row>
      <xdr:rowOff>28864</xdr:rowOff>
    </xdr:from>
    <xdr:to>
      <xdr:col>10</xdr:col>
      <xdr:colOff>496455</xdr:colOff>
      <xdr:row>63</xdr:row>
      <xdr:rowOff>19628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5EFCF4E9-0EFC-40C6-A684-A98A66F5FB8C}"/>
            </a:ext>
          </a:extLst>
        </xdr:cNvPr>
        <xdr:cNvSpPr/>
      </xdr:nvSpPr>
      <xdr:spPr>
        <a:xfrm>
          <a:off x="6785264" y="9058564"/>
          <a:ext cx="569191" cy="911514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464127</xdr:colOff>
      <xdr:row>58</xdr:row>
      <xdr:rowOff>36945</xdr:rowOff>
    </xdr:from>
    <xdr:to>
      <xdr:col>9</xdr:col>
      <xdr:colOff>525318</xdr:colOff>
      <xdr:row>63</xdr:row>
      <xdr:rowOff>27709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142DD058-9EBC-4E06-9D72-37488D18C90E}"/>
            </a:ext>
          </a:extLst>
        </xdr:cNvPr>
        <xdr:cNvSpPr/>
      </xdr:nvSpPr>
      <xdr:spPr>
        <a:xfrm>
          <a:off x="6712527" y="9066645"/>
          <a:ext cx="61191" cy="91151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484909</xdr:colOff>
      <xdr:row>58</xdr:row>
      <xdr:rowOff>17318</xdr:rowOff>
    </xdr:from>
    <xdr:to>
      <xdr:col>10</xdr:col>
      <xdr:colOff>546100</xdr:colOff>
      <xdr:row>63</xdr:row>
      <xdr:rowOff>8082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D815950A-7458-4089-ADC8-6FDF7A075BAB}"/>
            </a:ext>
          </a:extLst>
        </xdr:cNvPr>
        <xdr:cNvSpPr/>
      </xdr:nvSpPr>
      <xdr:spPr>
        <a:xfrm>
          <a:off x="7342909" y="9047018"/>
          <a:ext cx="61191" cy="91151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207818</xdr:colOff>
      <xdr:row>55</xdr:row>
      <xdr:rowOff>98136</xdr:rowOff>
    </xdr:from>
    <xdr:to>
      <xdr:col>10</xdr:col>
      <xdr:colOff>213591</xdr:colOff>
      <xdr:row>60</xdr:row>
      <xdr:rowOff>132773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895533A6-5D1B-437C-8F95-1EAAE71DB852}"/>
            </a:ext>
          </a:extLst>
        </xdr:cNvPr>
        <xdr:cNvCxnSpPr/>
      </xdr:nvCxnSpPr>
      <xdr:spPr>
        <a:xfrm>
          <a:off x="7065818" y="8575386"/>
          <a:ext cx="5773" cy="9553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92364</xdr:colOff>
      <xdr:row>56</xdr:row>
      <xdr:rowOff>127000</xdr:rowOff>
    </xdr:from>
    <xdr:to>
      <xdr:col>10</xdr:col>
      <xdr:colOff>367838</xdr:colOff>
      <xdr:row>59</xdr:row>
      <xdr:rowOff>0</xdr:rowOff>
    </xdr:to>
    <xdr:sp macro="" textlink="">
      <xdr:nvSpPr>
        <xdr:cNvPr id="39" name="Arrow: Curved Left 38">
          <a:extLst>
            <a:ext uri="{FF2B5EF4-FFF2-40B4-BE49-F238E27FC236}">
              <a16:creationId xmlns:a16="http://schemas.microsoft.com/office/drawing/2014/main" id="{A8FC6899-BC1C-4CD7-B862-506AA2FFDA9B}"/>
            </a:ext>
          </a:extLst>
        </xdr:cNvPr>
        <xdr:cNvSpPr/>
      </xdr:nvSpPr>
      <xdr:spPr>
        <a:xfrm>
          <a:off x="6950364" y="8788400"/>
          <a:ext cx="275474" cy="425450"/>
        </a:xfrm>
        <a:prstGeom prst="curved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546100</xdr:colOff>
      <xdr:row>60</xdr:row>
      <xdr:rowOff>98136</xdr:rowOff>
    </xdr:from>
    <xdr:to>
      <xdr:col>11</xdr:col>
      <xdr:colOff>409863</xdr:colOff>
      <xdr:row>60</xdr:row>
      <xdr:rowOff>105063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2A841B47-32F7-47BE-8C82-BF6CA1F8A236}"/>
            </a:ext>
          </a:extLst>
        </xdr:cNvPr>
        <xdr:cNvCxnSpPr>
          <a:stCxn id="37" idx="3"/>
        </xdr:cNvCxnSpPr>
      </xdr:nvCxnSpPr>
      <xdr:spPr>
        <a:xfrm flipV="1">
          <a:off x="7404100" y="9496136"/>
          <a:ext cx="740063" cy="692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3399</xdr:colOff>
      <xdr:row>59</xdr:row>
      <xdr:rowOff>57727</xdr:rowOff>
    </xdr:from>
    <xdr:ext cx="246093" cy="248851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79BF1125-9B7E-435E-A843-4974E5DF9B58}"/>
            </a:ext>
          </a:extLst>
        </xdr:cNvPr>
        <xdr:cNvSpPr/>
      </xdr:nvSpPr>
      <xdr:spPr>
        <a:xfrm>
          <a:off x="6677955" y="9787338"/>
          <a:ext cx="246093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</a:t>
          </a:r>
        </a:p>
      </xdr:txBody>
    </xdr:sp>
    <xdr:clientData/>
  </xdr:oneCellAnchor>
  <xdr:twoCellAnchor>
    <xdr:from>
      <xdr:col>14</xdr:col>
      <xdr:colOff>120097</xdr:colOff>
      <xdr:row>56</xdr:row>
      <xdr:rowOff>123785</xdr:rowOff>
    </xdr:from>
    <xdr:to>
      <xdr:col>14</xdr:col>
      <xdr:colOff>204008</xdr:colOff>
      <xdr:row>57</xdr:row>
      <xdr:rowOff>27885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20CDC9E7-DDB4-4E3E-B100-B2D9572FE499}"/>
            </a:ext>
          </a:extLst>
        </xdr:cNvPr>
        <xdr:cNvSpPr/>
      </xdr:nvSpPr>
      <xdr:spPr>
        <a:xfrm>
          <a:off x="8629097" y="9417464"/>
          <a:ext cx="83911" cy="9006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100140</xdr:colOff>
      <xdr:row>62</xdr:row>
      <xdr:rowOff>112900</xdr:rowOff>
    </xdr:from>
    <xdr:to>
      <xdr:col>14</xdr:col>
      <xdr:colOff>184051</xdr:colOff>
      <xdr:row>63</xdr:row>
      <xdr:rowOff>16999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79F3A909-4803-497A-8382-22AEA21453C5}"/>
            </a:ext>
          </a:extLst>
        </xdr:cNvPr>
        <xdr:cNvSpPr/>
      </xdr:nvSpPr>
      <xdr:spPr>
        <a:xfrm>
          <a:off x="8609140" y="10522364"/>
          <a:ext cx="83911" cy="9006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591958</xdr:colOff>
      <xdr:row>64</xdr:row>
      <xdr:rowOff>180623</xdr:rowOff>
    </xdr:from>
    <xdr:to>
      <xdr:col>14</xdr:col>
      <xdr:colOff>482599</xdr:colOff>
      <xdr:row>68</xdr:row>
      <xdr:rowOff>76200</xdr:rowOff>
    </xdr:to>
    <xdr:sp macro="" textlink="">
      <xdr:nvSpPr>
        <xdr:cNvPr id="49" name="Right Triangle 48">
          <a:extLst>
            <a:ext uri="{FF2B5EF4-FFF2-40B4-BE49-F238E27FC236}">
              <a16:creationId xmlns:a16="http://schemas.microsoft.com/office/drawing/2014/main" id="{7CDF7B72-3B59-C224-B04F-24CF61A2A0E6}"/>
            </a:ext>
          </a:extLst>
        </xdr:cNvPr>
        <xdr:cNvSpPr/>
      </xdr:nvSpPr>
      <xdr:spPr>
        <a:xfrm flipH="1" flipV="1">
          <a:off x="8218308" y="12207523"/>
          <a:ext cx="1941691" cy="651227"/>
        </a:xfrm>
        <a:prstGeom prst="rtTriangl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560212</xdr:colOff>
      <xdr:row>58</xdr:row>
      <xdr:rowOff>22576</xdr:rowOff>
    </xdr:from>
    <xdr:to>
      <xdr:col>13</xdr:col>
      <xdr:colOff>539045</xdr:colOff>
      <xdr:row>61</xdr:row>
      <xdr:rowOff>22577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7D7C386A-6733-3545-23CA-722CC0F9F058}"/>
            </a:ext>
          </a:extLst>
        </xdr:cNvPr>
        <xdr:cNvSpPr/>
      </xdr:nvSpPr>
      <xdr:spPr>
        <a:xfrm>
          <a:off x="8231012" y="10944576"/>
          <a:ext cx="791633" cy="55245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528461</xdr:colOff>
      <xdr:row>53</xdr:row>
      <xdr:rowOff>107950</xdr:rowOff>
    </xdr:from>
    <xdr:to>
      <xdr:col>13</xdr:col>
      <xdr:colOff>546100</xdr:colOff>
      <xdr:row>67</xdr:row>
      <xdr:rowOff>55739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DC391D55-99BE-4A06-9409-642F02F22A43}"/>
            </a:ext>
          </a:extLst>
        </xdr:cNvPr>
        <xdr:cNvCxnSpPr/>
      </xdr:nvCxnSpPr>
      <xdr:spPr>
        <a:xfrm flipH="1">
          <a:off x="9596261" y="10109200"/>
          <a:ext cx="17639" cy="254493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539355</xdr:colOff>
      <xdr:row>67</xdr:row>
      <xdr:rowOff>57150</xdr:rowOff>
    </xdr:from>
    <xdr:to>
      <xdr:col>14</xdr:col>
      <xdr:colOff>501650</xdr:colOff>
      <xdr:row>67</xdr:row>
      <xdr:rowOff>62237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CF185F35-941E-4E78-9A62-640C369ADCD8}"/>
            </a:ext>
          </a:extLst>
        </xdr:cNvPr>
        <xdr:cNvCxnSpPr/>
      </xdr:nvCxnSpPr>
      <xdr:spPr>
        <a:xfrm flipV="1">
          <a:off x="9607155" y="12655550"/>
          <a:ext cx="571895" cy="50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539750</xdr:colOff>
      <xdr:row>55</xdr:row>
      <xdr:rowOff>95250</xdr:rowOff>
    </xdr:from>
    <xdr:to>
      <xdr:col>10</xdr:col>
      <xdr:colOff>558800</xdr:colOff>
      <xdr:row>68</xdr:row>
      <xdr:rowOff>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FAA34001-3D1E-45F2-95A8-C72D54888D3D}"/>
            </a:ext>
          </a:extLst>
        </xdr:cNvPr>
        <xdr:cNvCxnSpPr/>
      </xdr:nvCxnSpPr>
      <xdr:spPr>
        <a:xfrm>
          <a:off x="7219950" y="10464800"/>
          <a:ext cx="19050" cy="2317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179770</xdr:colOff>
      <xdr:row>54</xdr:row>
      <xdr:rowOff>156028</xdr:rowOff>
    </xdr:from>
    <xdr:ext cx="748346" cy="248851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2D741868-9F08-47DA-AE0E-EDE743692580}"/>
            </a:ext>
          </a:extLst>
        </xdr:cNvPr>
        <xdr:cNvSpPr/>
      </xdr:nvSpPr>
      <xdr:spPr>
        <a:xfrm>
          <a:off x="6859970" y="10341428"/>
          <a:ext cx="748346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x-x Section</a:t>
          </a:r>
        </a:p>
      </xdr:txBody>
    </xdr:sp>
    <xdr:clientData/>
  </xdr:oneCellAnchor>
  <xdr:oneCellAnchor>
    <xdr:from>
      <xdr:col>9</xdr:col>
      <xdr:colOff>482600</xdr:colOff>
      <xdr:row>66</xdr:row>
      <xdr:rowOff>387350</xdr:rowOff>
    </xdr:from>
    <xdr:ext cx="748346" cy="248851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384CE6D9-E194-480B-917B-2ABC15F18768}"/>
            </a:ext>
          </a:extLst>
        </xdr:cNvPr>
        <xdr:cNvSpPr/>
      </xdr:nvSpPr>
      <xdr:spPr>
        <a:xfrm>
          <a:off x="5969000" y="11626850"/>
          <a:ext cx="748346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x-x Section</a:t>
          </a:r>
        </a:p>
      </xdr:txBody>
    </xdr:sp>
    <xdr:clientData/>
  </xdr:oneCellAnchor>
  <xdr:oneCellAnchor>
    <xdr:from>
      <xdr:col>12</xdr:col>
      <xdr:colOff>508000</xdr:colOff>
      <xdr:row>68</xdr:row>
      <xdr:rowOff>101600</xdr:rowOff>
    </xdr:from>
    <xdr:ext cx="748346" cy="248851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60FCA246-31A8-4F8F-BB57-85461DBAD8DC}"/>
            </a:ext>
          </a:extLst>
        </xdr:cNvPr>
        <xdr:cNvSpPr/>
      </xdr:nvSpPr>
      <xdr:spPr>
        <a:xfrm>
          <a:off x="8763000" y="12884150"/>
          <a:ext cx="748346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x-x Section</a:t>
          </a:r>
        </a:p>
      </xdr:txBody>
    </xdr:sp>
    <xdr:clientData/>
  </xdr:oneCellAnchor>
  <xdr:twoCellAnchor>
    <xdr:from>
      <xdr:col>10</xdr:col>
      <xdr:colOff>0</xdr:colOff>
      <xdr:row>43</xdr:row>
      <xdr:rowOff>117477</xdr:rowOff>
    </xdr:from>
    <xdr:to>
      <xdr:col>12</xdr:col>
      <xdr:colOff>678649</xdr:colOff>
      <xdr:row>52</xdr:row>
      <xdr:rowOff>110245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D30429A4-0149-4E73-B29B-37A08B1F7108}"/>
            </a:ext>
          </a:extLst>
        </xdr:cNvPr>
        <xdr:cNvSpPr/>
      </xdr:nvSpPr>
      <xdr:spPr>
        <a:xfrm>
          <a:off x="6662964" y="8345263"/>
          <a:ext cx="2257078" cy="1666446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571674</xdr:colOff>
      <xdr:row>45</xdr:row>
      <xdr:rowOff>136172</xdr:rowOff>
    </xdr:from>
    <xdr:to>
      <xdr:col>10</xdr:col>
      <xdr:colOff>625472</xdr:colOff>
      <xdr:row>50</xdr:row>
      <xdr:rowOff>125413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DBF18E40-B43D-481D-862D-1084109BC286}"/>
            </a:ext>
          </a:extLst>
        </xdr:cNvPr>
        <xdr:cNvSpPr/>
      </xdr:nvSpPr>
      <xdr:spPr>
        <a:xfrm>
          <a:off x="7251874" y="8664222"/>
          <a:ext cx="53798" cy="90999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618948</xdr:colOff>
      <xdr:row>47</xdr:row>
      <xdr:rowOff>177449</xdr:rowOff>
    </xdr:from>
    <xdr:to>
      <xdr:col>11</xdr:col>
      <xdr:colOff>596899</xdr:colOff>
      <xdr:row>48</xdr:row>
      <xdr:rowOff>42688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2A507D37-6DFB-4F97-876C-846B1D2EE974}"/>
            </a:ext>
          </a:extLst>
        </xdr:cNvPr>
        <xdr:cNvSpPr/>
      </xdr:nvSpPr>
      <xdr:spPr>
        <a:xfrm rot="5400000">
          <a:off x="7736504" y="8636443"/>
          <a:ext cx="49389" cy="92410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608894</xdr:colOff>
      <xdr:row>45</xdr:row>
      <xdr:rowOff>115007</xdr:rowOff>
    </xdr:from>
    <xdr:to>
      <xdr:col>12</xdr:col>
      <xdr:colOff>29633</xdr:colOff>
      <xdr:row>50</xdr:row>
      <xdr:rowOff>104248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E3BBB1BF-1FED-42B6-8B4E-B7763028B5BF}"/>
            </a:ext>
          </a:extLst>
        </xdr:cNvPr>
        <xdr:cNvSpPr/>
      </xdr:nvSpPr>
      <xdr:spPr>
        <a:xfrm>
          <a:off x="8235244" y="8643057"/>
          <a:ext cx="49389" cy="90999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221718</xdr:colOff>
      <xdr:row>44</xdr:row>
      <xdr:rowOff>130704</xdr:rowOff>
    </xdr:from>
    <xdr:to>
      <xdr:col>10</xdr:col>
      <xdr:colOff>307443</xdr:colOff>
      <xdr:row>45</xdr:row>
      <xdr:rowOff>36919</xdr:rowOff>
    </xdr:to>
    <xdr:sp macro="" textlink="">
      <xdr:nvSpPr>
        <xdr:cNvPr id="99" name="Oval 98">
          <a:extLst>
            <a:ext uri="{FF2B5EF4-FFF2-40B4-BE49-F238E27FC236}">
              <a16:creationId xmlns:a16="http://schemas.microsoft.com/office/drawing/2014/main" id="{DCA1B5A8-408C-40C6-A8CC-F0FEB86A697E}"/>
            </a:ext>
          </a:extLst>
        </xdr:cNvPr>
        <xdr:cNvSpPr/>
      </xdr:nvSpPr>
      <xdr:spPr>
        <a:xfrm>
          <a:off x="6901918" y="8474604"/>
          <a:ext cx="85725" cy="9036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410630</xdr:colOff>
      <xdr:row>44</xdr:row>
      <xdr:rowOff>109538</xdr:rowOff>
    </xdr:from>
    <xdr:to>
      <xdr:col>12</xdr:col>
      <xdr:colOff>496355</xdr:colOff>
      <xdr:row>45</xdr:row>
      <xdr:rowOff>15753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EDE7A45D-0010-4F47-A725-C4A5FBA874CA}"/>
            </a:ext>
          </a:extLst>
        </xdr:cNvPr>
        <xdr:cNvSpPr/>
      </xdr:nvSpPr>
      <xdr:spPr>
        <a:xfrm>
          <a:off x="8665630" y="8453438"/>
          <a:ext cx="85725" cy="9036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393697</xdr:colOff>
      <xdr:row>51</xdr:row>
      <xdr:rowOff>72496</xdr:rowOff>
    </xdr:from>
    <xdr:to>
      <xdr:col>12</xdr:col>
      <xdr:colOff>479422</xdr:colOff>
      <xdr:row>51</xdr:row>
      <xdr:rowOff>159156</xdr:rowOff>
    </xdr:to>
    <xdr:sp macro="" textlink="">
      <xdr:nvSpPr>
        <xdr:cNvPr id="101" name="Oval 100">
          <a:extLst>
            <a:ext uri="{FF2B5EF4-FFF2-40B4-BE49-F238E27FC236}">
              <a16:creationId xmlns:a16="http://schemas.microsoft.com/office/drawing/2014/main" id="{34510C1E-B206-446D-A0BA-18A765081C75}"/>
            </a:ext>
          </a:extLst>
        </xdr:cNvPr>
        <xdr:cNvSpPr/>
      </xdr:nvSpPr>
      <xdr:spPr>
        <a:xfrm>
          <a:off x="8648697" y="9705446"/>
          <a:ext cx="85725" cy="86660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196319</xdr:colOff>
      <xdr:row>51</xdr:row>
      <xdr:rowOff>47097</xdr:rowOff>
    </xdr:from>
    <xdr:to>
      <xdr:col>10</xdr:col>
      <xdr:colOff>282044</xdr:colOff>
      <xdr:row>51</xdr:row>
      <xdr:rowOff>133757</xdr:rowOff>
    </xdr:to>
    <xdr:sp macro="" textlink="">
      <xdr:nvSpPr>
        <xdr:cNvPr id="102" name="Oval 101">
          <a:extLst>
            <a:ext uri="{FF2B5EF4-FFF2-40B4-BE49-F238E27FC236}">
              <a16:creationId xmlns:a16="http://schemas.microsoft.com/office/drawing/2014/main" id="{25F4EDAE-1E55-4A59-B614-5AB94129B5E2}"/>
            </a:ext>
          </a:extLst>
        </xdr:cNvPr>
        <xdr:cNvSpPr/>
      </xdr:nvSpPr>
      <xdr:spPr>
        <a:xfrm>
          <a:off x="6876519" y="9680047"/>
          <a:ext cx="85725" cy="86660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149222</xdr:colOff>
      <xdr:row>42</xdr:row>
      <xdr:rowOff>31750</xdr:rowOff>
    </xdr:from>
    <xdr:to>
      <xdr:col>11</xdr:col>
      <xdr:colOff>174622</xdr:colOff>
      <xdr:row>54</xdr:row>
      <xdr:rowOff>125413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D2FE63A2-DEEE-47EA-AF54-EE798AAC8C94}"/>
            </a:ext>
          </a:extLst>
        </xdr:cNvPr>
        <xdr:cNvCxnSpPr/>
      </xdr:nvCxnSpPr>
      <xdr:spPr>
        <a:xfrm flipH="1">
          <a:off x="7775572" y="8007350"/>
          <a:ext cx="25400" cy="23034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847722</xdr:colOff>
      <xdr:row>53</xdr:row>
      <xdr:rowOff>1588</xdr:rowOff>
    </xdr:from>
    <xdr:ext cx="330629" cy="280205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9F64B39D-A23C-45AD-B859-A8D9AB52ADBC}"/>
            </a:ext>
          </a:extLst>
        </xdr:cNvPr>
        <xdr:cNvSpPr/>
      </xdr:nvSpPr>
      <xdr:spPr>
        <a:xfrm>
          <a:off x="7527922" y="10002838"/>
          <a:ext cx="33062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</a:t>
          </a:r>
        </a:p>
      </xdr:txBody>
    </xdr:sp>
    <xdr:clientData/>
  </xdr:oneCellAnchor>
  <xdr:oneCellAnchor>
    <xdr:from>
      <xdr:col>10</xdr:col>
      <xdr:colOff>866772</xdr:colOff>
      <xdr:row>42</xdr:row>
      <xdr:rowOff>0</xdr:rowOff>
    </xdr:from>
    <xdr:ext cx="330629" cy="280205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BAD89604-C337-4E4A-B326-D80B466024E1}"/>
            </a:ext>
          </a:extLst>
        </xdr:cNvPr>
        <xdr:cNvSpPr/>
      </xdr:nvSpPr>
      <xdr:spPr>
        <a:xfrm>
          <a:off x="7546972" y="7975600"/>
          <a:ext cx="33062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</a:t>
          </a:r>
        </a:p>
      </xdr:txBody>
    </xdr:sp>
    <xdr:clientData/>
  </xdr:oneCellAnchor>
  <xdr:oneCellAnchor>
    <xdr:from>
      <xdr:col>11</xdr:col>
      <xdr:colOff>504822</xdr:colOff>
      <xdr:row>52</xdr:row>
      <xdr:rowOff>103188</xdr:rowOff>
    </xdr:from>
    <xdr:ext cx="168854" cy="311496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B714A06-B74D-48E2-B71F-298981941824}"/>
            </a:ext>
          </a:extLst>
        </xdr:cNvPr>
        <xdr:cNvSpPr/>
      </xdr:nvSpPr>
      <xdr:spPr>
        <a:xfrm>
          <a:off x="8131172" y="9920288"/>
          <a:ext cx="168854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</a:t>
          </a:r>
        </a:p>
      </xdr:txBody>
    </xdr:sp>
    <xdr:clientData/>
  </xdr:oneCellAnchor>
  <xdr:twoCellAnchor>
    <xdr:from>
      <xdr:col>10</xdr:col>
      <xdr:colOff>6347</xdr:colOff>
      <xdr:row>52</xdr:row>
      <xdr:rowOff>166688</xdr:rowOff>
    </xdr:from>
    <xdr:to>
      <xdr:col>12</xdr:col>
      <xdr:colOff>757235</xdr:colOff>
      <xdr:row>53</xdr:row>
      <xdr:rowOff>1588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85035EB1-5C6C-4C9B-9FCA-276ABDC5A137}"/>
            </a:ext>
          </a:extLst>
        </xdr:cNvPr>
        <xdr:cNvCxnSpPr/>
      </xdr:nvCxnSpPr>
      <xdr:spPr>
        <a:xfrm flipV="1">
          <a:off x="6686547" y="9983788"/>
          <a:ext cx="2325688" cy="1905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14285</xdr:colOff>
      <xdr:row>43</xdr:row>
      <xdr:rowOff>36513</xdr:rowOff>
    </xdr:from>
    <xdr:to>
      <xdr:col>13</xdr:col>
      <xdr:colOff>26985</xdr:colOff>
      <xdr:row>52</xdr:row>
      <xdr:rowOff>166688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8F04EF23-EA6D-4CCC-8602-A145E82BA675}"/>
            </a:ext>
          </a:extLst>
        </xdr:cNvPr>
        <xdr:cNvCxnSpPr/>
      </xdr:nvCxnSpPr>
      <xdr:spPr>
        <a:xfrm>
          <a:off x="9082085" y="8196263"/>
          <a:ext cx="12700" cy="1787525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39685</xdr:colOff>
      <xdr:row>46</xdr:row>
      <xdr:rowOff>150813</xdr:rowOff>
    </xdr:from>
    <xdr:ext cx="114300" cy="311496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7C8FA4DD-F718-4D2B-9E56-0D0ADA7399F7}"/>
            </a:ext>
          </a:extLst>
        </xdr:cNvPr>
        <xdr:cNvSpPr/>
      </xdr:nvSpPr>
      <xdr:spPr>
        <a:xfrm>
          <a:off x="9107485" y="8863013"/>
          <a:ext cx="11430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</a:t>
          </a:r>
        </a:p>
      </xdr:txBody>
    </xdr:sp>
    <xdr:clientData/>
  </xdr:oneCellAnchor>
  <xdr:oneCellAnchor>
    <xdr:from>
      <xdr:col>10</xdr:col>
      <xdr:colOff>822322</xdr:colOff>
      <xdr:row>43</xdr:row>
      <xdr:rowOff>155575</xdr:rowOff>
    </xdr:from>
    <xdr:ext cx="431800" cy="311496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B03D7108-5F73-4737-B557-D599D8BF940D}"/>
            </a:ext>
          </a:extLst>
        </xdr:cNvPr>
        <xdr:cNvSpPr/>
      </xdr:nvSpPr>
      <xdr:spPr>
        <a:xfrm>
          <a:off x="7502522" y="8315325"/>
          <a:ext cx="43180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</a:t>
          </a:r>
        </a:p>
      </xdr:txBody>
    </xdr:sp>
    <xdr:clientData/>
  </xdr:oneCellAnchor>
  <xdr:oneCellAnchor>
    <xdr:from>
      <xdr:col>10</xdr:col>
      <xdr:colOff>173035</xdr:colOff>
      <xdr:row>46</xdr:row>
      <xdr:rowOff>163513</xdr:rowOff>
    </xdr:from>
    <xdr:ext cx="431800" cy="311496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6E69F37A-5D0C-4307-A172-79B4F91032FA}"/>
            </a:ext>
          </a:extLst>
        </xdr:cNvPr>
        <xdr:cNvSpPr/>
      </xdr:nvSpPr>
      <xdr:spPr>
        <a:xfrm>
          <a:off x="6853235" y="8875713"/>
          <a:ext cx="43180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bf</a:t>
          </a:r>
        </a:p>
      </xdr:txBody>
    </xdr:sp>
    <xdr:clientData/>
  </xdr:oneCellAnchor>
  <xdr:twoCellAnchor>
    <xdr:from>
      <xdr:col>11</xdr:col>
      <xdr:colOff>552450</xdr:colOff>
      <xdr:row>64</xdr:row>
      <xdr:rowOff>69850</xdr:rowOff>
    </xdr:from>
    <xdr:to>
      <xdr:col>14</xdr:col>
      <xdr:colOff>482600</xdr:colOff>
      <xdr:row>64</xdr:row>
      <xdr:rowOff>162791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70B840CA-3D7E-49FD-8681-70D22EF8FAA4}"/>
            </a:ext>
          </a:extLst>
        </xdr:cNvPr>
        <xdr:cNvSpPr/>
      </xdr:nvSpPr>
      <xdr:spPr>
        <a:xfrm>
          <a:off x="8178800" y="12096750"/>
          <a:ext cx="1981200" cy="9294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254000</xdr:colOff>
      <xdr:row>67</xdr:row>
      <xdr:rowOff>139700</xdr:rowOff>
    </xdr:from>
    <xdr:to>
      <xdr:col>13</xdr:col>
      <xdr:colOff>419100</xdr:colOff>
      <xdr:row>68</xdr:row>
      <xdr:rowOff>139700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246FBD8D-EF27-AE23-3478-2E6E88E5BEEF}"/>
            </a:ext>
          </a:extLst>
        </xdr:cNvPr>
        <xdr:cNvCxnSpPr/>
      </xdr:nvCxnSpPr>
      <xdr:spPr>
        <a:xfrm flipV="1">
          <a:off x="9321800" y="12738100"/>
          <a:ext cx="165100" cy="184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463550</xdr:colOff>
      <xdr:row>53</xdr:row>
      <xdr:rowOff>82550</xdr:rowOff>
    </xdr:from>
    <xdr:ext cx="748346" cy="248851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7C32C005-F5B1-41EA-ADD5-4F762CBBA1C7}"/>
            </a:ext>
          </a:extLst>
        </xdr:cNvPr>
        <xdr:cNvSpPr/>
      </xdr:nvSpPr>
      <xdr:spPr>
        <a:xfrm>
          <a:off x="9531350" y="10083800"/>
          <a:ext cx="748346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x-x Section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592412</xdr:colOff>
      <xdr:row>49</xdr:row>
      <xdr:rowOff>48032</xdr:rowOff>
    </xdr:from>
    <xdr:ext cx="184731" cy="248851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69E98669-C4AA-411A-9AA4-2E7F1628C62C}"/>
            </a:ext>
          </a:extLst>
        </xdr:cNvPr>
        <xdr:cNvSpPr/>
      </xdr:nvSpPr>
      <xdr:spPr>
        <a:xfrm>
          <a:off x="10441262" y="9261882"/>
          <a:ext cx="184731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9</xdr:col>
      <xdr:colOff>241300</xdr:colOff>
      <xdr:row>17</xdr:row>
      <xdr:rowOff>114300</xdr:rowOff>
    </xdr:from>
    <xdr:to>
      <xdr:col>9</xdr:col>
      <xdr:colOff>247650</xdr:colOff>
      <xdr:row>20</xdr:row>
      <xdr:rowOff>69850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84830F18-2C36-10A2-FA7B-48CB5CBFEF77}"/>
            </a:ext>
          </a:extLst>
        </xdr:cNvPr>
        <xdr:cNvCxnSpPr/>
      </xdr:nvCxnSpPr>
      <xdr:spPr>
        <a:xfrm flipH="1" flipV="1">
          <a:off x="7162800" y="3302000"/>
          <a:ext cx="6350" cy="508000"/>
        </a:xfrm>
        <a:prstGeom prst="straightConnector1">
          <a:avLst/>
        </a:prstGeom>
        <a:ln w="15875">
          <a:solidFill>
            <a:schemeClr val="tx1">
              <a:lumMod val="85000"/>
              <a:lumOff val="1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21</xdr:row>
      <xdr:rowOff>102627</xdr:rowOff>
    </xdr:from>
    <xdr:to>
      <xdr:col>11</xdr:col>
      <xdr:colOff>606778</xdr:colOff>
      <xdr:row>22</xdr:row>
      <xdr:rowOff>5774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C5A7837-93B8-479C-8884-1E630670B040}"/>
            </a:ext>
          </a:extLst>
        </xdr:cNvPr>
        <xdr:cNvSpPr/>
      </xdr:nvSpPr>
      <xdr:spPr>
        <a:xfrm>
          <a:off x="6780389" y="3277627"/>
          <a:ext cx="2088445" cy="8659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214239</xdr:colOff>
      <xdr:row>20</xdr:row>
      <xdr:rowOff>96858</xdr:rowOff>
    </xdr:from>
    <xdr:to>
      <xdr:col>9</xdr:col>
      <xdr:colOff>283513</xdr:colOff>
      <xdr:row>23</xdr:row>
      <xdr:rowOff>171903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23157FA-1EF5-45BC-8D89-A8567C84F666}"/>
            </a:ext>
          </a:extLst>
        </xdr:cNvPr>
        <xdr:cNvSpPr/>
      </xdr:nvSpPr>
      <xdr:spPr>
        <a:xfrm rot="5400000" flipV="1">
          <a:off x="6716576" y="3366466"/>
          <a:ext cx="625378" cy="69274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187685</xdr:colOff>
      <xdr:row>20</xdr:row>
      <xdr:rowOff>139578</xdr:rowOff>
    </xdr:from>
    <xdr:to>
      <xdr:col>11</xdr:col>
      <xdr:colOff>256959</xdr:colOff>
      <xdr:row>24</xdr:row>
      <xdr:rowOff>31179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AA3033A-7245-48EA-A995-C2F9F65BBA3D}"/>
            </a:ext>
          </a:extLst>
        </xdr:cNvPr>
        <xdr:cNvSpPr/>
      </xdr:nvSpPr>
      <xdr:spPr>
        <a:xfrm rot="5400000" flipV="1">
          <a:off x="8171689" y="3409186"/>
          <a:ext cx="625378" cy="69274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140285</xdr:colOff>
      <xdr:row>21</xdr:row>
      <xdr:rowOff>57728</xdr:rowOff>
    </xdr:from>
    <xdr:to>
      <xdr:col>9</xdr:col>
      <xdr:colOff>364323</xdr:colOff>
      <xdr:row>21</xdr:row>
      <xdr:rowOff>104368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FEAE950-3BC8-4687-9495-A82341E023E3}"/>
            </a:ext>
          </a:extLst>
        </xdr:cNvPr>
        <xdr:cNvSpPr/>
      </xdr:nvSpPr>
      <xdr:spPr>
        <a:xfrm flipV="1">
          <a:off x="6920674" y="3232728"/>
          <a:ext cx="224038" cy="4664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101343</xdr:colOff>
      <xdr:row>21</xdr:row>
      <xdr:rowOff>51955</xdr:rowOff>
    </xdr:from>
    <xdr:to>
      <xdr:col>11</xdr:col>
      <xdr:colOff>327947</xdr:colOff>
      <xdr:row>21</xdr:row>
      <xdr:rowOff>98595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0A86B99-B783-4ECA-9C94-717FD227BAA3}"/>
            </a:ext>
          </a:extLst>
        </xdr:cNvPr>
        <xdr:cNvSpPr/>
      </xdr:nvSpPr>
      <xdr:spPr>
        <a:xfrm flipV="1">
          <a:off x="8363399" y="3226955"/>
          <a:ext cx="226604" cy="4664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92364</xdr:colOff>
      <xdr:row>14</xdr:row>
      <xdr:rowOff>114172</xdr:rowOff>
    </xdr:from>
    <xdr:to>
      <xdr:col>10</xdr:col>
      <xdr:colOff>658733</xdr:colOff>
      <xdr:row>21</xdr:row>
      <xdr:rowOff>104937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7045D76-3656-4A11-9C99-8B063DE9B139}"/>
            </a:ext>
          </a:extLst>
        </xdr:cNvPr>
        <xdr:cNvSpPr/>
      </xdr:nvSpPr>
      <xdr:spPr>
        <a:xfrm>
          <a:off x="7479531" y="2371950"/>
          <a:ext cx="566369" cy="90798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19627</xdr:colOff>
      <xdr:row>14</xdr:row>
      <xdr:rowOff>122253</xdr:rowOff>
    </xdr:from>
    <xdr:to>
      <xdr:col>10</xdr:col>
      <xdr:colOff>80818</xdr:colOff>
      <xdr:row>21</xdr:row>
      <xdr:rowOff>113018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BE93CA1-1B4D-4ADF-954A-DBE1485C2229}"/>
            </a:ext>
          </a:extLst>
        </xdr:cNvPr>
        <xdr:cNvSpPr/>
      </xdr:nvSpPr>
      <xdr:spPr>
        <a:xfrm>
          <a:off x="7406794" y="2380031"/>
          <a:ext cx="61191" cy="90798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647187</xdr:colOff>
      <xdr:row>14</xdr:row>
      <xdr:rowOff>102626</xdr:rowOff>
    </xdr:from>
    <xdr:to>
      <xdr:col>10</xdr:col>
      <xdr:colOff>708378</xdr:colOff>
      <xdr:row>21</xdr:row>
      <xdr:rowOff>93391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3FF17AAC-01B1-4F8B-9D66-427FE81E1B31}"/>
            </a:ext>
          </a:extLst>
        </xdr:cNvPr>
        <xdr:cNvSpPr/>
      </xdr:nvSpPr>
      <xdr:spPr>
        <a:xfrm>
          <a:off x="8034354" y="2360404"/>
          <a:ext cx="61191" cy="90798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370096</xdr:colOff>
      <xdr:row>13</xdr:row>
      <xdr:rowOff>0</xdr:rowOff>
    </xdr:from>
    <xdr:to>
      <xdr:col>10</xdr:col>
      <xdr:colOff>375869</xdr:colOff>
      <xdr:row>19</xdr:row>
      <xdr:rowOff>34637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D583DE7-A92C-4EEC-94E2-2B5FFA2B085C}"/>
            </a:ext>
          </a:extLst>
        </xdr:cNvPr>
        <xdr:cNvCxnSpPr/>
      </xdr:nvCxnSpPr>
      <xdr:spPr>
        <a:xfrm>
          <a:off x="7757263" y="1890889"/>
          <a:ext cx="5773" cy="9518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254642</xdr:colOff>
      <xdr:row>13</xdr:row>
      <xdr:rowOff>28864</xdr:rowOff>
    </xdr:from>
    <xdr:to>
      <xdr:col>10</xdr:col>
      <xdr:colOff>530116</xdr:colOff>
      <xdr:row>15</xdr:row>
      <xdr:rowOff>85309</xdr:rowOff>
    </xdr:to>
    <xdr:sp macro="" textlink="">
      <xdr:nvSpPr>
        <xdr:cNvPr id="14" name="Arrow: Curved Left 13">
          <a:extLst>
            <a:ext uri="{FF2B5EF4-FFF2-40B4-BE49-F238E27FC236}">
              <a16:creationId xmlns:a16="http://schemas.microsoft.com/office/drawing/2014/main" id="{6F2E2CEA-6699-4ECB-9706-28B1161C9AE8}"/>
            </a:ext>
          </a:extLst>
        </xdr:cNvPr>
        <xdr:cNvSpPr/>
      </xdr:nvSpPr>
      <xdr:spPr>
        <a:xfrm>
          <a:off x="7641809" y="2103197"/>
          <a:ext cx="275474" cy="423334"/>
        </a:xfrm>
        <a:prstGeom prst="curved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oneCellAnchor>
    <xdr:from>
      <xdr:col>10</xdr:col>
      <xdr:colOff>184150</xdr:colOff>
      <xdr:row>11</xdr:row>
      <xdr:rowOff>43039</xdr:rowOff>
    </xdr:from>
    <xdr:ext cx="330629" cy="280205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A09C5FC-2732-4244-A9A1-EDBDDE881662}"/>
            </a:ext>
          </a:extLst>
        </xdr:cNvPr>
        <xdr:cNvSpPr/>
      </xdr:nvSpPr>
      <xdr:spPr>
        <a:xfrm>
          <a:off x="7594600" y="2125839"/>
          <a:ext cx="33062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</a:t>
          </a:r>
        </a:p>
      </xdr:txBody>
    </xdr:sp>
    <xdr:clientData/>
  </xdr:oneCellAnchor>
  <xdr:oneCellAnchor>
    <xdr:from>
      <xdr:col>9</xdr:col>
      <xdr:colOff>547435</xdr:colOff>
      <xdr:row>13</xdr:row>
      <xdr:rowOff>0</xdr:rowOff>
    </xdr:from>
    <xdr:ext cx="382862" cy="280205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7BC5C60C-8F7D-45DA-9664-688FD7090E4D}"/>
            </a:ext>
          </a:extLst>
        </xdr:cNvPr>
        <xdr:cNvSpPr/>
      </xdr:nvSpPr>
      <xdr:spPr>
        <a:xfrm>
          <a:off x="7327824" y="2074333"/>
          <a:ext cx="38286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Mx</a:t>
          </a:r>
        </a:p>
      </xdr:txBody>
    </xdr:sp>
    <xdr:clientData/>
  </xdr:oneCellAnchor>
  <xdr:twoCellAnchor>
    <xdr:from>
      <xdr:col>11</xdr:col>
      <xdr:colOff>819153</xdr:colOff>
      <xdr:row>14</xdr:row>
      <xdr:rowOff>6352</xdr:rowOff>
    </xdr:from>
    <xdr:to>
      <xdr:col>15</xdr:col>
      <xdr:colOff>143664</xdr:colOff>
      <xdr:row>23</xdr:row>
      <xdr:rowOff>13407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68269F77-ECDD-4103-9115-A4877391224D}"/>
            </a:ext>
          </a:extLst>
        </xdr:cNvPr>
        <xdr:cNvSpPr/>
      </xdr:nvSpPr>
      <xdr:spPr>
        <a:xfrm>
          <a:off x="9226553" y="2641602"/>
          <a:ext cx="2245511" cy="166440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557389</xdr:colOff>
      <xdr:row>16</xdr:row>
      <xdr:rowOff>28222</xdr:rowOff>
    </xdr:from>
    <xdr:to>
      <xdr:col>13</xdr:col>
      <xdr:colOff>0</xdr:colOff>
      <xdr:row>21</xdr:row>
      <xdr:rowOff>25400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138D24D0-EE77-4723-861E-3737B6D8F9E0}"/>
            </a:ext>
          </a:extLst>
        </xdr:cNvPr>
        <xdr:cNvSpPr/>
      </xdr:nvSpPr>
      <xdr:spPr>
        <a:xfrm>
          <a:off x="9652000" y="3203222"/>
          <a:ext cx="49389" cy="9144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604663</xdr:colOff>
      <xdr:row>18</xdr:row>
      <xdr:rowOff>72674</xdr:rowOff>
    </xdr:from>
    <xdr:to>
      <xdr:col>14</xdr:col>
      <xdr:colOff>44452</xdr:colOff>
      <xdr:row>18</xdr:row>
      <xdr:rowOff>122063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EF6F780A-DEC1-4B4B-A080-D3358F2AAE22}"/>
            </a:ext>
          </a:extLst>
        </xdr:cNvPr>
        <xdr:cNvSpPr/>
      </xdr:nvSpPr>
      <xdr:spPr>
        <a:xfrm rot="5400000">
          <a:off x="10131779" y="3182058"/>
          <a:ext cx="49389" cy="9144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56447</xdr:colOff>
      <xdr:row>16</xdr:row>
      <xdr:rowOff>7057</xdr:rowOff>
    </xdr:from>
    <xdr:to>
      <xdr:col>14</xdr:col>
      <xdr:colOff>105836</xdr:colOff>
      <xdr:row>21</xdr:row>
      <xdr:rowOff>4235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E9D2DA11-F4CE-4FC6-AF3D-4EE1EAB4E5F8}"/>
            </a:ext>
          </a:extLst>
        </xdr:cNvPr>
        <xdr:cNvSpPr/>
      </xdr:nvSpPr>
      <xdr:spPr>
        <a:xfrm>
          <a:off x="10625669" y="3182057"/>
          <a:ext cx="49389" cy="9144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207433</xdr:colOff>
      <xdr:row>15</xdr:row>
      <xdr:rowOff>21166</xdr:rowOff>
    </xdr:from>
    <xdr:to>
      <xdr:col>12</xdr:col>
      <xdr:colOff>293158</xdr:colOff>
      <xdr:row>15</xdr:row>
      <xdr:rowOff>108710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C19508C0-4195-40F3-A1CD-09CE2549F220}"/>
            </a:ext>
          </a:extLst>
        </xdr:cNvPr>
        <xdr:cNvSpPr/>
      </xdr:nvSpPr>
      <xdr:spPr>
        <a:xfrm>
          <a:off x="9330266" y="3056466"/>
          <a:ext cx="85725" cy="8754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207433</xdr:colOff>
      <xdr:row>15</xdr:row>
      <xdr:rowOff>21166</xdr:rowOff>
    </xdr:from>
    <xdr:to>
      <xdr:col>12</xdr:col>
      <xdr:colOff>293158</xdr:colOff>
      <xdr:row>15</xdr:row>
      <xdr:rowOff>111531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E2C4CE05-5D7E-4B6C-8D4A-1D109C4CC982}"/>
            </a:ext>
          </a:extLst>
        </xdr:cNvPr>
        <xdr:cNvSpPr/>
      </xdr:nvSpPr>
      <xdr:spPr>
        <a:xfrm>
          <a:off x="9330266" y="3056466"/>
          <a:ext cx="85725" cy="9036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486833</xdr:colOff>
      <xdr:row>15</xdr:row>
      <xdr:rowOff>0</xdr:rowOff>
    </xdr:from>
    <xdr:to>
      <xdr:col>14</xdr:col>
      <xdr:colOff>572558</xdr:colOff>
      <xdr:row>15</xdr:row>
      <xdr:rowOff>90365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9BDF7900-6EB9-46E9-944D-CC44E7EF1356}"/>
            </a:ext>
          </a:extLst>
        </xdr:cNvPr>
        <xdr:cNvSpPr/>
      </xdr:nvSpPr>
      <xdr:spPr>
        <a:xfrm>
          <a:off x="11091333" y="3035300"/>
          <a:ext cx="85725" cy="9036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469900</xdr:colOff>
      <xdr:row>21</xdr:row>
      <xdr:rowOff>156633</xdr:rowOff>
    </xdr:from>
    <xdr:to>
      <xdr:col>14</xdr:col>
      <xdr:colOff>555625</xdr:colOff>
      <xdr:row>22</xdr:row>
      <xdr:rowOff>60731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F4E63FB0-F367-4316-82F7-FC72E929D5C7}"/>
            </a:ext>
          </a:extLst>
        </xdr:cNvPr>
        <xdr:cNvSpPr/>
      </xdr:nvSpPr>
      <xdr:spPr>
        <a:xfrm>
          <a:off x="11074400" y="4309533"/>
          <a:ext cx="85725" cy="9036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182034</xdr:colOff>
      <xdr:row>21</xdr:row>
      <xdr:rowOff>131234</xdr:rowOff>
    </xdr:from>
    <xdr:to>
      <xdr:col>12</xdr:col>
      <xdr:colOff>267759</xdr:colOff>
      <xdr:row>22</xdr:row>
      <xdr:rowOff>35332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7071E4B-D36C-4BBE-9F37-0F804D009DC3}"/>
            </a:ext>
          </a:extLst>
        </xdr:cNvPr>
        <xdr:cNvSpPr/>
      </xdr:nvSpPr>
      <xdr:spPr>
        <a:xfrm>
          <a:off x="9304867" y="4284134"/>
          <a:ext cx="85725" cy="9036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469900</xdr:colOff>
      <xdr:row>12</xdr:row>
      <xdr:rowOff>101600</xdr:rowOff>
    </xdr:from>
    <xdr:to>
      <xdr:col>13</xdr:col>
      <xdr:colOff>495300</xdr:colOff>
      <xdr:row>25</xdr:row>
      <xdr:rowOff>31750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914A809E-6B36-50B8-4473-24AB17828BCB}"/>
            </a:ext>
          </a:extLst>
        </xdr:cNvPr>
        <xdr:cNvCxnSpPr/>
      </xdr:nvCxnSpPr>
      <xdr:spPr>
        <a:xfrm flipH="1">
          <a:off x="10198100" y="2368550"/>
          <a:ext cx="25400" cy="2508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222250</xdr:colOff>
      <xdr:row>23</xdr:row>
      <xdr:rowOff>88900</xdr:rowOff>
    </xdr:from>
    <xdr:ext cx="330629" cy="280205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4DA4584B-1B2B-4EB8-A18E-6AE7458006E7}"/>
            </a:ext>
          </a:extLst>
        </xdr:cNvPr>
        <xdr:cNvSpPr/>
      </xdr:nvSpPr>
      <xdr:spPr>
        <a:xfrm>
          <a:off x="9950450" y="4565650"/>
          <a:ext cx="33062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</a:t>
          </a:r>
        </a:p>
      </xdr:txBody>
    </xdr:sp>
    <xdr:clientData/>
  </xdr:oneCellAnchor>
  <xdr:oneCellAnchor>
    <xdr:from>
      <xdr:col>13</xdr:col>
      <xdr:colOff>241300</xdr:colOff>
      <xdr:row>12</xdr:row>
      <xdr:rowOff>69850</xdr:rowOff>
    </xdr:from>
    <xdr:ext cx="330629" cy="280205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8FBBC21D-69CF-4471-A1AA-1643B696F0A0}"/>
            </a:ext>
          </a:extLst>
        </xdr:cNvPr>
        <xdr:cNvSpPr/>
      </xdr:nvSpPr>
      <xdr:spPr>
        <a:xfrm>
          <a:off x="9969500" y="2336800"/>
          <a:ext cx="33062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</a:t>
          </a:r>
        </a:p>
      </xdr:txBody>
    </xdr:sp>
    <xdr:clientData/>
  </xdr:oneCellAnchor>
  <xdr:oneCellAnchor>
    <xdr:from>
      <xdr:col>13</xdr:col>
      <xdr:colOff>825500</xdr:colOff>
      <xdr:row>23</xdr:row>
      <xdr:rowOff>6350</xdr:rowOff>
    </xdr:from>
    <xdr:ext cx="168854" cy="311496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9B80E298-369D-4642-A2BB-A668543E5912}"/>
            </a:ext>
          </a:extLst>
        </xdr:cNvPr>
        <xdr:cNvSpPr/>
      </xdr:nvSpPr>
      <xdr:spPr>
        <a:xfrm>
          <a:off x="10553700" y="4483100"/>
          <a:ext cx="168854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</a:t>
          </a:r>
        </a:p>
      </xdr:txBody>
    </xdr:sp>
    <xdr:clientData/>
  </xdr:oneCellAnchor>
  <xdr:twoCellAnchor>
    <xdr:from>
      <xdr:col>11</xdr:col>
      <xdr:colOff>825500</xdr:colOff>
      <xdr:row>23</xdr:row>
      <xdr:rowOff>69850</xdr:rowOff>
    </xdr:from>
    <xdr:to>
      <xdr:col>15</xdr:col>
      <xdr:colOff>222250</xdr:colOff>
      <xdr:row>23</xdr:row>
      <xdr:rowOff>88900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8BADCBD7-F9CF-B8DF-85DA-882E18413584}"/>
            </a:ext>
          </a:extLst>
        </xdr:cNvPr>
        <xdr:cNvCxnSpPr/>
      </xdr:nvCxnSpPr>
      <xdr:spPr>
        <a:xfrm flipV="1">
          <a:off x="9112250" y="4546600"/>
          <a:ext cx="2317750" cy="1905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292100</xdr:colOff>
      <xdr:row>13</xdr:row>
      <xdr:rowOff>107950</xdr:rowOff>
    </xdr:from>
    <xdr:to>
      <xdr:col>15</xdr:col>
      <xdr:colOff>304800</xdr:colOff>
      <xdr:row>23</xdr:row>
      <xdr:rowOff>69850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5624E0BE-4771-467A-8FB7-53D88A05DBE9}"/>
            </a:ext>
          </a:extLst>
        </xdr:cNvPr>
        <xdr:cNvCxnSpPr/>
      </xdr:nvCxnSpPr>
      <xdr:spPr>
        <a:xfrm>
          <a:off x="11499850" y="2743200"/>
          <a:ext cx="12700" cy="180340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317500</xdr:colOff>
      <xdr:row>17</xdr:row>
      <xdr:rowOff>44450</xdr:rowOff>
    </xdr:from>
    <xdr:ext cx="114300" cy="311496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726A04B4-6266-4817-A2C6-049CDCEFCEF0}"/>
            </a:ext>
          </a:extLst>
        </xdr:cNvPr>
        <xdr:cNvSpPr/>
      </xdr:nvSpPr>
      <xdr:spPr>
        <a:xfrm>
          <a:off x="11525250" y="3232150"/>
          <a:ext cx="11430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</a:t>
          </a:r>
        </a:p>
      </xdr:txBody>
    </xdr:sp>
    <xdr:clientData/>
  </xdr:oneCellAnchor>
  <xdr:twoCellAnchor>
    <xdr:from>
      <xdr:col>12</xdr:col>
      <xdr:colOff>520700</xdr:colOff>
      <xdr:row>15</xdr:row>
      <xdr:rowOff>141113</xdr:rowOff>
    </xdr:from>
    <xdr:to>
      <xdr:col>14</xdr:col>
      <xdr:colOff>134764</xdr:colOff>
      <xdr:row>15</xdr:row>
      <xdr:rowOff>146050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89A26A62-EC53-4CA9-86BB-0A8FE703F8B8}"/>
            </a:ext>
          </a:extLst>
        </xdr:cNvPr>
        <xdr:cNvCxnSpPr/>
      </xdr:nvCxnSpPr>
      <xdr:spPr>
        <a:xfrm flipV="1">
          <a:off x="9639300" y="2960513"/>
          <a:ext cx="1093614" cy="4937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16</xdr:row>
      <xdr:rowOff>31750</xdr:rowOff>
    </xdr:from>
    <xdr:to>
      <xdr:col>12</xdr:col>
      <xdr:colOff>482600</xdr:colOff>
      <xdr:row>21</xdr:row>
      <xdr:rowOff>31750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6289D163-B457-4086-B270-3D0D2E6304B3}"/>
            </a:ext>
          </a:extLst>
        </xdr:cNvPr>
        <xdr:cNvCxnSpPr/>
      </xdr:nvCxnSpPr>
      <xdr:spPr>
        <a:xfrm>
          <a:off x="9594850" y="3035300"/>
          <a:ext cx="6350" cy="92075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196850</xdr:colOff>
      <xdr:row>14</xdr:row>
      <xdr:rowOff>44450</xdr:rowOff>
    </xdr:from>
    <xdr:ext cx="431800" cy="311496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CCF9543F-25BC-4F7E-AF46-EE4EE1D5E12F}"/>
            </a:ext>
          </a:extLst>
        </xdr:cNvPr>
        <xdr:cNvSpPr/>
      </xdr:nvSpPr>
      <xdr:spPr>
        <a:xfrm>
          <a:off x="9925050" y="2679700"/>
          <a:ext cx="43180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</a:t>
          </a:r>
        </a:p>
      </xdr:txBody>
    </xdr:sp>
    <xdr:clientData/>
  </xdr:oneCellAnchor>
  <xdr:oneCellAnchor>
    <xdr:from>
      <xdr:col>12</xdr:col>
      <xdr:colOff>158750</xdr:colOff>
      <xdr:row>17</xdr:row>
      <xdr:rowOff>57150</xdr:rowOff>
    </xdr:from>
    <xdr:ext cx="431800" cy="311496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62D63109-E437-47BB-9507-CB3136FCCF9E}"/>
            </a:ext>
          </a:extLst>
        </xdr:cNvPr>
        <xdr:cNvSpPr/>
      </xdr:nvSpPr>
      <xdr:spPr>
        <a:xfrm>
          <a:off x="9277350" y="3244850"/>
          <a:ext cx="43180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bf</a:t>
          </a:r>
        </a:p>
      </xdr:txBody>
    </xdr:sp>
    <xdr:clientData/>
  </xdr:oneCellAnchor>
  <xdr:twoCellAnchor>
    <xdr:from>
      <xdr:col>10</xdr:col>
      <xdr:colOff>730250</xdr:colOff>
      <xdr:row>20</xdr:row>
      <xdr:rowOff>63500</xdr:rowOff>
    </xdr:from>
    <xdr:to>
      <xdr:col>11</xdr:col>
      <xdr:colOff>635000</xdr:colOff>
      <xdr:row>20</xdr:row>
      <xdr:rowOff>76200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466C942C-ED57-46A8-8C7C-9FE58A86E614}"/>
            </a:ext>
          </a:extLst>
        </xdr:cNvPr>
        <xdr:cNvCxnSpPr/>
      </xdr:nvCxnSpPr>
      <xdr:spPr>
        <a:xfrm flipH="1">
          <a:off x="8140700" y="3803650"/>
          <a:ext cx="781050" cy="1270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6350</xdr:colOff>
      <xdr:row>18</xdr:row>
      <xdr:rowOff>146050</xdr:rowOff>
    </xdr:from>
    <xdr:ext cx="361950" cy="311496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2CAB4906-9634-4DBE-89CA-E2A122BBEEE4}"/>
            </a:ext>
          </a:extLst>
        </xdr:cNvPr>
        <xdr:cNvSpPr/>
      </xdr:nvSpPr>
      <xdr:spPr>
        <a:xfrm>
          <a:off x="8293100" y="3517900"/>
          <a:ext cx="36195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</a:t>
          </a:r>
        </a:p>
      </xdr:txBody>
    </xdr:sp>
    <xdr:clientData/>
  </xdr:oneCellAnchor>
  <xdr:twoCellAnchor>
    <xdr:from>
      <xdr:col>14</xdr:col>
      <xdr:colOff>114300</xdr:colOff>
      <xdr:row>20</xdr:row>
      <xdr:rowOff>57150</xdr:rowOff>
    </xdr:from>
    <xdr:to>
      <xdr:col>15</xdr:col>
      <xdr:colOff>158750</xdr:colOff>
      <xdr:row>20</xdr:row>
      <xdr:rowOff>69850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70DC221D-AC15-4227-9903-F301EB20D142}"/>
            </a:ext>
          </a:extLst>
        </xdr:cNvPr>
        <xdr:cNvCxnSpPr/>
      </xdr:nvCxnSpPr>
      <xdr:spPr>
        <a:xfrm flipH="1" flipV="1">
          <a:off x="10712450" y="3797300"/>
          <a:ext cx="654050" cy="1270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247653</xdr:colOff>
      <xdr:row>18</xdr:row>
      <xdr:rowOff>171452</xdr:rowOff>
    </xdr:from>
    <xdr:ext cx="361950" cy="311496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3418B187-BF93-4B12-91B7-7D65E465DC9C}"/>
            </a:ext>
          </a:extLst>
        </xdr:cNvPr>
        <xdr:cNvSpPr/>
      </xdr:nvSpPr>
      <xdr:spPr>
        <a:xfrm>
          <a:off x="10845803" y="3543302"/>
          <a:ext cx="36195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</a:t>
          </a:r>
        </a:p>
      </xdr:txBody>
    </xdr:sp>
    <xdr:clientData/>
  </xdr:oneCellAnchor>
  <xdr:oneCellAnchor>
    <xdr:from>
      <xdr:col>9</xdr:col>
      <xdr:colOff>107950</xdr:colOff>
      <xdr:row>16</xdr:row>
      <xdr:rowOff>101600</xdr:rowOff>
    </xdr:from>
    <xdr:ext cx="291170" cy="248851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A3594869-C2E2-4EE1-BA1E-4EE19D3AAE88}"/>
            </a:ext>
          </a:extLst>
        </xdr:cNvPr>
        <xdr:cNvSpPr/>
      </xdr:nvSpPr>
      <xdr:spPr>
        <a:xfrm>
          <a:off x="7029450" y="3105150"/>
          <a:ext cx="291170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fb</a:t>
          </a:r>
        </a:p>
      </xdr:txBody>
    </xdr:sp>
    <xdr:clientData/>
  </xdr:oneCellAnchor>
  <xdr:oneCellAnchor>
    <xdr:from>
      <xdr:col>8</xdr:col>
      <xdr:colOff>203200</xdr:colOff>
      <xdr:row>15</xdr:row>
      <xdr:rowOff>76200</xdr:rowOff>
    </xdr:from>
    <xdr:ext cx="957571" cy="248851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33EA19F8-3DF4-4D32-A3D6-4FD2BA734973}"/>
            </a:ext>
          </a:extLst>
        </xdr:cNvPr>
        <xdr:cNvSpPr/>
      </xdr:nvSpPr>
      <xdr:spPr>
        <a:xfrm>
          <a:off x="6515100" y="2895600"/>
          <a:ext cx="957571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Tension in Bolt</a:t>
          </a:r>
        </a:p>
      </xdr:txBody>
    </xdr:sp>
    <xdr:clientData/>
  </xdr:oneCellAnchor>
  <xdr:twoCellAnchor>
    <xdr:from>
      <xdr:col>11</xdr:col>
      <xdr:colOff>25400</xdr:colOff>
      <xdr:row>22</xdr:row>
      <xdr:rowOff>12700</xdr:rowOff>
    </xdr:from>
    <xdr:to>
      <xdr:col>11</xdr:col>
      <xdr:colOff>609600</xdr:colOff>
      <xdr:row>23</xdr:row>
      <xdr:rowOff>12700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6730C626-6A9B-498A-8B82-3A202163671B}"/>
            </a:ext>
          </a:extLst>
        </xdr:cNvPr>
        <xdr:cNvSpPr/>
      </xdr:nvSpPr>
      <xdr:spPr>
        <a:xfrm>
          <a:off x="8432800" y="4121150"/>
          <a:ext cx="584200" cy="1841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1">
              <a:shade val="15000"/>
              <a:alpha val="89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82550</xdr:colOff>
      <xdr:row>22</xdr:row>
      <xdr:rowOff>6350</xdr:rowOff>
    </xdr:from>
    <xdr:to>
      <xdr:col>11</xdr:col>
      <xdr:colOff>82550</xdr:colOff>
      <xdr:row>23</xdr:row>
      <xdr:rowOff>6350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76CD635D-3EE6-4373-8B12-78C0DE9EC106}"/>
            </a:ext>
          </a:extLst>
        </xdr:cNvPr>
        <xdr:cNvCxnSpPr/>
      </xdr:nvCxnSpPr>
      <xdr:spPr>
        <a:xfrm>
          <a:off x="8489950" y="4114800"/>
          <a:ext cx="0" cy="184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247650</xdr:colOff>
      <xdr:row>22</xdr:row>
      <xdr:rowOff>6350</xdr:rowOff>
    </xdr:from>
    <xdr:to>
      <xdr:col>11</xdr:col>
      <xdr:colOff>247650</xdr:colOff>
      <xdr:row>23</xdr:row>
      <xdr:rowOff>6350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77584A61-4043-4E4C-B458-9F1441888B43}"/>
            </a:ext>
          </a:extLst>
        </xdr:cNvPr>
        <xdr:cNvCxnSpPr/>
      </xdr:nvCxnSpPr>
      <xdr:spPr>
        <a:xfrm>
          <a:off x="8655050" y="4114800"/>
          <a:ext cx="0" cy="184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177800</xdr:colOff>
      <xdr:row>22</xdr:row>
      <xdr:rowOff>19050</xdr:rowOff>
    </xdr:from>
    <xdr:to>
      <xdr:col>11</xdr:col>
      <xdr:colOff>177800</xdr:colOff>
      <xdr:row>23</xdr:row>
      <xdr:rowOff>19050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7ECB05FB-41AF-42F2-B512-83B9C8C94BF1}"/>
            </a:ext>
          </a:extLst>
        </xdr:cNvPr>
        <xdr:cNvCxnSpPr/>
      </xdr:nvCxnSpPr>
      <xdr:spPr>
        <a:xfrm>
          <a:off x="8585200" y="4127500"/>
          <a:ext cx="0" cy="184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381000</xdr:colOff>
      <xdr:row>22</xdr:row>
      <xdr:rowOff>0</xdr:rowOff>
    </xdr:from>
    <xdr:to>
      <xdr:col>11</xdr:col>
      <xdr:colOff>381000</xdr:colOff>
      <xdr:row>23</xdr:row>
      <xdr:rowOff>0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A41FAD2A-97FA-40DE-BA7B-2C4D46BECBDA}"/>
            </a:ext>
          </a:extLst>
        </xdr:cNvPr>
        <xdr:cNvCxnSpPr/>
      </xdr:nvCxnSpPr>
      <xdr:spPr>
        <a:xfrm>
          <a:off x="8788400" y="4108450"/>
          <a:ext cx="0" cy="184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311150</xdr:colOff>
      <xdr:row>22</xdr:row>
      <xdr:rowOff>0</xdr:rowOff>
    </xdr:from>
    <xdr:to>
      <xdr:col>11</xdr:col>
      <xdr:colOff>311150</xdr:colOff>
      <xdr:row>23</xdr:row>
      <xdr:rowOff>0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3E9A463C-5570-487C-B722-F24C275FE2F1}"/>
            </a:ext>
          </a:extLst>
        </xdr:cNvPr>
        <xdr:cNvCxnSpPr/>
      </xdr:nvCxnSpPr>
      <xdr:spPr>
        <a:xfrm>
          <a:off x="8718550" y="4108450"/>
          <a:ext cx="0" cy="184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558800</xdr:colOff>
      <xdr:row>22</xdr:row>
      <xdr:rowOff>19050</xdr:rowOff>
    </xdr:from>
    <xdr:to>
      <xdr:col>11</xdr:col>
      <xdr:colOff>558800</xdr:colOff>
      <xdr:row>23</xdr:row>
      <xdr:rowOff>19050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400EB3C4-0B1B-4BD7-8E7E-F6BCA75F0E1D}"/>
            </a:ext>
          </a:extLst>
        </xdr:cNvPr>
        <xdr:cNvCxnSpPr/>
      </xdr:nvCxnSpPr>
      <xdr:spPr>
        <a:xfrm>
          <a:off x="8966200" y="4127500"/>
          <a:ext cx="0" cy="184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444500</xdr:colOff>
      <xdr:row>21</xdr:row>
      <xdr:rowOff>177800</xdr:rowOff>
    </xdr:from>
    <xdr:to>
      <xdr:col>11</xdr:col>
      <xdr:colOff>444500</xdr:colOff>
      <xdr:row>22</xdr:row>
      <xdr:rowOff>177800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861FEDC0-F53F-419F-AF8A-56AFD012C177}"/>
            </a:ext>
          </a:extLst>
        </xdr:cNvPr>
        <xdr:cNvCxnSpPr/>
      </xdr:nvCxnSpPr>
      <xdr:spPr>
        <a:xfrm>
          <a:off x="8851900" y="4102100"/>
          <a:ext cx="0" cy="184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501650</xdr:colOff>
      <xdr:row>22</xdr:row>
      <xdr:rowOff>12700</xdr:rowOff>
    </xdr:from>
    <xdr:to>
      <xdr:col>11</xdr:col>
      <xdr:colOff>501650</xdr:colOff>
      <xdr:row>23</xdr:row>
      <xdr:rowOff>12700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2370D891-A84C-492C-A185-F34C0B93AA72}"/>
            </a:ext>
          </a:extLst>
        </xdr:cNvPr>
        <xdr:cNvCxnSpPr/>
      </xdr:nvCxnSpPr>
      <xdr:spPr>
        <a:xfrm>
          <a:off x="8909050" y="4121150"/>
          <a:ext cx="0" cy="184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285750</xdr:colOff>
      <xdr:row>23</xdr:row>
      <xdr:rowOff>25400</xdr:rowOff>
    </xdr:from>
    <xdr:ext cx="168854" cy="248851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2C14B593-D33B-4817-B641-D61C0B28D939}"/>
            </a:ext>
          </a:extLst>
        </xdr:cNvPr>
        <xdr:cNvSpPr/>
      </xdr:nvSpPr>
      <xdr:spPr>
        <a:xfrm>
          <a:off x="8693150" y="4318000"/>
          <a:ext cx="168854" cy="248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</a:t>
          </a:r>
        </a:p>
      </xdr:txBody>
    </xdr:sp>
    <xdr:clientData/>
  </xdr:oneCellAnchor>
  <xdr:twoCellAnchor>
    <xdr:from>
      <xdr:col>10</xdr:col>
      <xdr:colOff>831850</xdr:colOff>
      <xdr:row>23</xdr:row>
      <xdr:rowOff>69850</xdr:rowOff>
    </xdr:from>
    <xdr:to>
      <xdr:col>11</xdr:col>
      <xdr:colOff>673100</xdr:colOff>
      <xdr:row>23</xdr:row>
      <xdr:rowOff>82550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8E514292-30AE-43FA-8E1C-8619F975D8D4}"/>
            </a:ext>
          </a:extLst>
        </xdr:cNvPr>
        <xdr:cNvCxnSpPr/>
      </xdr:nvCxnSpPr>
      <xdr:spPr>
        <a:xfrm flipH="1" flipV="1">
          <a:off x="8362950" y="4362450"/>
          <a:ext cx="717550" cy="1270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0</xdr:colOff>
      <xdr:row>25</xdr:row>
      <xdr:rowOff>0</xdr:rowOff>
    </xdr:from>
    <xdr:ext cx="863763" cy="248851"/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CF179010-362A-4CB2-BE64-07D6C9747DB9}"/>
            </a:ext>
          </a:extLst>
        </xdr:cNvPr>
        <xdr:cNvSpPr/>
      </xdr:nvSpPr>
      <xdr:spPr>
        <a:xfrm>
          <a:off x="8407400" y="4660900"/>
          <a:ext cx="863763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Compression</a:t>
          </a:r>
        </a:p>
      </xdr:txBody>
    </xdr:sp>
    <xdr:clientData/>
  </xdr:oneCellAnchor>
  <xdr:oneCellAnchor>
    <xdr:from>
      <xdr:col>11</xdr:col>
      <xdr:colOff>6350</xdr:colOff>
      <xdr:row>21</xdr:row>
      <xdr:rowOff>146050</xdr:rowOff>
    </xdr:from>
    <xdr:ext cx="615950" cy="264560"/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BF489DD9-2E24-465F-B36C-6E376689CCF6}"/>
            </a:ext>
          </a:extLst>
        </xdr:cNvPr>
        <xdr:cNvSpPr/>
      </xdr:nvSpPr>
      <xdr:spPr>
        <a:xfrm>
          <a:off x="8413750" y="4070350"/>
          <a:ext cx="615950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0.45fck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"/>
  <sheetViews>
    <sheetView tabSelected="1" workbookViewId="0">
      <selection activeCell="A25" sqref="A25:E25"/>
    </sheetView>
  </sheetViews>
  <sheetFormatPr defaultRowHeight="14.5" x14ac:dyDescent="0.35"/>
  <cols>
    <col min="3" max="3" width="10.7265625" customWidth="1"/>
    <col min="4" max="5" width="9.26953125" customWidth="1"/>
    <col min="6" max="6" width="10.26953125" customWidth="1"/>
    <col min="12" max="12" width="12.26953125" bestFit="1" customWidth="1"/>
    <col min="15" max="15" width="11" customWidth="1"/>
    <col min="17" max="17" width="12" bestFit="1" customWidth="1"/>
  </cols>
  <sheetData>
    <row r="1" spans="1:12" ht="23.5" x14ac:dyDescent="0.55000000000000004">
      <c r="B1" s="73" t="s">
        <v>138</v>
      </c>
      <c r="C1" s="73"/>
      <c r="D1" s="73"/>
      <c r="E1" s="73"/>
      <c r="F1" s="73"/>
      <c r="G1" s="73"/>
      <c r="H1" s="73"/>
    </row>
    <row r="4" spans="1:12" x14ac:dyDescent="0.35">
      <c r="A4" s="11" t="s">
        <v>0</v>
      </c>
      <c r="B4" s="55" t="s">
        <v>139</v>
      </c>
      <c r="C4" s="55"/>
      <c r="D4" s="55"/>
      <c r="E4" s="55"/>
      <c r="F4" s="55"/>
      <c r="G4" s="55"/>
      <c r="H4" s="55"/>
      <c r="I4" s="55"/>
    </row>
    <row r="7" spans="1:12" x14ac:dyDescent="0.35">
      <c r="A7" s="72" t="s">
        <v>1</v>
      </c>
      <c r="B7" s="72"/>
    </row>
    <row r="9" spans="1:12" x14ac:dyDescent="0.35">
      <c r="A9" s="47" t="s">
        <v>11</v>
      </c>
      <c r="B9" s="48"/>
      <c r="C9" s="48"/>
      <c r="D9" s="48"/>
      <c r="E9" s="49"/>
      <c r="F9" s="4">
        <v>2000000</v>
      </c>
      <c r="G9" s="1" t="s">
        <v>3</v>
      </c>
    </row>
    <row r="10" spans="1:12" x14ac:dyDescent="0.35">
      <c r="A10" s="46" t="s">
        <v>35</v>
      </c>
      <c r="B10" s="46"/>
      <c r="C10" s="46"/>
      <c r="D10" s="46"/>
      <c r="E10" s="46"/>
      <c r="F10" s="4">
        <v>100</v>
      </c>
      <c r="G10" s="1" t="s">
        <v>25</v>
      </c>
    </row>
    <row r="11" spans="1:12" x14ac:dyDescent="0.35">
      <c r="A11" s="75" t="s">
        <v>141</v>
      </c>
      <c r="B11" s="76"/>
      <c r="C11" s="76"/>
      <c r="D11" s="76"/>
      <c r="E11" s="77"/>
      <c r="F11" s="4"/>
      <c r="G11" s="1"/>
    </row>
    <row r="12" spans="1:12" x14ac:dyDescent="0.35">
      <c r="A12" s="47" t="s">
        <v>12</v>
      </c>
      <c r="B12" s="48"/>
      <c r="C12" s="48"/>
      <c r="D12" s="48"/>
      <c r="E12" s="49"/>
      <c r="F12" s="4">
        <v>250</v>
      </c>
      <c r="G12" s="1" t="s">
        <v>2</v>
      </c>
      <c r="J12" s="4"/>
      <c r="K12" s="2" t="s">
        <v>33</v>
      </c>
      <c r="L12" s="2"/>
    </row>
    <row r="13" spans="1:12" x14ac:dyDescent="0.35">
      <c r="A13" s="47" t="s">
        <v>47</v>
      </c>
      <c r="B13" s="48"/>
      <c r="C13" s="48"/>
      <c r="D13" s="48"/>
      <c r="E13" s="49"/>
      <c r="F13" s="4">
        <v>410</v>
      </c>
      <c r="G13" s="1" t="s">
        <v>2</v>
      </c>
      <c r="J13" s="5"/>
      <c r="K13" s="45" t="s">
        <v>32</v>
      </c>
      <c r="L13" s="45"/>
    </row>
    <row r="14" spans="1:12" x14ac:dyDescent="0.35">
      <c r="A14" s="74" t="s">
        <v>142</v>
      </c>
      <c r="B14" s="74"/>
      <c r="C14" s="74"/>
      <c r="D14" s="74"/>
      <c r="E14" s="74"/>
    </row>
    <row r="15" spans="1:12" x14ac:dyDescent="0.35">
      <c r="A15" s="46" t="s">
        <v>9</v>
      </c>
      <c r="B15" s="46"/>
      <c r="C15" s="46"/>
      <c r="D15" s="46"/>
      <c r="E15" s="46"/>
      <c r="F15" s="4">
        <v>340</v>
      </c>
      <c r="G15" s="1" t="s">
        <v>6</v>
      </c>
    </row>
    <row r="16" spans="1:12" x14ac:dyDescent="0.35">
      <c r="A16" s="46" t="s">
        <v>10</v>
      </c>
      <c r="B16" s="46"/>
      <c r="C16" s="46"/>
      <c r="D16" s="46"/>
      <c r="E16" s="46"/>
      <c r="F16" s="4">
        <v>360</v>
      </c>
      <c r="G16" s="1" t="s">
        <v>6</v>
      </c>
    </row>
    <row r="17" spans="1:17" x14ac:dyDescent="0.35">
      <c r="A17" s="47" t="s">
        <v>58</v>
      </c>
      <c r="B17" s="48"/>
      <c r="C17" s="48"/>
      <c r="D17" s="48"/>
      <c r="E17" s="49"/>
      <c r="F17" s="4">
        <v>10</v>
      </c>
      <c r="G17" s="1" t="s">
        <v>6</v>
      </c>
    </row>
    <row r="18" spans="1:17" x14ac:dyDescent="0.35">
      <c r="A18" s="74" t="s">
        <v>72</v>
      </c>
      <c r="B18" s="74"/>
      <c r="C18" s="74"/>
      <c r="D18" s="74"/>
      <c r="E18" s="74"/>
    </row>
    <row r="19" spans="1:17" x14ac:dyDescent="0.35">
      <c r="A19" s="47" t="s">
        <v>34</v>
      </c>
      <c r="B19" s="48"/>
      <c r="C19" s="48"/>
      <c r="D19" s="48"/>
      <c r="E19" s="49"/>
      <c r="F19" s="4">
        <v>20</v>
      </c>
      <c r="G19" s="1" t="s">
        <v>6</v>
      </c>
    </row>
    <row r="20" spans="1:17" x14ac:dyDescent="0.35">
      <c r="A20" s="46" t="s">
        <v>46</v>
      </c>
      <c r="B20" s="46"/>
      <c r="C20" s="46"/>
      <c r="D20" s="46"/>
      <c r="E20" s="46"/>
      <c r="F20" s="4">
        <v>400</v>
      </c>
      <c r="G20" s="1" t="s">
        <v>2</v>
      </c>
    </row>
    <row r="21" spans="1:17" x14ac:dyDescent="0.35">
      <c r="A21" s="47" t="s">
        <v>48</v>
      </c>
      <c r="B21" s="48"/>
      <c r="C21" s="48"/>
      <c r="D21" s="48"/>
      <c r="E21" s="49"/>
      <c r="F21" s="4">
        <v>1.25</v>
      </c>
      <c r="G21" s="1"/>
    </row>
    <row r="22" spans="1:17" x14ac:dyDescent="0.35">
      <c r="A22" s="47" t="s">
        <v>38</v>
      </c>
      <c r="B22" s="48"/>
      <c r="C22" s="48"/>
      <c r="D22" s="48"/>
      <c r="E22" s="49"/>
      <c r="F22" s="5">
        <f>0.6*F20</f>
        <v>240</v>
      </c>
      <c r="G22" s="1" t="s">
        <v>2</v>
      </c>
    </row>
    <row r="23" spans="1:17" x14ac:dyDescent="0.35">
      <c r="A23" s="75" t="s">
        <v>108</v>
      </c>
      <c r="B23" s="76"/>
      <c r="C23" s="76"/>
      <c r="D23" s="76"/>
      <c r="E23" s="77"/>
      <c r="F23" s="5"/>
      <c r="G23" s="1"/>
    </row>
    <row r="24" spans="1:17" x14ac:dyDescent="0.35">
      <c r="A24" s="47" t="s">
        <v>140</v>
      </c>
      <c r="B24" s="48"/>
      <c r="C24" s="48"/>
      <c r="D24" s="48"/>
      <c r="E24" s="49"/>
      <c r="F24" s="4">
        <v>20</v>
      </c>
      <c r="G24" s="1" t="s">
        <v>2</v>
      </c>
    </row>
    <row r="25" spans="1:17" x14ac:dyDescent="0.35">
      <c r="A25" s="47" t="s">
        <v>13</v>
      </c>
      <c r="B25" s="48"/>
      <c r="C25" s="48"/>
      <c r="D25" s="48"/>
      <c r="E25" s="49"/>
      <c r="F25" s="5">
        <f>0.45*F24</f>
        <v>9</v>
      </c>
      <c r="G25" s="1" t="s">
        <v>2</v>
      </c>
    </row>
    <row r="26" spans="1:17" ht="15.5" x14ac:dyDescent="0.35">
      <c r="A26" s="47" t="s">
        <v>37</v>
      </c>
      <c r="B26" s="48"/>
      <c r="C26" s="48"/>
      <c r="D26" s="48"/>
      <c r="E26" s="49"/>
      <c r="F26" s="5">
        <f>F9/F25</f>
        <v>222222.22222222222</v>
      </c>
      <c r="G26" s="1" t="s">
        <v>4</v>
      </c>
    </row>
    <row r="28" spans="1:17" ht="21" x14ac:dyDescent="0.5">
      <c r="A28" s="63" t="s">
        <v>5</v>
      </c>
      <c r="B28" s="64"/>
      <c r="C28" s="64"/>
      <c r="D28" s="64"/>
      <c r="E28" s="64"/>
      <c r="F28" s="64"/>
      <c r="G28" s="64"/>
      <c r="H28" s="64"/>
      <c r="I28" s="64"/>
    </row>
    <row r="29" spans="1:17" x14ac:dyDescent="0.35">
      <c r="A29" s="47" t="s">
        <v>62</v>
      </c>
      <c r="B29" s="48"/>
      <c r="C29" s="48"/>
      <c r="D29" s="48"/>
      <c r="E29" s="49"/>
      <c r="F29" s="5">
        <f>_xlfn.CEILING.MATH(SQRT(F26),10)</f>
        <v>480</v>
      </c>
      <c r="G29" s="1" t="s">
        <v>6</v>
      </c>
    </row>
    <row r="30" spans="1:17" x14ac:dyDescent="0.35">
      <c r="A30" s="47" t="s">
        <v>14</v>
      </c>
      <c r="B30" s="48"/>
      <c r="C30" s="48"/>
      <c r="D30" s="48"/>
      <c r="E30" s="49"/>
      <c r="F30" s="5">
        <f>MAX((F29-F15),(F29-F16))/2</f>
        <v>70</v>
      </c>
      <c r="G30" s="1" t="s">
        <v>6</v>
      </c>
      <c r="N30" s="50" t="s">
        <v>94</v>
      </c>
      <c r="O30" s="51"/>
      <c r="P30" s="52"/>
    </row>
    <row r="31" spans="1:17" x14ac:dyDescent="0.35">
      <c r="A31" s="47" t="s">
        <v>100</v>
      </c>
      <c r="B31" s="48"/>
      <c r="C31" s="48"/>
      <c r="D31" s="48"/>
      <c r="E31" s="49"/>
      <c r="F31" s="5">
        <f>MIN((F29-F15),(F29-F16))/2</f>
        <v>60</v>
      </c>
      <c r="G31" s="1" t="s">
        <v>6</v>
      </c>
    </row>
    <row r="32" spans="1:17" ht="16.5" customHeight="1" x14ac:dyDescent="0.35">
      <c r="A32" s="47" t="s">
        <v>7</v>
      </c>
      <c r="B32" s="48"/>
      <c r="C32" s="48"/>
      <c r="D32" s="48"/>
      <c r="E32" s="49"/>
      <c r="F32" s="5">
        <f>F9/(F29*F29)</f>
        <v>8.6805555555555554</v>
      </c>
      <c r="G32" s="1" t="s">
        <v>2</v>
      </c>
      <c r="H32" s="56" t="str">
        <f>IF(F32&lt;F25,"Dimension selected are ok","Increase the dimensions of plate")</f>
        <v>Dimension selected are ok</v>
      </c>
      <c r="I32" s="57"/>
      <c r="J32" s="57"/>
      <c r="K32" s="57"/>
      <c r="N32" s="40" t="s">
        <v>99</v>
      </c>
      <c r="O32" s="41"/>
      <c r="P32" s="26">
        <f>F33</f>
        <v>20</v>
      </c>
      <c r="Q32" s="1" t="s">
        <v>6</v>
      </c>
    </row>
    <row r="33" spans="1:17" x14ac:dyDescent="0.35">
      <c r="A33" s="47" t="s">
        <v>8</v>
      </c>
      <c r="B33" s="48"/>
      <c r="C33" s="48"/>
      <c r="D33" s="48"/>
      <c r="E33" s="49"/>
      <c r="F33" s="5">
        <f>IF(_xlfn.CEILING.MATH(SQRT(2.5*F32*(F30^2-0.3*F31^2)*1.1/(F12)),10)&gt;F17,_xlfn.CEILING.MATH(SQRT(2.5*F32*(F30^2-0.3*F31^2)*1.1/(F12)),10),F17)</f>
        <v>20</v>
      </c>
      <c r="G33" s="1" t="s">
        <v>6</v>
      </c>
      <c r="H33" s="58" t="str">
        <f>IF(F33&gt;F17,"Provide this thickness","Taking the thickness of Column section")</f>
        <v>Provide this thickness</v>
      </c>
      <c r="I33" s="59"/>
      <c r="J33" s="59"/>
      <c r="K33" s="59"/>
      <c r="N33" s="34" t="s">
        <v>95</v>
      </c>
      <c r="O33" s="34"/>
      <c r="P33" s="26">
        <f>F29</f>
        <v>480</v>
      </c>
      <c r="Q33" s="1" t="s">
        <v>6</v>
      </c>
    </row>
    <row r="34" spans="1:17" x14ac:dyDescent="0.35">
      <c r="A34" s="47"/>
      <c r="B34" s="48"/>
      <c r="C34" s="48"/>
      <c r="D34" s="48"/>
      <c r="E34" s="49"/>
      <c r="F34" s="1" t="s">
        <v>15</v>
      </c>
      <c r="G34" s="1"/>
      <c r="N34" s="34" t="s">
        <v>96</v>
      </c>
      <c r="O34" s="34"/>
      <c r="P34" s="26">
        <f>P33</f>
        <v>480</v>
      </c>
      <c r="Q34" s="1" t="s">
        <v>6</v>
      </c>
    </row>
    <row r="35" spans="1:17" x14ac:dyDescent="0.35">
      <c r="N35" s="34" t="s">
        <v>97</v>
      </c>
      <c r="O35" s="34"/>
      <c r="P35" s="26">
        <f>F19</f>
        <v>20</v>
      </c>
      <c r="Q35" s="1" t="s">
        <v>6</v>
      </c>
    </row>
    <row r="36" spans="1:17" x14ac:dyDescent="0.35">
      <c r="A36" s="54" t="s">
        <v>51</v>
      </c>
      <c r="B36" s="54"/>
      <c r="C36" s="54"/>
      <c r="D36" s="54"/>
      <c r="E36" s="54"/>
      <c r="N36" s="34" t="s">
        <v>98</v>
      </c>
      <c r="O36" s="34"/>
      <c r="P36" s="26">
        <f>F55</f>
        <v>3</v>
      </c>
      <c r="Q36" s="1"/>
    </row>
    <row r="39" spans="1:17" x14ac:dyDescent="0.35">
      <c r="A39" s="55" t="s">
        <v>36</v>
      </c>
      <c r="B39" s="55"/>
      <c r="C39" s="55"/>
    </row>
    <row r="41" spans="1:17" x14ac:dyDescent="0.35">
      <c r="A41" s="47" t="s">
        <v>54</v>
      </c>
      <c r="B41" s="48"/>
      <c r="C41" s="48"/>
      <c r="D41" s="48"/>
      <c r="E41" s="49"/>
      <c r="F41" s="5">
        <f>0.78*3.14*F19*F19/(4)</f>
        <v>244.92000000000004</v>
      </c>
      <c r="G41" s="1" t="s">
        <v>4</v>
      </c>
    </row>
    <row r="42" spans="1:17" x14ac:dyDescent="0.35">
      <c r="A42" s="71" t="s">
        <v>55</v>
      </c>
      <c r="B42" s="71"/>
      <c r="C42" s="71"/>
      <c r="D42" s="71"/>
      <c r="E42" s="71"/>
      <c r="F42" s="36">
        <f>F20*(F41)/((SQRT(3))*F21*1000)</f>
        <v>45.249480937575413</v>
      </c>
      <c r="G42" s="60" t="s">
        <v>25</v>
      </c>
    </row>
    <row r="43" spans="1:17" ht="15" customHeight="1" x14ac:dyDescent="0.35">
      <c r="A43" s="71"/>
      <c r="B43" s="71"/>
      <c r="C43" s="71"/>
      <c r="D43" s="71"/>
      <c r="E43" s="71"/>
      <c r="F43" s="37"/>
      <c r="G43" s="61"/>
    </row>
    <row r="44" spans="1:17" ht="15" customHeight="1" x14ac:dyDescent="0.35">
      <c r="A44" s="46" t="s">
        <v>39</v>
      </c>
      <c r="B44" s="46"/>
      <c r="C44" s="46"/>
      <c r="D44" s="46"/>
      <c r="E44" s="46"/>
      <c r="F44" s="1">
        <v>22</v>
      </c>
      <c r="G44" s="1" t="s">
        <v>6</v>
      </c>
    </row>
    <row r="46" spans="1:17" x14ac:dyDescent="0.35">
      <c r="A46" s="55" t="s">
        <v>45</v>
      </c>
      <c r="B46" s="55"/>
      <c r="C46" s="55"/>
    </row>
    <row r="48" spans="1:17" x14ac:dyDescent="0.35">
      <c r="A48" s="47" t="s">
        <v>49</v>
      </c>
      <c r="B48" s="48"/>
      <c r="C48" s="48"/>
      <c r="D48" s="48"/>
      <c r="E48" s="49"/>
      <c r="F48" s="5">
        <f>2.5*F44</f>
        <v>55</v>
      </c>
      <c r="G48" s="1" t="s">
        <v>6</v>
      </c>
    </row>
    <row r="49" spans="1:13" x14ac:dyDescent="0.35">
      <c r="A49" s="46" t="s">
        <v>50</v>
      </c>
      <c r="B49" s="46"/>
      <c r="C49" s="46"/>
      <c r="D49" s="8"/>
      <c r="E49" s="8"/>
      <c r="F49" s="5">
        <f>1.5*F44</f>
        <v>33</v>
      </c>
      <c r="G49" s="1" t="s">
        <v>6</v>
      </c>
    </row>
    <row r="50" spans="1:13" x14ac:dyDescent="0.35">
      <c r="A50" s="13" t="s">
        <v>53</v>
      </c>
      <c r="B50" s="13"/>
      <c r="C50" s="13"/>
      <c r="D50" s="8"/>
      <c r="E50" s="8"/>
      <c r="F50" s="5">
        <f>MIN((F49/(3*F44)),((F48/(3*F44))-0.25),(F20/F13))</f>
        <v>0.5</v>
      </c>
      <c r="G50" s="1"/>
    </row>
    <row r="51" spans="1:13" x14ac:dyDescent="0.35">
      <c r="A51" s="65" t="s">
        <v>56</v>
      </c>
      <c r="B51" s="66"/>
      <c r="C51" s="66"/>
      <c r="D51" s="66"/>
      <c r="E51" s="67"/>
      <c r="F51" s="36">
        <f>2.5*F50*F19*F33*F13/(F21*1000)</f>
        <v>164</v>
      </c>
      <c r="G51" s="45" t="s">
        <v>25</v>
      </c>
    </row>
    <row r="52" spans="1:13" x14ac:dyDescent="0.35">
      <c r="A52" s="68"/>
      <c r="B52" s="69"/>
      <c r="C52" s="69"/>
      <c r="D52" s="69"/>
      <c r="E52" s="70"/>
      <c r="F52" s="37"/>
      <c r="G52" s="45"/>
    </row>
    <row r="53" spans="1:13" x14ac:dyDescent="0.35">
      <c r="A53" s="17"/>
      <c r="B53" s="17"/>
      <c r="C53" s="17"/>
      <c r="D53" s="17"/>
      <c r="E53" s="17"/>
      <c r="F53" s="7"/>
      <c r="G53" s="3"/>
    </row>
    <row r="54" spans="1:13" x14ac:dyDescent="0.35">
      <c r="A54" s="42" t="s">
        <v>57</v>
      </c>
      <c r="B54" s="43"/>
      <c r="C54" s="43"/>
      <c r="D54" s="43"/>
      <c r="E54" s="44"/>
      <c r="F54" s="5">
        <f>MIN(F51,F42)</f>
        <v>45.249480937575413</v>
      </c>
      <c r="G54" s="1" t="s">
        <v>25</v>
      </c>
    </row>
    <row r="55" spans="1:13" x14ac:dyDescent="0.35">
      <c r="A55" s="53" t="s">
        <v>101</v>
      </c>
      <c r="B55" s="53"/>
      <c r="C55" s="53"/>
      <c r="D55" s="53"/>
      <c r="E55" s="53"/>
      <c r="F55" s="25">
        <f>ROUNDUP(F10/F54,0)</f>
        <v>3</v>
      </c>
    </row>
    <row r="57" spans="1:13" ht="21.75" customHeight="1" x14ac:dyDescent="0.5">
      <c r="A57" s="62" t="s">
        <v>16</v>
      </c>
      <c r="B57" s="62"/>
      <c r="C57" s="62"/>
      <c r="D57" s="62"/>
      <c r="E57" s="62"/>
      <c r="F57" s="62"/>
      <c r="G57" s="62"/>
      <c r="H57" s="62"/>
      <c r="L57" t="s">
        <v>20</v>
      </c>
    </row>
    <row r="58" spans="1:13" x14ac:dyDescent="0.35">
      <c r="L58" s="1" t="s">
        <v>17</v>
      </c>
      <c r="M58" s="1">
        <f>1</f>
        <v>1</v>
      </c>
    </row>
    <row r="59" spans="1:13" x14ac:dyDescent="0.35">
      <c r="A59" s="47" t="s">
        <v>62</v>
      </c>
      <c r="B59" s="48"/>
      <c r="C59" s="48"/>
      <c r="D59" s="48"/>
      <c r="E59" s="49"/>
      <c r="F59" s="5">
        <f>MAX(F15:F16)+2*M63</f>
        <v>490</v>
      </c>
      <c r="G59" s="1" t="s">
        <v>6</v>
      </c>
      <c r="L59" s="1" t="s">
        <v>18</v>
      </c>
      <c r="M59" s="1">
        <f>(F15+F16)/2</f>
        <v>350</v>
      </c>
    </row>
    <row r="60" spans="1:13" x14ac:dyDescent="0.35">
      <c r="A60" s="47" t="s">
        <v>102</v>
      </c>
      <c r="B60" s="48"/>
      <c r="C60" s="48"/>
      <c r="D60" s="48"/>
      <c r="E60" s="49"/>
      <c r="F60" s="5">
        <f>MIN(F15:F16)+M63*2</f>
        <v>470</v>
      </c>
      <c r="G60" s="1" t="s">
        <v>6</v>
      </c>
      <c r="L60" s="1" t="s">
        <v>19</v>
      </c>
      <c r="M60" s="1">
        <f>((F15*F16)-F26)/4</f>
        <v>-24955.555555555555</v>
      </c>
    </row>
    <row r="61" spans="1:13" x14ac:dyDescent="0.35">
      <c r="A61" s="8" t="s">
        <v>7</v>
      </c>
      <c r="B61" s="8"/>
      <c r="C61" s="8"/>
      <c r="D61" s="9"/>
      <c r="E61" s="10"/>
      <c r="F61" s="5">
        <f>F9/(F59*F60)</f>
        <v>8.6843247937472867</v>
      </c>
      <c r="G61" s="1" t="s">
        <v>2</v>
      </c>
      <c r="H61" s="56" t="str">
        <f>IF(F61&lt;F25,"Dimension selected are ok","Increase the dimensions of plate")</f>
        <v>Dimension selected are ok</v>
      </c>
      <c r="I61" s="57"/>
      <c r="J61" s="57"/>
      <c r="L61" s="1" t="s">
        <v>21</v>
      </c>
      <c r="M61" s="1">
        <f>(-M59+SQRT(M59*M59-4*M58*M60))/2*M58</f>
        <v>60.755287439233399</v>
      </c>
    </row>
    <row r="62" spans="1:13" x14ac:dyDescent="0.35">
      <c r="A62" s="47" t="s">
        <v>52</v>
      </c>
      <c r="B62" s="48"/>
      <c r="C62" s="48"/>
      <c r="D62" s="48"/>
      <c r="E62" s="49"/>
      <c r="F62" s="5">
        <f>IF(SQRT(2.5*F61*(M63^2-0.3*M63^2)*1.1/(F12))&gt;F17,SQRT(2.5*F61*(M63^2-0.3*M63^2)*1.1/(F12)),F17)</f>
        <v>16.808414450880953</v>
      </c>
      <c r="G62" s="1" t="s">
        <v>6</v>
      </c>
      <c r="H62" s="58" t="str">
        <f>IF(F62&gt;F17,"Provide this thickness","Taking the thickness of Column section")</f>
        <v>Provide this thickness</v>
      </c>
      <c r="I62" s="59"/>
      <c r="J62" s="59"/>
      <c r="L62" s="1" t="s">
        <v>22</v>
      </c>
      <c r="M62" s="1">
        <f>(-M59-SQRT(M59*M59-4*M58*M60))/2*M58</f>
        <v>-410.75528743923337</v>
      </c>
    </row>
    <row r="63" spans="1:13" x14ac:dyDescent="0.35">
      <c r="L63" s="1" t="s">
        <v>23</v>
      </c>
      <c r="M63" s="1">
        <f>_xlfn.CEILING.MATH(MAX(M61:M62),5)</f>
        <v>65</v>
      </c>
    </row>
    <row r="65" spans="1:18" x14ac:dyDescent="0.35">
      <c r="A65" s="54" t="s">
        <v>51</v>
      </c>
      <c r="B65" s="54"/>
      <c r="C65" s="54"/>
      <c r="D65" s="54"/>
      <c r="E65" s="54"/>
      <c r="O65" s="50" t="s">
        <v>94</v>
      </c>
      <c r="P65" s="51"/>
      <c r="Q65" s="52"/>
    </row>
    <row r="67" spans="1:18" x14ac:dyDescent="0.35">
      <c r="O67" s="40" t="s">
        <v>99</v>
      </c>
      <c r="P67" s="41"/>
      <c r="Q67" s="26">
        <f>F62</f>
        <v>16.808414450880953</v>
      </c>
      <c r="R67" s="1" t="s">
        <v>6</v>
      </c>
    </row>
    <row r="68" spans="1:18" x14ac:dyDescent="0.35">
      <c r="A68" s="55" t="s">
        <v>36</v>
      </c>
      <c r="B68" s="55"/>
      <c r="C68" s="55"/>
      <c r="O68" s="34" t="s">
        <v>95</v>
      </c>
      <c r="P68" s="34"/>
      <c r="Q68" s="26">
        <f>F60</f>
        <v>470</v>
      </c>
      <c r="R68" s="1" t="s">
        <v>6</v>
      </c>
    </row>
    <row r="69" spans="1:18" x14ac:dyDescent="0.35">
      <c r="O69" s="34" t="s">
        <v>96</v>
      </c>
      <c r="P69" s="34"/>
      <c r="Q69" s="26">
        <f>F59</f>
        <v>490</v>
      </c>
      <c r="R69" s="1" t="s">
        <v>6</v>
      </c>
    </row>
    <row r="70" spans="1:18" x14ac:dyDescent="0.35">
      <c r="A70" s="47" t="s">
        <v>54</v>
      </c>
      <c r="B70" s="48"/>
      <c r="C70" s="48"/>
      <c r="D70" s="48"/>
      <c r="E70" s="49"/>
      <c r="F70" s="5">
        <f>0.78*3.14*F19*F19/(4)</f>
        <v>244.92000000000004</v>
      </c>
      <c r="G70" s="1" t="s">
        <v>4</v>
      </c>
      <c r="O70" s="34" t="s">
        <v>97</v>
      </c>
      <c r="P70" s="34"/>
      <c r="Q70" s="26">
        <f>F19</f>
        <v>20</v>
      </c>
      <c r="R70" s="1" t="s">
        <v>6</v>
      </c>
    </row>
    <row r="71" spans="1:18" x14ac:dyDescent="0.35">
      <c r="A71" s="71" t="s">
        <v>55</v>
      </c>
      <c r="B71" s="71"/>
      <c r="C71" s="71"/>
      <c r="D71" s="71"/>
      <c r="E71" s="71"/>
      <c r="F71" s="36">
        <f>F20*(F70)/((SQRT(3))*F21*1000)</f>
        <v>45.249480937575413</v>
      </c>
      <c r="G71" s="60" t="s">
        <v>25</v>
      </c>
      <c r="L71" s="12" t="s">
        <v>41</v>
      </c>
      <c r="M71" s="12" t="s">
        <v>40</v>
      </c>
      <c r="O71" s="34" t="s">
        <v>98</v>
      </c>
      <c r="P71" s="34"/>
      <c r="Q71" s="26">
        <f>F84</f>
        <v>3</v>
      </c>
      <c r="R71" s="1"/>
    </row>
    <row r="72" spans="1:18" x14ac:dyDescent="0.35">
      <c r="A72" s="71"/>
      <c r="B72" s="71"/>
      <c r="C72" s="71"/>
      <c r="D72" s="71"/>
      <c r="E72" s="71"/>
      <c r="F72" s="37"/>
      <c r="G72" s="61"/>
      <c r="L72" s="6" t="s">
        <v>42</v>
      </c>
      <c r="M72" s="1">
        <v>1</v>
      </c>
    </row>
    <row r="73" spans="1:18" ht="17.25" customHeight="1" x14ac:dyDescent="0.35">
      <c r="A73" s="46" t="s">
        <v>39</v>
      </c>
      <c r="B73" s="46"/>
      <c r="C73" s="46"/>
      <c r="D73" s="46"/>
      <c r="E73" s="46"/>
      <c r="F73" s="1">
        <v>22</v>
      </c>
      <c r="G73" s="1" t="s">
        <v>6</v>
      </c>
      <c r="L73" s="6" t="s">
        <v>43</v>
      </c>
      <c r="M73" s="1">
        <v>2</v>
      </c>
    </row>
    <row r="74" spans="1:18" x14ac:dyDescent="0.35">
      <c r="L74" s="6" t="s">
        <v>44</v>
      </c>
      <c r="M74" s="1">
        <v>3</v>
      </c>
    </row>
    <row r="75" spans="1:18" x14ac:dyDescent="0.35">
      <c r="A75" s="55" t="s">
        <v>45</v>
      </c>
      <c r="B75" s="55"/>
      <c r="C75" s="55"/>
    </row>
    <row r="77" spans="1:18" x14ac:dyDescent="0.35">
      <c r="A77" s="47" t="s">
        <v>49</v>
      </c>
      <c r="B77" s="48"/>
      <c r="C77" s="48"/>
      <c r="D77" s="48"/>
      <c r="E77" s="49"/>
      <c r="F77" s="5">
        <f>2.5*F19</f>
        <v>50</v>
      </c>
      <c r="G77" s="1" t="s">
        <v>6</v>
      </c>
    </row>
    <row r="78" spans="1:18" x14ac:dyDescent="0.35">
      <c r="A78" s="46" t="s">
        <v>50</v>
      </c>
      <c r="B78" s="46"/>
      <c r="C78" s="46"/>
      <c r="D78" s="8"/>
      <c r="E78" s="8"/>
      <c r="F78" s="5">
        <f>1.5*F73</f>
        <v>33</v>
      </c>
      <c r="G78" s="1" t="s">
        <v>6</v>
      </c>
    </row>
    <row r="79" spans="1:18" x14ac:dyDescent="0.35">
      <c r="A79" s="13" t="s">
        <v>53</v>
      </c>
      <c r="B79" s="13"/>
      <c r="C79" s="13"/>
      <c r="D79" s="8"/>
      <c r="E79" s="8"/>
      <c r="F79" s="5">
        <f>MIN((F78/(3*F73)),((F77/(3*F73))-0.25),(F20/F13))</f>
        <v>0.5</v>
      </c>
      <c r="G79" s="1"/>
    </row>
    <row r="80" spans="1:18" x14ac:dyDescent="0.35">
      <c r="A80" s="65" t="s">
        <v>56</v>
      </c>
      <c r="B80" s="66"/>
      <c r="C80" s="66"/>
      <c r="D80" s="66"/>
      <c r="E80" s="67"/>
      <c r="F80" s="38">
        <f>2.5*F79*F19*F62*F13/(F21*1000)</f>
        <v>137.82899849722381</v>
      </c>
      <c r="G80" s="45" t="s">
        <v>25</v>
      </c>
    </row>
    <row r="81" spans="1:7" ht="15" customHeight="1" x14ac:dyDescent="0.35">
      <c r="A81" s="68"/>
      <c r="B81" s="69"/>
      <c r="C81" s="69"/>
      <c r="D81" s="69"/>
      <c r="E81" s="70"/>
      <c r="F81" s="39"/>
      <c r="G81" s="45"/>
    </row>
    <row r="83" spans="1:7" x14ac:dyDescent="0.35">
      <c r="A83" s="42" t="s">
        <v>57</v>
      </c>
      <c r="B83" s="43"/>
      <c r="C83" s="43"/>
      <c r="D83" s="43"/>
      <c r="E83" s="44"/>
      <c r="F83" s="5">
        <f>MIN(F80,F71)</f>
        <v>45.249480937575413</v>
      </c>
      <c r="G83" s="1" t="s">
        <v>25</v>
      </c>
    </row>
    <row r="84" spans="1:7" x14ac:dyDescent="0.35">
      <c r="A84" s="35" t="s">
        <v>93</v>
      </c>
      <c r="B84" s="35"/>
      <c r="C84" s="35"/>
      <c r="D84" s="35"/>
      <c r="E84" s="35"/>
      <c r="F84" s="36">
        <f>ROUNDUP(F10/F83,0)</f>
        <v>3</v>
      </c>
      <c r="G84" s="38"/>
    </row>
    <row r="85" spans="1:7" ht="13.5" customHeight="1" x14ac:dyDescent="0.35">
      <c r="A85" s="35"/>
      <c r="B85" s="35"/>
      <c r="C85" s="35"/>
      <c r="D85" s="35"/>
      <c r="E85" s="35"/>
      <c r="F85" s="37"/>
      <c r="G85" s="39"/>
    </row>
  </sheetData>
  <mergeCells count="81">
    <mergeCell ref="A49:C49"/>
    <mergeCell ref="A39:C39"/>
    <mergeCell ref="A41:E41"/>
    <mergeCell ref="A42:E43"/>
    <mergeCell ref="A44:E44"/>
    <mergeCell ref="A46:C46"/>
    <mergeCell ref="A26:E26"/>
    <mergeCell ref="A25:E25"/>
    <mergeCell ref="A21:E21"/>
    <mergeCell ref="A23:E23"/>
    <mergeCell ref="A24:E24"/>
    <mergeCell ref="A18:E18"/>
    <mergeCell ref="A11:E11"/>
    <mergeCell ref="A14:E14"/>
    <mergeCell ref="A20:E20"/>
    <mergeCell ref="A22:E22"/>
    <mergeCell ref="A16:E16"/>
    <mergeCell ref="A17:E17"/>
    <mergeCell ref="A9:E9"/>
    <mergeCell ref="B1:H1"/>
    <mergeCell ref="B4:I4"/>
    <mergeCell ref="A7:B7"/>
    <mergeCell ref="A10:E10"/>
    <mergeCell ref="A12:E12"/>
    <mergeCell ref="A13:E13"/>
    <mergeCell ref="A15:E15"/>
    <mergeCell ref="A80:E81"/>
    <mergeCell ref="G71:G72"/>
    <mergeCell ref="A73:E73"/>
    <mergeCell ref="A70:E70"/>
    <mergeCell ref="A75:C75"/>
    <mergeCell ref="A71:E72"/>
    <mergeCell ref="F71:F72"/>
    <mergeCell ref="K13:L13"/>
    <mergeCell ref="G51:G52"/>
    <mergeCell ref="A36:E36"/>
    <mergeCell ref="A48:E48"/>
    <mergeCell ref="A57:H57"/>
    <mergeCell ref="A28:I28"/>
    <mergeCell ref="A51:E52"/>
    <mergeCell ref="F51:F52"/>
    <mergeCell ref="H32:K32"/>
    <mergeCell ref="H33:K33"/>
    <mergeCell ref="A33:E33"/>
    <mergeCell ref="A29:E29"/>
    <mergeCell ref="A32:E32"/>
    <mergeCell ref="A30:E30"/>
    <mergeCell ref="A31:E31"/>
    <mergeCell ref="A19:E19"/>
    <mergeCell ref="N30:P30"/>
    <mergeCell ref="A55:E55"/>
    <mergeCell ref="O65:Q65"/>
    <mergeCell ref="O67:P67"/>
    <mergeCell ref="O68:P68"/>
    <mergeCell ref="A65:E65"/>
    <mergeCell ref="A68:C68"/>
    <mergeCell ref="A62:E62"/>
    <mergeCell ref="H61:J61"/>
    <mergeCell ref="H62:J62"/>
    <mergeCell ref="A34:E34"/>
    <mergeCell ref="A54:E54"/>
    <mergeCell ref="A59:E59"/>
    <mergeCell ref="A60:E60"/>
    <mergeCell ref="F42:F43"/>
    <mergeCell ref="G42:G43"/>
    <mergeCell ref="O71:P71"/>
    <mergeCell ref="A84:E85"/>
    <mergeCell ref="F84:F85"/>
    <mergeCell ref="G84:G85"/>
    <mergeCell ref="N32:O32"/>
    <mergeCell ref="N33:O33"/>
    <mergeCell ref="N34:O34"/>
    <mergeCell ref="N35:O35"/>
    <mergeCell ref="N36:O36"/>
    <mergeCell ref="O69:P69"/>
    <mergeCell ref="O70:P70"/>
    <mergeCell ref="A83:E83"/>
    <mergeCell ref="G80:G81"/>
    <mergeCell ref="A78:C78"/>
    <mergeCell ref="A77:E77"/>
    <mergeCell ref="F80:F81"/>
  </mergeCell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D4B0-7B98-4BF2-8118-CE160F97D9C2}">
  <dimension ref="A1:Q79"/>
  <sheetViews>
    <sheetView topLeftCell="A6" zoomScaleNormal="100" workbookViewId="0">
      <selection activeCell="K71" sqref="K71"/>
    </sheetView>
  </sheetViews>
  <sheetFormatPr defaultRowHeight="14.5" x14ac:dyDescent="0.35"/>
  <cols>
    <col min="5" max="5" width="17.08984375" customWidth="1"/>
    <col min="11" max="11" width="13.54296875" bestFit="1" customWidth="1"/>
    <col min="12" max="12" width="9" bestFit="1" customWidth="1"/>
    <col min="13" max="13" width="11.6328125" customWidth="1"/>
  </cols>
  <sheetData>
    <row r="1" spans="1:14" ht="18" x14ac:dyDescent="0.4">
      <c r="B1" s="79" t="s">
        <v>129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4" spans="1:14" ht="15.5" x14ac:dyDescent="0.35">
      <c r="A4" s="19"/>
      <c r="B4" s="19"/>
      <c r="C4" s="19"/>
      <c r="D4" s="19"/>
      <c r="J4" s="4"/>
      <c r="K4" s="2" t="s">
        <v>33</v>
      </c>
      <c r="L4" s="2"/>
    </row>
    <row r="5" spans="1:14" x14ac:dyDescent="0.35">
      <c r="A5" s="18"/>
      <c r="B5" s="18"/>
      <c r="C5" s="18"/>
      <c r="D5" s="18"/>
      <c r="J5" s="5"/>
      <c r="K5" s="45" t="s">
        <v>32</v>
      </c>
      <c r="L5" s="45"/>
    </row>
    <row r="6" spans="1:14" x14ac:dyDescent="0.35">
      <c r="A6" s="80" t="s">
        <v>68</v>
      </c>
      <c r="B6" s="80"/>
      <c r="C6" s="80"/>
    </row>
    <row r="8" spans="1:14" x14ac:dyDescent="0.35">
      <c r="A8" s="46" t="s">
        <v>28</v>
      </c>
      <c r="B8" s="46"/>
      <c r="C8" s="46"/>
      <c r="D8" s="46"/>
      <c r="E8" s="46"/>
      <c r="F8" s="4">
        <v>500</v>
      </c>
      <c r="G8" s="1" t="s">
        <v>25</v>
      </c>
    </row>
    <row r="9" spans="1:14" x14ac:dyDescent="0.35">
      <c r="A9" s="46" t="s">
        <v>63</v>
      </c>
      <c r="B9" s="46"/>
      <c r="C9" s="46"/>
      <c r="D9" s="46"/>
      <c r="E9" s="46"/>
      <c r="F9" s="4">
        <v>45</v>
      </c>
      <c r="G9" s="1" t="s">
        <v>24</v>
      </c>
    </row>
    <row r="10" spans="1:14" x14ac:dyDescent="0.35">
      <c r="A10" s="46" t="s">
        <v>69</v>
      </c>
      <c r="B10" s="46"/>
      <c r="C10" s="46"/>
      <c r="D10" s="46"/>
      <c r="E10" s="46"/>
      <c r="F10" s="4">
        <v>50</v>
      </c>
      <c r="G10" s="1" t="s">
        <v>25</v>
      </c>
      <c r="L10" s="3"/>
      <c r="M10" s="3"/>
      <c r="N10" s="3"/>
    </row>
    <row r="11" spans="1:14" x14ac:dyDescent="0.35">
      <c r="A11" s="47" t="s">
        <v>70</v>
      </c>
      <c r="B11" s="48"/>
      <c r="C11" s="48"/>
      <c r="D11" s="48"/>
      <c r="E11" s="49"/>
      <c r="F11" s="4">
        <v>50</v>
      </c>
      <c r="G11" s="1" t="s">
        <v>25</v>
      </c>
      <c r="L11" s="3"/>
      <c r="M11" s="3"/>
      <c r="N11" s="3"/>
    </row>
    <row r="12" spans="1:14" x14ac:dyDescent="0.35">
      <c r="A12" s="47" t="s">
        <v>71</v>
      </c>
      <c r="B12" s="48"/>
      <c r="C12" s="48"/>
      <c r="D12" s="48"/>
      <c r="E12" s="49"/>
      <c r="F12" s="4">
        <f>SQRT(F10*F10+F11*F11)</f>
        <v>70.710678118654755</v>
      </c>
      <c r="G12" s="1" t="s">
        <v>25</v>
      </c>
      <c r="L12" s="3"/>
      <c r="M12" s="3"/>
      <c r="N12" s="3"/>
    </row>
    <row r="13" spans="1:14" x14ac:dyDescent="0.35">
      <c r="A13" s="75" t="s">
        <v>108</v>
      </c>
      <c r="B13" s="76"/>
      <c r="C13" s="76"/>
      <c r="D13" s="76"/>
      <c r="E13" s="77"/>
      <c r="F13" s="1"/>
      <c r="G13" s="1"/>
      <c r="L13" s="3"/>
      <c r="M13" s="3"/>
      <c r="N13" s="3"/>
    </row>
    <row r="14" spans="1:14" x14ac:dyDescent="0.35">
      <c r="A14" s="46" t="s">
        <v>27</v>
      </c>
      <c r="B14" s="46"/>
      <c r="C14" s="46"/>
      <c r="D14" s="46"/>
      <c r="E14" s="46"/>
      <c r="F14" s="4">
        <v>25</v>
      </c>
      <c r="G14" s="1" t="s">
        <v>2</v>
      </c>
    </row>
    <row r="15" spans="1:14" x14ac:dyDescent="0.35">
      <c r="A15" s="47" t="s">
        <v>112</v>
      </c>
      <c r="B15" s="48"/>
      <c r="C15" s="48"/>
      <c r="D15" s="48"/>
      <c r="E15" s="49"/>
      <c r="F15" s="5">
        <f>0.45*F14</f>
        <v>11.25</v>
      </c>
      <c r="G15" s="1" t="s">
        <v>2</v>
      </c>
    </row>
    <row r="16" spans="1:14" x14ac:dyDescent="0.35">
      <c r="A16" s="75" t="s">
        <v>109</v>
      </c>
      <c r="B16" s="76"/>
      <c r="C16" s="76"/>
      <c r="D16" s="76"/>
      <c r="E16" s="77"/>
      <c r="F16" s="1"/>
      <c r="G16" s="1"/>
      <c r="L16" s="50" t="s">
        <v>94</v>
      </c>
      <c r="M16" s="51"/>
      <c r="N16" s="52"/>
    </row>
    <row r="17" spans="1:15" x14ac:dyDescent="0.35">
      <c r="A17" s="46" t="s">
        <v>125</v>
      </c>
      <c r="B17" s="46"/>
      <c r="C17" s="46"/>
      <c r="D17" s="46"/>
      <c r="E17" s="46"/>
      <c r="F17" s="4">
        <v>250</v>
      </c>
      <c r="G17" s="1" t="s">
        <v>2</v>
      </c>
      <c r="L17" s="40" t="s">
        <v>99</v>
      </c>
      <c r="M17" s="41"/>
      <c r="N17" s="26">
        <f>F50</f>
        <v>31.223096558280382</v>
      </c>
      <c r="O17" s="1" t="s">
        <v>6</v>
      </c>
    </row>
    <row r="18" spans="1:15" x14ac:dyDescent="0.35">
      <c r="A18" s="47" t="s">
        <v>60</v>
      </c>
      <c r="B18" s="48"/>
      <c r="C18" s="48"/>
      <c r="D18" s="48"/>
      <c r="E18" s="49"/>
      <c r="F18" s="4">
        <v>410</v>
      </c>
      <c r="G18" s="1" t="s">
        <v>2</v>
      </c>
      <c r="L18" s="34" t="s">
        <v>95</v>
      </c>
      <c r="M18" s="34"/>
      <c r="N18" s="26">
        <f>F42</f>
        <v>400</v>
      </c>
      <c r="O18" s="1" t="s">
        <v>6</v>
      </c>
    </row>
    <row r="19" spans="1:15" x14ac:dyDescent="0.35">
      <c r="A19" s="14"/>
      <c r="B19" s="15"/>
      <c r="C19" s="15"/>
      <c r="D19" s="15"/>
      <c r="E19" s="16"/>
      <c r="F19" s="4"/>
      <c r="G19" s="1"/>
      <c r="L19" s="34" t="s">
        <v>96</v>
      </c>
      <c r="M19" s="34"/>
      <c r="N19" s="26">
        <f>F40</f>
        <v>540</v>
      </c>
      <c r="O19" s="1" t="s">
        <v>6</v>
      </c>
    </row>
    <row r="20" spans="1:15" x14ac:dyDescent="0.35">
      <c r="A20" s="75" t="s">
        <v>113</v>
      </c>
      <c r="B20" s="76"/>
      <c r="C20" s="76"/>
      <c r="D20" s="76"/>
      <c r="E20" s="77"/>
      <c r="F20" s="4"/>
      <c r="G20" s="1"/>
      <c r="L20" s="34" t="s">
        <v>97</v>
      </c>
      <c r="M20" s="34"/>
      <c r="N20" s="26">
        <f>F27</f>
        <v>20</v>
      </c>
      <c r="O20" s="1" t="s">
        <v>6</v>
      </c>
    </row>
    <row r="21" spans="1:15" x14ac:dyDescent="0.35">
      <c r="A21" s="47" t="s">
        <v>74</v>
      </c>
      <c r="B21" s="48"/>
      <c r="C21" s="48"/>
      <c r="D21" s="48"/>
      <c r="E21" s="49"/>
      <c r="F21" s="4"/>
      <c r="G21" s="1"/>
      <c r="L21" s="34" t="s">
        <v>98</v>
      </c>
      <c r="M21" s="34"/>
      <c r="N21" s="26">
        <f>F73</f>
        <v>2</v>
      </c>
      <c r="O21" s="1"/>
    </row>
    <row r="22" spans="1:15" x14ac:dyDescent="0.35">
      <c r="A22" s="47" t="s">
        <v>127</v>
      </c>
      <c r="B22" s="48"/>
      <c r="C22" s="48"/>
      <c r="D22" s="48"/>
      <c r="E22" s="49"/>
      <c r="F22" s="4">
        <v>310</v>
      </c>
      <c r="G22" s="1"/>
    </row>
    <row r="23" spans="1:15" x14ac:dyDescent="0.35">
      <c r="A23" s="47" t="s">
        <v>128</v>
      </c>
      <c r="B23" s="48"/>
      <c r="C23" s="48"/>
      <c r="D23" s="48"/>
      <c r="E23" s="49"/>
      <c r="F23" s="4">
        <v>310</v>
      </c>
      <c r="G23" s="1"/>
    </row>
    <row r="24" spans="1:15" x14ac:dyDescent="0.35">
      <c r="A24" s="47" t="s">
        <v>81</v>
      </c>
      <c r="B24" s="48"/>
      <c r="C24" s="48"/>
      <c r="D24" s="48"/>
      <c r="E24" s="49"/>
      <c r="F24" s="4">
        <v>145</v>
      </c>
      <c r="G24" s="1" t="s">
        <v>6</v>
      </c>
    </row>
    <row r="25" spans="1:15" x14ac:dyDescent="0.35">
      <c r="A25" s="14"/>
      <c r="B25" s="15"/>
      <c r="C25" s="15"/>
      <c r="D25" s="15"/>
      <c r="E25" s="16"/>
      <c r="F25" s="1"/>
      <c r="G25" s="1"/>
    </row>
    <row r="26" spans="1:15" x14ac:dyDescent="0.35">
      <c r="A26" s="75" t="s">
        <v>72</v>
      </c>
      <c r="B26" s="76"/>
      <c r="C26" s="76"/>
      <c r="D26" s="76"/>
      <c r="E26" s="77"/>
      <c r="F26" s="1"/>
      <c r="G26" s="1"/>
    </row>
    <row r="27" spans="1:15" x14ac:dyDescent="0.35">
      <c r="A27" s="47" t="s">
        <v>61</v>
      </c>
      <c r="B27" s="48"/>
      <c r="C27" s="48"/>
      <c r="D27" s="48"/>
      <c r="E27" s="49"/>
      <c r="F27" s="4">
        <v>20</v>
      </c>
      <c r="G27" s="1" t="s">
        <v>6</v>
      </c>
    </row>
    <row r="28" spans="1:15" x14ac:dyDescent="0.35">
      <c r="A28" s="47" t="s">
        <v>77</v>
      </c>
      <c r="B28" s="48"/>
      <c r="C28" s="48"/>
      <c r="D28" s="48"/>
      <c r="E28" s="49"/>
      <c r="F28" s="4">
        <v>22</v>
      </c>
      <c r="G28" s="1" t="s">
        <v>6</v>
      </c>
    </row>
    <row r="29" spans="1:15" x14ac:dyDescent="0.35">
      <c r="A29" s="46" t="s">
        <v>46</v>
      </c>
      <c r="B29" s="46"/>
      <c r="C29" s="46"/>
      <c r="D29" s="46"/>
      <c r="E29" s="46"/>
      <c r="F29" s="4">
        <v>400</v>
      </c>
      <c r="G29" s="1" t="s">
        <v>2</v>
      </c>
    </row>
    <row r="30" spans="1:15" x14ac:dyDescent="0.35">
      <c r="A30" s="47" t="s">
        <v>48</v>
      </c>
      <c r="B30" s="48"/>
      <c r="C30" s="48"/>
      <c r="D30" s="48"/>
      <c r="E30" s="49"/>
      <c r="F30" s="4">
        <v>1.25</v>
      </c>
      <c r="G30" s="1"/>
    </row>
    <row r="31" spans="1:15" x14ac:dyDescent="0.35">
      <c r="A31" s="47" t="s">
        <v>59</v>
      </c>
      <c r="B31" s="48"/>
      <c r="C31" s="48"/>
      <c r="D31" s="48"/>
      <c r="E31" s="49"/>
      <c r="F31" s="5">
        <f>0.6*F29</f>
        <v>240</v>
      </c>
      <c r="G31" s="1" t="s">
        <v>2</v>
      </c>
    </row>
    <row r="32" spans="1:15" x14ac:dyDescent="0.35">
      <c r="A32" s="47" t="s">
        <v>48</v>
      </c>
      <c r="B32" s="48"/>
      <c r="C32" s="48"/>
      <c r="D32" s="48"/>
      <c r="E32" s="49"/>
      <c r="F32" s="4">
        <v>1.25</v>
      </c>
      <c r="G32" s="1"/>
      <c r="K32" s="12" t="s">
        <v>41</v>
      </c>
      <c r="L32" s="12" t="s">
        <v>40</v>
      </c>
    </row>
    <row r="33" spans="1:15" x14ac:dyDescent="0.35">
      <c r="K33" s="6" t="s">
        <v>42</v>
      </c>
      <c r="L33" s="1">
        <v>1</v>
      </c>
    </row>
    <row r="34" spans="1:15" x14ac:dyDescent="0.35">
      <c r="K34" s="6" t="s">
        <v>43</v>
      </c>
      <c r="L34" s="1">
        <v>2</v>
      </c>
    </row>
    <row r="35" spans="1:15" ht="21" x14ac:dyDescent="0.5">
      <c r="A35" s="64" t="s">
        <v>26</v>
      </c>
      <c r="B35" s="64"/>
      <c r="K35" s="6" t="s">
        <v>44</v>
      </c>
      <c r="L35" s="1">
        <v>3</v>
      </c>
    </row>
    <row r="36" spans="1:15" x14ac:dyDescent="0.35">
      <c r="A36" s="20"/>
      <c r="B36" s="20"/>
      <c r="C36" s="20"/>
    </row>
    <row r="37" spans="1:15" ht="18.5" x14ac:dyDescent="0.45">
      <c r="A37" s="78" t="s">
        <v>130</v>
      </c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9" spans="1:15" x14ac:dyDescent="0.35">
      <c r="A39" s="46" t="s">
        <v>131</v>
      </c>
      <c r="B39" s="46"/>
      <c r="C39" s="46"/>
      <c r="D39" s="46"/>
      <c r="E39" s="46"/>
      <c r="F39" s="5">
        <f>F9*1000/F8</f>
        <v>90</v>
      </c>
      <c r="G39" s="1"/>
    </row>
    <row r="40" spans="1:15" x14ac:dyDescent="0.35">
      <c r="A40" s="46" t="s">
        <v>136</v>
      </c>
      <c r="B40" s="46"/>
      <c r="C40" s="46"/>
      <c r="D40" s="46"/>
      <c r="E40" s="46"/>
      <c r="F40" s="5">
        <f>F39*6</f>
        <v>540</v>
      </c>
      <c r="G40" s="1" t="s">
        <v>6</v>
      </c>
    </row>
    <row r="41" spans="1:15" x14ac:dyDescent="0.35">
      <c r="A41" s="46" t="s">
        <v>132</v>
      </c>
      <c r="B41" s="46"/>
      <c r="C41" s="46"/>
      <c r="D41" s="46"/>
      <c r="E41" s="46"/>
      <c r="F41" s="5">
        <f>2*F8*1000/(F40*F15)</f>
        <v>164.6090534979424</v>
      </c>
      <c r="G41" s="1" t="s">
        <v>6</v>
      </c>
    </row>
    <row r="42" spans="1:15" ht="18.5" x14ac:dyDescent="0.45">
      <c r="A42" s="47" t="s">
        <v>137</v>
      </c>
      <c r="B42" s="48"/>
      <c r="C42" s="48"/>
      <c r="D42" s="48"/>
      <c r="E42" s="49"/>
      <c r="F42" s="27">
        <v>400</v>
      </c>
      <c r="G42" s="1" t="s">
        <v>6</v>
      </c>
      <c r="H42" s="33"/>
      <c r="I42" s="33"/>
      <c r="J42" s="33"/>
      <c r="K42" s="33"/>
      <c r="L42" s="33"/>
      <c r="N42" s="81"/>
      <c r="O42" s="81"/>
    </row>
    <row r="43" spans="1:15" x14ac:dyDescent="0.35">
      <c r="A43" s="47" t="s">
        <v>29</v>
      </c>
      <c r="B43" s="48"/>
      <c r="C43" s="48"/>
      <c r="D43" s="48"/>
      <c r="E43" s="49"/>
      <c r="F43" s="5">
        <f>F40*F42</f>
        <v>216000</v>
      </c>
      <c r="G43" s="1" t="s">
        <v>4</v>
      </c>
    </row>
    <row r="44" spans="1:15" x14ac:dyDescent="0.35">
      <c r="A44" s="47" t="s">
        <v>133</v>
      </c>
      <c r="B44" s="48"/>
      <c r="C44" s="48"/>
      <c r="D44" s="48"/>
      <c r="E44" s="49"/>
      <c r="F44" s="5">
        <f>F42*(F40^2)/6</f>
        <v>19440000</v>
      </c>
      <c r="G44" s="1" t="s">
        <v>30</v>
      </c>
    </row>
    <row r="45" spans="1:15" x14ac:dyDescent="0.35">
      <c r="A45" s="46" t="s">
        <v>31</v>
      </c>
      <c r="B45" s="46"/>
      <c r="C45" s="46"/>
      <c r="D45" s="46"/>
      <c r="E45" s="46"/>
      <c r="F45" s="5">
        <f>((F8*1000)/F43)+((F9*10^6)/F44)</f>
        <v>4.6296296296296298</v>
      </c>
      <c r="G45" s="1" t="s">
        <v>24</v>
      </c>
    </row>
    <row r="46" spans="1:15" x14ac:dyDescent="0.35">
      <c r="A46" s="46" t="s">
        <v>87</v>
      </c>
      <c r="B46" s="46"/>
      <c r="C46" s="46"/>
      <c r="D46" s="46"/>
      <c r="E46" s="46"/>
      <c r="F46" s="5">
        <f>((F8*1000)/F43)-((F9*10^6)/F44)</f>
        <v>0</v>
      </c>
      <c r="G46" s="1" t="s">
        <v>24</v>
      </c>
    </row>
    <row r="47" spans="1:15" x14ac:dyDescent="0.35">
      <c r="A47" s="46" t="s">
        <v>86</v>
      </c>
      <c r="B47" s="46"/>
      <c r="C47" s="46"/>
      <c r="D47" s="46"/>
      <c r="E47" s="46"/>
      <c r="F47" s="5">
        <f>F12</f>
        <v>70.710678118654755</v>
      </c>
      <c r="G47" s="1" t="s">
        <v>25</v>
      </c>
    </row>
    <row r="48" spans="1:15" x14ac:dyDescent="0.35">
      <c r="A48" s="47" t="s">
        <v>88</v>
      </c>
      <c r="B48" s="48"/>
      <c r="C48" s="48"/>
      <c r="D48" s="48"/>
      <c r="E48" s="49"/>
      <c r="F48" s="5">
        <f>((F40-F24)/F40)*F45</f>
        <v>3.3864883401920443</v>
      </c>
      <c r="G48" s="1" t="s">
        <v>2</v>
      </c>
    </row>
    <row r="49" spans="1:17" x14ac:dyDescent="0.35">
      <c r="A49" s="47" t="s">
        <v>134</v>
      </c>
      <c r="B49" s="48"/>
      <c r="C49" s="48"/>
      <c r="D49" s="48"/>
      <c r="E49" s="49"/>
      <c r="F49" s="5">
        <f>(F48*F24*F24/2)+(F45-F48)*(F24/2)*(2/3)*F24</f>
        <v>44312.807213077278</v>
      </c>
      <c r="G49" s="1" t="s">
        <v>89</v>
      </c>
    </row>
    <row r="50" spans="1:17" x14ac:dyDescent="0.35">
      <c r="A50" s="46" t="s">
        <v>135</v>
      </c>
      <c r="B50" s="46"/>
      <c r="C50" s="46"/>
      <c r="D50" s="46"/>
      <c r="E50" s="46"/>
      <c r="F50" s="5">
        <f>SQRT(F49*6*1.1/(1.2*F17))</f>
        <v>31.223096558280382</v>
      </c>
      <c r="G50" s="1" t="s">
        <v>6</v>
      </c>
      <c r="N50" s="81"/>
      <c r="O50" s="81"/>
      <c r="P50" s="81"/>
      <c r="Q50" s="81"/>
    </row>
    <row r="51" spans="1:17" x14ac:dyDescent="0.35">
      <c r="A51" s="23"/>
      <c r="B51" s="22"/>
      <c r="C51" s="22"/>
      <c r="D51" s="22"/>
      <c r="E51" s="22"/>
      <c r="N51" s="3"/>
      <c r="O51" s="3"/>
      <c r="P51" s="3"/>
      <c r="Q51" s="3"/>
    </row>
    <row r="52" spans="1:17" x14ac:dyDescent="0.35">
      <c r="A52" s="20"/>
      <c r="B52" s="20"/>
      <c r="C52" s="20"/>
      <c r="D52" s="20"/>
      <c r="E52" s="20"/>
      <c r="F52" s="20"/>
      <c r="N52" s="81"/>
      <c r="O52" s="81"/>
      <c r="P52" s="81"/>
      <c r="Q52" s="81"/>
    </row>
    <row r="53" spans="1:17" x14ac:dyDescent="0.35">
      <c r="A53" s="54" t="s">
        <v>51</v>
      </c>
      <c r="B53" s="54"/>
      <c r="C53" s="54"/>
      <c r="D53" s="54"/>
      <c r="E53" s="54"/>
      <c r="O53" s="20"/>
    </row>
    <row r="54" spans="1:17" x14ac:dyDescent="0.35">
      <c r="O54" s="20"/>
    </row>
    <row r="55" spans="1:17" x14ac:dyDescent="0.35">
      <c r="O55" s="20"/>
    </row>
    <row r="56" spans="1:17" x14ac:dyDescent="0.35">
      <c r="A56" s="55" t="s">
        <v>91</v>
      </c>
      <c r="B56" s="55"/>
      <c r="C56" s="55"/>
    </row>
    <row r="58" spans="1:17" x14ac:dyDescent="0.35">
      <c r="A58" s="47" t="s">
        <v>54</v>
      </c>
      <c r="B58" s="48"/>
      <c r="C58" s="48"/>
      <c r="D58" s="48"/>
      <c r="E58" s="49"/>
      <c r="F58" s="5">
        <f>0.78*3.14*F27*F27/(4)</f>
        <v>244.92000000000004</v>
      </c>
      <c r="G58" s="1" t="s">
        <v>4</v>
      </c>
    </row>
    <row r="59" spans="1:17" x14ac:dyDescent="0.35">
      <c r="A59" s="71" t="s">
        <v>55</v>
      </c>
      <c r="B59" s="71"/>
      <c r="C59" s="71"/>
      <c r="D59" s="71"/>
      <c r="E59" s="71"/>
      <c r="F59" s="36">
        <f>F29*(F58)/((SQRT(3))*F32*1000)</f>
        <v>45.249480937575413</v>
      </c>
      <c r="G59" s="60" t="s">
        <v>25</v>
      </c>
    </row>
    <row r="60" spans="1:17" x14ac:dyDescent="0.35">
      <c r="A60" s="71"/>
      <c r="B60" s="71"/>
      <c r="C60" s="71"/>
      <c r="D60" s="71"/>
      <c r="E60" s="71"/>
      <c r="F60" s="37"/>
      <c r="G60" s="61"/>
    </row>
    <row r="63" spans="1:17" x14ac:dyDescent="0.35">
      <c r="A63" s="55" t="s">
        <v>90</v>
      </c>
      <c r="B63" s="55"/>
      <c r="C63" s="55"/>
    </row>
    <row r="65" spans="1:11" x14ac:dyDescent="0.35">
      <c r="A65" s="46" t="s">
        <v>39</v>
      </c>
      <c r="B65" s="46"/>
      <c r="C65" s="46"/>
      <c r="D65" s="46"/>
      <c r="E65" s="46"/>
      <c r="F65" s="5">
        <f>F28</f>
        <v>22</v>
      </c>
      <c r="G65" s="1" t="s">
        <v>6</v>
      </c>
    </row>
    <row r="66" spans="1:11" x14ac:dyDescent="0.35">
      <c r="A66" s="47" t="s">
        <v>49</v>
      </c>
      <c r="B66" s="48"/>
      <c r="C66" s="48"/>
      <c r="D66" s="48"/>
      <c r="E66" s="49"/>
      <c r="F66" s="5">
        <f>2.5*F65</f>
        <v>55</v>
      </c>
      <c r="G66" s="1" t="s">
        <v>6</v>
      </c>
    </row>
    <row r="67" spans="1:11" ht="16" customHeight="1" x14ac:dyDescent="0.35">
      <c r="A67" s="47" t="s">
        <v>50</v>
      </c>
      <c r="B67" s="48"/>
      <c r="C67" s="48"/>
      <c r="D67" s="48"/>
      <c r="E67" s="49"/>
      <c r="F67" s="5">
        <f>1.5*F65</f>
        <v>33</v>
      </c>
      <c r="G67" s="1" t="s">
        <v>6</v>
      </c>
    </row>
    <row r="68" spans="1:11" x14ac:dyDescent="0.35">
      <c r="A68" s="47" t="s">
        <v>53</v>
      </c>
      <c r="B68" s="48"/>
      <c r="C68" s="48"/>
      <c r="D68" s="48"/>
      <c r="E68" s="49"/>
      <c r="F68" s="5">
        <f>MIN((F67/(3*F65)),((F66/(3*F65))-0.25),(F29/F18))</f>
        <v>0.5</v>
      </c>
      <c r="G68" s="1"/>
      <c r="H68" s="3"/>
      <c r="I68" s="3"/>
      <c r="J68" s="3"/>
      <c r="K68" s="3"/>
    </row>
    <row r="69" spans="1:11" x14ac:dyDescent="0.35">
      <c r="A69" s="65" t="s">
        <v>56</v>
      </c>
      <c r="B69" s="66"/>
      <c r="C69" s="66"/>
      <c r="D69" s="66"/>
      <c r="E69" s="67"/>
      <c r="F69" s="36">
        <f>2.5*F68*F27*F50*F18/(F32*1000)</f>
        <v>256.02939177789909</v>
      </c>
      <c r="G69" s="45" t="s">
        <v>25</v>
      </c>
    </row>
    <row r="70" spans="1:11" x14ac:dyDescent="0.35">
      <c r="A70" s="68"/>
      <c r="B70" s="69"/>
      <c r="C70" s="69"/>
      <c r="D70" s="69"/>
      <c r="E70" s="70"/>
      <c r="F70" s="37"/>
      <c r="G70" s="45"/>
    </row>
    <row r="72" spans="1:11" x14ac:dyDescent="0.35">
      <c r="A72" s="82" t="s">
        <v>92</v>
      </c>
      <c r="B72" s="82"/>
      <c r="C72" s="82"/>
      <c r="D72" s="82"/>
      <c r="E72" s="82"/>
      <c r="F72" s="5">
        <f>MIN(F59)</f>
        <v>45.249480937575413</v>
      </c>
      <c r="G72" s="1" t="s">
        <v>25</v>
      </c>
    </row>
    <row r="73" spans="1:11" ht="14" customHeight="1" x14ac:dyDescent="0.35">
      <c r="A73" s="83" t="s">
        <v>93</v>
      </c>
      <c r="B73" s="83"/>
      <c r="C73" s="83"/>
      <c r="D73" s="83"/>
      <c r="E73" s="83"/>
      <c r="F73" s="36">
        <f>ROUNDUP(F12/F72,0)</f>
        <v>2</v>
      </c>
      <c r="G73" s="38"/>
    </row>
    <row r="74" spans="1:11" x14ac:dyDescent="0.35">
      <c r="A74" s="83"/>
      <c r="B74" s="83"/>
      <c r="C74" s="83"/>
      <c r="D74" s="83"/>
      <c r="E74" s="83"/>
      <c r="F74" s="37"/>
      <c r="G74" s="39"/>
    </row>
    <row r="75" spans="1:11" x14ac:dyDescent="0.35">
      <c r="A75" s="20"/>
      <c r="B75" s="20"/>
      <c r="C75" s="20"/>
      <c r="D75" s="20"/>
      <c r="E75" s="20"/>
    </row>
    <row r="76" spans="1:11" x14ac:dyDescent="0.35">
      <c r="A76" s="24"/>
      <c r="B76" s="24"/>
      <c r="C76" s="24"/>
      <c r="D76" s="24"/>
      <c r="E76" s="24"/>
    </row>
    <row r="77" spans="1:11" x14ac:dyDescent="0.35">
      <c r="A77" s="24"/>
      <c r="B77" s="24"/>
      <c r="C77" s="24"/>
      <c r="D77" s="24"/>
      <c r="E77" s="24"/>
    </row>
    <row r="79" spans="1:11" ht="14.5" customHeight="1" x14ac:dyDescent="0.35">
      <c r="A79" s="20"/>
      <c r="B79" s="20"/>
      <c r="C79" s="20"/>
      <c r="D79" s="20"/>
      <c r="E79" s="20"/>
    </row>
  </sheetData>
  <mergeCells count="67">
    <mergeCell ref="A72:E72"/>
    <mergeCell ref="A68:E68"/>
    <mergeCell ref="A73:E74"/>
    <mergeCell ref="F73:F74"/>
    <mergeCell ref="G73:G74"/>
    <mergeCell ref="F59:F60"/>
    <mergeCell ref="G59:G60"/>
    <mergeCell ref="A65:E65"/>
    <mergeCell ref="A63:C63"/>
    <mergeCell ref="A69:E70"/>
    <mergeCell ref="F69:F70"/>
    <mergeCell ref="G69:G70"/>
    <mergeCell ref="A67:E67"/>
    <mergeCell ref="A53:E53"/>
    <mergeCell ref="A66:E66"/>
    <mergeCell ref="A58:E58"/>
    <mergeCell ref="A56:C56"/>
    <mergeCell ref="A59:E60"/>
    <mergeCell ref="N50:Q50"/>
    <mergeCell ref="A46:E46"/>
    <mergeCell ref="N52:Q52"/>
    <mergeCell ref="A42:E42"/>
    <mergeCell ref="A43:E43"/>
    <mergeCell ref="A44:E44"/>
    <mergeCell ref="A47:E47"/>
    <mergeCell ref="A50:E50"/>
    <mergeCell ref="A48:E48"/>
    <mergeCell ref="A49:E49"/>
    <mergeCell ref="A45:E45"/>
    <mergeCell ref="A26:E26"/>
    <mergeCell ref="A27:E27"/>
    <mergeCell ref="A28:E28"/>
    <mergeCell ref="A29:E29"/>
    <mergeCell ref="N42:O42"/>
    <mergeCell ref="A40:E40"/>
    <mergeCell ref="A39:E39"/>
    <mergeCell ref="A41:E41"/>
    <mergeCell ref="A14:E14"/>
    <mergeCell ref="A17:E17"/>
    <mergeCell ref="A18:E18"/>
    <mergeCell ref="A15:E15"/>
    <mergeCell ref="A10:E10"/>
    <mergeCell ref="A11:E11"/>
    <mergeCell ref="A12:E12"/>
    <mergeCell ref="A13:E13"/>
    <mergeCell ref="A16:E16"/>
    <mergeCell ref="B1:N1"/>
    <mergeCell ref="K5:L5"/>
    <mergeCell ref="A6:C6"/>
    <mergeCell ref="A8:E8"/>
    <mergeCell ref="A9:E9"/>
    <mergeCell ref="A37:L37"/>
    <mergeCell ref="L20:M20"/>
    <mergeCell ref="L16:N16"/>
    <mergeCell ref="L21:M21"/>
    <mergeCell ref="L17:M17"/>
    <mergeCell ref="L18:M18"/>
    <mergeCell ref="L19:M19"/>
    <mergeCell ref="A20:E20"/>
    <mergeCell ref="A21:E21"/>
    <mergeCell ref="A22:E22"/>
    <mergeCell ref="A23:E23"/>
    <mergeCell ref="A30:E30"/>
    <mergeCell ref="A31:E31"/>
    <mergeCell ref="A32:E32"/>
    <mergeCell ref="A35:B35"/>
    <mergeCell ref="A24:E24"/>
  </mergeCells>
  <pageMargins left="0.7" right="0.7" top="0.75" bottom="0.75" header="0.3" footer="0.3"/>
  <pageSetup paperSize="8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T88"/>
  <sheetViews>
    <sheetView showGridLines="0" topLeftCell="A39" zoomScale="80" zoomScaleNormal="80" workbookViewId="0">
      <selection activeCell="N34" sqref="N34"/>
    </sheetView>
  </sheetViews>
  <sheetFormatPr defaultRowHeight="14.5" x14ac:dyDescent="0.35"/>
  <cols>
    <col min="4" max="4" width="13" customWidth="1"/>
    <col min="5" max="5" width="25" customWidth="1"/>
    <col min="11" max="11" width="12.54296875" customWidth="1"/>
    <col min="12" max="12" width="11.90625" customWidth="1"/>
    <col min="14" max="14" width="12.453125" customWidth="1"/>
    <col min="17" max="17" width="11.81640625" bestFit="1" customWidth="1"/>
    <col min="18" max="18" width="26" customWidth="1"/>
  </cols>
  <sheetData>
    <row r="2" spans="1:20" ht="18" x14ac:dyDescent="0.4">
      <c r="B2" s="79" t="s">
        <v>123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4" spans="1:20" x14ac:dyDescent="0.35">
      <c r="J4" s="5"/>
      <c r="K4" s="45" t="s">
        <v>32</v>
      </c>
      <c r="L4" s="45"/>
      <c r="Q4" s="50" t="s">
        <v>94</v>
      </c>
      <c r="R4" s="51"/>
      <c r="S4" s="52"/>
    </row>
    <row r="5" spans="1:20" ht="15.5" x14ac:dyDescent="0.35">
      <c r="A5" s="19"/>
      <c r="B5" s="19"/>
      <c r="C5" s="19"/>
      <c r="D5" s="19"/>
      <c r="J5" s="4"/>
      <c r="K5" s="2" t="s">
        <v>33</v>
      </c>
      <c r="L5" s="2"/>
    </row>
    <row r="6" spans="1:20" x14ac:dyDescent="0.35">
      <c r="A6" s="18"/>
      <c r="B6" s="18"/>
      <c r="C6" s="18"/>
      <c r="D6" s="18"/>
      <c r="Q6" s="40" t="s">
        <v>99</v>
      </c>
      <c r="R6" s="41"/>
      <c r="S6" s="26">
        <f>F55</f>
        <v>34.597218983884247</v>
      </c>
      <c r="T6" t="s">
        <v>6</v>
      </c>
    </row>
    <row r="7" spans="1:20" x14ac:dyDescent="0.35">
      <c r="A7" s="80" t="s">
        <v>68</v>
      </c>
      <c r="B7" s="80"/>
      <c r="C7" s="80"/>
      <c r="Q7" s="28" t="s">
        <v>120</v>
      </c>
      <c r="R7" s="29"/>
      <c r="S7" s="26">
        <f>F43</f>
        <v>520</v>
      </c>
      <c r="T7" t="s">
        <v>6</v>
      </c>
    </row>
    <row r="8" spans="1:20" x14ac:dyDescent="0.35">
      <c r="A8" s="22"/>
      <c r="B8" s="22"/>
      <c r="C8" s="22"/>
      <c r="Q8" s="34" t="s">
        <v>119</v>
      </c>
      <c r="R8" s="34"/>
      <c r="S8" s="26">
        <f>F44</f>
        <v>520</v>
      </c>
    </row>
    <row r="9" spans="1:20" x14ac:dyDescent="0.35">
      <c r="A9" s="46" t="s">
        <v>28</v>
      </c>
      <c r="B9" s="46"/>
      <c r="C9" s="46"/>
      <c r="D9" s="46"/>
      <c r="E9" s="46"/>
      <c r="F9" s="4">
        <v>450</v>
      </c>
      <c r="G9" s="1" t="s">
        <v>25</v>
      </c>
      <c r="Q9" s="34" t="s">
        <v>97</v>
      </c>
      <c r="R9" s="34"/>
      <c r="S9" s="30">
        <f>F31</f>
        <v>20</v>
      </c>
    </row>
    <row r="10" spans="1:20" x14ac:dyDescent="0.35">
      <c r="A10" s="46" t="s">
        <v>69</v>
      </c>
      <c r="B10" s="46"/>
      <c r="C10" s="46"/>
      <c r="D10" s="46"/>
      <c r="E10" s="46"/>
      <c r="F10" s="4">
        <v>50</v>
      </c>
      <c r="G10" s="1" t="s">
        <v>25</v>
      </c>
      <c r="Q10" s="84" t="s">
        <v>121</v>
      </c>
      <c r="R10" s="84"/>
      <c r="S10" s="26">
        <f>F65</f>
        <v>2</v>
      </c>
    </row>
    <row r="11" spans="1:20" ht="14.5" customHeight="1" x14ac:dyDescent="0.35">
      <c r="A11" s="47" t="s">
        <v>70</v>
      </c>
      <c r="B11" s="48"/>
      <c r="C11" s="48"/>
      <c r="D11" s="48"/>
      <c r="E11" s="49"/>
      <c r="F11" s="4">
        <v>50</v>
      </c>
      <c r="G11" s="1" t="s">
        <v>25</v>
      </c>
      <c r="Q11" s="84" t="s">
        <v>104</v>
      </c>
      <c r="R11" s="84"/>
      <c r="S11" s="26">
        <f>F87</f>
        <v>2</v>
      </c>
    </row>
    <row r="12" spans="1:20" x14ac:dyDescent="0.35">
      <c r="A12" s="47" t="s">
        <v>71</v>
      </c>
      <c r="B12" s="48"/>
      <c r="C12" s="48"/>
      <c r="D12" s="48"/>
      <c r="E12" s="49"/>
      <c r="F12" s="4">
        <f>SQRT(F10*F10+F11*F11)</f>
        <v>70.710678118654755</v>
      </c>
      <c r="G12" s="1" t="s">
        <v>25</v>
      </c>
      <c r="Q12" s="31"/>
      <c r="R12" s="31"/>
    </row>
    <row r="13" spans="1:20" x14ac:dyDescent="0.35">
      <c r="A13" s="46" t="s">
        <v>63</v>
      </c>
      <c r="B13" s="46"/>
      <c r="C13" s="46"/>
      <c r="D13" s="46"/>
      <c r="E13" s="46"/>
      <c r="F13" s="4">
        <v>85</v>
      </c>
      <c r="G13" s="1" t="s">
        <v>24</v>
      </c>
      <c r="T13" s="7"/>
    </row>
    <row r="14" spans="1:20" x14ac:dyDescent="0.35">
      <c r="A14" s="75" t="s">
        <v>109</v>
      </c>
      <c r="B14" s="76"/>
      <c r="C14" s="76"/>
      <c r="D14" s="76"/>
      <c r="E14" s="77"/>
      <c r="F14" s="1"/>
      <c r="G14" s="1"/>
    </row>
    <row r="15" spans="1:20" x14ac:dyDescent="0.35">
      <c r="A15" s="47" t="s">
        <v>126</v>
      </c>
      <c r="B15" s="48"/>
      <c r="C15" s="48"/>
      <c r="D15" s="48"/>
      <c r="E15" s="49"/>
      <c r="F15" s="4">
        <v>250</v>
      </c>
      <c r="G15" s="1" t="s">
        <v>2</v>
      </c>
    </row>
    <row r="16" spans="1:20" x14ac:dyDescent="0.35">
      <c r="A16" s="47" t="s">
        <v>107</v>
      </c>
      <c r="B16" s="48"/>
      <c r="C16" s="48"/>
      <c r="D16" s="48"/>
      <c r="E16" s="49"/>
      <c r="F16" s="4">
        <v>410</v>
      </c>
      <c r="G16" s="1" t="s">
        <v>2</v>
      </c>
    </row>
    <row r="17" spans="1:12" x14ac:dyDescent="0.35">
      <c r="A17" s="75" t="s">
        <v>108</v>
      </c>
      <c r="B17" s="76"/>
      <c r="C17" s="76"/>
      <c r="D17" s="76"/>
      <c r="E17" s="77"/>
      <c r="F17" s="1"/>
      <c r="G17" s="1"/>
    </row>
    <row r="18" spans="1:12" x14ac:dyDescent="0.35">
      <c r="A18" s="47" t="s">
        <v>27</v>
      </c>
      <c r="B18" s="48"/>
      <c r="C18" s="48"/>
      <c r="D18" s="48"/>
      <c r="E18" s="49"/>
      <c r="F18" s="4">
        <v>30</v>
      </c>
      <c r="G18" s="1" t="s">
        <v>2</v>
      </c>
    </row>
    <row r="19" spans="1:12" x14ac:dyDescent="0.35">
      <c r="A19" s="47" t="s">
        <v>112</v>
      </c>
      <c r="B19" s="48"/>
      <c r="C19" s="48"/>
      <c r="D19" s="48"/>
      <c r="E19" s="49"/>
      <c r="F19" s="5">
        <f>0.45*F18</f>
        <v>13.5</v>
      </c>
      <c r="G19" s="1" t="s">
        <v>2</v>
      </c>
    </row>
    <row r="23" spans="1:12" x14ac:dyDescent="0.35">
      <c r="A23" s="14"/>
      <c r="B23" s="15"/>
      <c r="C23" s="15"/>
      <c r="D23" s="15"/>
      <c r="E23" s="16"/>
      <c r="F23" s="4"/>
      <c r="G23" s="1"/>
    </row>
    <row r="24" spans="1:12" x14ac:dyDescent="0.35">
      <c r="A24" s="75" t="s">
        <v>113</v>
      </c>
      <c r="B24" s="76"/>
      <c r="C24" s="76"/>
      <c r="D24" s="76"/>
      <c r="E24" s="77"/>
      <c r="F24" s="4"/>
      <c r="G24" s="1"/>
    </row>
    <row r="25" spans="1:12" x14ac:dyDescent="0.35">
      <c r="A25" s="47" t="s">
        <v>74</v>
      </c>
      <c r="B25" s="48"/>
      <c r="C25" s="48"/>
      <c r="D25" s="48"/>
      <c r="E25" s="49"/>
      <c r="F25" s="4"/>
      <c r="G25" s="1"/>
    </row>
    <row r="26" spans="1:12" x14ac:dyDescent="0.35">
      <c r="A26" s="47" t="s">
        <v>114</v>
      </c>
      <c r="B26" s="48"/>
      <c r="C26" s="48"/>
      <c r="D26" s="48"/>
      <c r="E26" s="49"/>
      <c r="F26" s="4">
        <v>310</v>
      </c>
      <c r="G26" s="1"/>
    </row>
    <row r="27" spans="1:12" x14ac:dyDescent="0.35">
      <c r="A27" s="47" t="s">
        <v>73</v>
      </c>
      <c r="B27" s="48"/>
      <c r="C27" s="48"/>
      <c r="D27" s="48"/>
      <c r="E27" s="49"/>
      <c r="F27" s="4">
        <v>310</v>
      </c>
      <c r="G27" s="1"/>
    </row>
    <row r="28" spans="1:12" x14ac:dyDescent="0.35">
      <c r="A28" s="47" t="s">
        <v>115</v>
      </c>
      <c r="B28" s="48"/>
      <c r="C28" s="48"/>
      <c r="D28" s="48"/>
      <c r="E28" s="49"/>
      <c r="F28" s="4">
        <v>98.5</v>
      </c>
      <c r="G28" s="1" t="s">
        <v>6</v>
      </c>
    </row>
    <row r="29" spans="1:12" x14ac:dyDescent="0.35">
      <c r="A29" s="14"/>
      <c r="B29" s="15"/>
      <c r="C29" s="15"/>
      <c r="D29" s="15"/>
      <c r="E29" s="16"/>
      <c r="F29" s="1"/>
      <c r="G29" s="1"/>
    </row>
    <row r="30" spans="1:12" x14ac:dyDescent="0.35">
      <c r="A30" s="75" t="s">
        <v>72</v>
      </c>
      <c r="B30" s="76"/>
      <c r="C30" s="76"/>
      <c r="D30" s="76"/>
      <c r="E30" s="77"/>
      <c r="F30" s="1"/>
      <c r="G30" s="1"/>
    </row>
    <row r="31" spans="1:12" x14ac:dyDescent="0.35">
      <c r="A31" s="47" t="s">
        <v>61</v>
      </c>
      <c r="B31" s="48"/>
      <c r="C31" s="48"/>
      <c r="D31" s="48"/>
      <c r="E31" s="49"/>
      <c r="F31" s="4">
        <v>20</v>
      </c>
      <c r="G31" s="1" t="s">
        <v>6</v>
      </c>
      <c r="K31" s="12" t="s">
        <v>41</v>
      </c>
      <c r="L31" s="12" t="s">
        <v>40</v>
      </c>
    </row>
    <row r="32" spans="1:12" x14ac:dyDescent="0.35">
      <c r="A32" s="47" t="s">
        <v>77</v>
      </c>
      <c r="B32" s="48"/>
      <c r="C32" s="48"/>
      <c r="D32" s="48"/>
      <c r="E32" s="49"/>
      <c r="F32" s="4">
        <v>22</v>
      </c>
      <c r="G32" s="1" t="s">
        <v>6</v>
      </c>
      <c r="K32" s="6" t="s">
        <v>42</v>
      </c>
      <c r="L32" s="1">
        <v>1</v>
      </c>
    </row>
    <row r="33" spans="1:17" x14ac:dyDescent="0.35">
      <c r="A33" s="47" t="s">
        <v>46</v>
      </c>
      <c r="B33" s="48"/>
      <c r="C33" s="48"/>
      <c r="D33" s="48"/>
      <c r="E33" s="49"/>
      <c r="F33" s="4">
        <v>400</v>
      </c>
      <c r="G33" s="1" t="s">
        <v>2</v>
      </c>
      <c r="K33" s="6" t="s">
        <v>43</v>
      </c>
      <c r="L33" s="1">
        <v>2</v>
      </c>
    </row>
    <row r="34" spans="1:17" x14ac:dyDescent="0.35">
      <c r="A34" s="47" t="s">
        <v>48</v>
      </c>
      <c r="B34" s="48"/>
      <c r="C34" s="48"/>
      <c r="D34" s="48"/>
      <c r="E34" s="49"/>
      <c r="F34" s="4">
        <v>1.25</v>
      </c>
      <c r="G34" s="1"/>
      <c r="K34" s="6" t="s">
        <v>44</v>
      </c>
      <c r="L34" s="1">
        <v>3</v>
      </c>
    </row>
    <row r="35" spans="1:17" x14ac:dyDescent="0.35">
      <c r="A35" s="47" t="s">
        <v>59</v>
      </c>
      <c r="B35" s="48"/>
      <c r="C35" s="48"/>
      <c r="D35" s="48"/>
      <c r="E35" s="49"/>
      <c r="F35" s="5">
        <f>0.6*F33</f>
        <v>240</v>
      </c>
      <c r="G35" s="1" t="s">
        <v>2</v>
      </c>
    </row>
    <row r="39" spans="1:17" ht="21" x14ac:dyDescent="0.5">
      <c r="A39" s="64" t="s">
        <v>26</v>
      </c>
      <c r="B39" s="64"/>
    </row>
    <row r="40" spans="1:17" x14ac:dyDescent="0.35">
      <c r="A40" s="20"/>
      <c r="B40" s="20"/>
      <c r="C40" s="20"/>
    </row>
    <row r="41" spans="1:17" ht="18.5" x14ac:dyDescent="0.45">
      <c r="A41" s="78" t="s">
        <v>122</v>
      </c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N41" s="81"/>
      <c r="O41" s="81"/>
    </row>
    <row r="42" spans="1:17" x14ac:dyDescent="0.35">
      <c r="Q42" s="3"/>
    </row>
    <row r="43" spans="1:17" x14ac:dyDescent="0.35">
      <c r="A43" s="47" t="s">
        <v>110</v>
      </c>
      <c r="B43" s="48"/>
      <c r="C43" s="48"/>
      <c r="D43" s="48"/>
      <c r="E43" s="49"/>
      <c r="F43" s="4">
        <v>520</v>
      </c>
      <c r="G43" s="1" t="s">
        <v>6</v>
      </c>
      <c r="Q43" s="3"/>
    </row>
    <row r="44" spans="1:17" x14ac:dyDescent="0.35">
      <c r="A44" s="47" t="s">
        <v>111</v>
      </c>
      <c r="B44" s="48"/>
      <c r="C44" s="48"/>
      <c r="D44" s="48"/>
      <c r="E44" s="49"/>
      <c r="F44" s="4">
        <v>520</v>
      </c>
      <c r="G44" s="1" t="s">
        <v>6</v>
      </c>
      <c r="Q44" s="3"/>
    </row>
    <row r="45" spans="1:17" x14ac:dyDescent="0.35">
      <c r="A45" s="47" t="s">
        <v>66</v>
      </c>
      <c r="B45" s="48"/>
      <c r="C45" s="48"/>
      <c r="D45" s="48"/>
      <c r="E45" s="49"/>
      <c r="F45" s="5">
        <f>F13</f>
        <v>85</v>
      </c>
      <c r="G45" s="1" t="s">
        <v>24</v>
      </c>
      <c r="N45" s="3"/>
      <c r="O45" s="3"/>
      <c r="P45" s="3"/>
    </row>
    <row r="46" spans="1:17" x14ac:dyDescent="0.35">
      <c r="A46" s="47" t="s">
        <v>64</v>
      </c>
      <c r="B46" s="48"/>
      <c r="C46" s="48"/>
      <c r="D46" s="48"/>
      <c r="E46" s="49"/>
      <c r="F46" s="5">
        <v>210</v>
      </c>
      <c r="G46" s="1" t="s">
        <v>6</v>
      </c>
      <c r="N46" s="3"/>
      <c r="O46" s="3"/>
      <c r="P46" s="3"/>
    </row>
    <row r="47" spans="1:17" x14ac:dyDescent="0.35">
      <c r="A47" s="47" t="s">
        <v>65</v>
      </c>
      <c r="B47" s="48"/>
      <c r="C47" s="48"/>
      <c r="D47" s="48"/>
      <c r="E47" s="49"/>
      <c r="F47" s="5">
        <f>F9</f>
        <v>450</v>
      </c>
      <c r="G47" s="1" t="s">
        <v>25</v>
      </c>
      <c r="N47" s="3"/>
      <c r="O47" s="3"/>
      <c r="P47" s="3"/>
    </row>
    <row r="48" spans="1:17" x14ac:dyDescent="0.35">
      <c r="A48" s="47" t="s">
        <v>86</v>
      </c>
      <c r="B48" s="48"/>
      <c r="C48" s="48"/>
      <c r="D48" s="48"/>
      <c r="E48" s="49"/>
      <c r="F48" s="5">
        <f>F12</f>
        <v>70.710678118654755</v>
      </c>
      <c r="G48" s="1" t="s">
        <v>25</v>
      </c>
      <c r="O48" s="20"/>
    </row>
    <row r="49" spans="1:15" x14ac:dyDescent="0.35">
      <c r="A49" s="47" t="s">
        <v>124</v>
      </c>
      <c r="B49" s="48"/>
      <c r="C49" s="48"/>
      <c r="D49" s="48"/>
      <c r="E49" s="49"/>
      <c r="F49" s="5">
        <f>(F13/F9)*1000</f>
        <v>188.88888888888889</v>
      </c>
      <c r="G49" s="1"/>
      <c r="H49" s="32" t="str">
        <f>IF(F49&gt;(F43/3),"Condition satisfied","Unsatisfied")</f>
        <v>Condition satisfied</v>
      </c>
      <c r="I49" s="32"/>
      <c r="O49" s="20"/>
    </row>
    <row r="50" spans="1:15" x14ac:dyDescent="0.35">
      <c r="A50" s="14"/>
      <c r="B50" s="15"/>
      <c r="C50" s="15"/>
      <c r="D50" s="15"/>
      <c r="E50" s="16"/>
      <c r="F50" s="1"/>
      <c r="G50" s="1"/>
    </row>
    <row r="51" spans="1:15" x14ac:dyDescent="0.35">
      <c r="A51" s="40" t="s">
        <v>80</v>
      </c>
      <c r="B51" s="85"/>
      <c r="C51" s="85"/>
      <c r="D51" s="85"/>
      <c r="E51" s="85"/>
      <c r="F51" s="41"/>
      <c r="G51" s="1"/>
    </row>
    <row r="52" spans="1:15" x14ac:dyDescent="0.35">
      <c r="A52" s="47" t="s">
        <v>103</v>
      </c>
      <c r="B52" s="48"/>
      <c r="C52" s="48"/>
      <c r="D52" s="48"/>
      <c r="E52" s="49"/>
      <c r="F52" s="5">
        <f>-(F19*F44*F53-F47*10^3)/1000</f>
        <v>42.97970536373375</v>
      </c>
      <c r="G52" s="1" t="s">
        <v>25</v>
      </c>
      <c r="H52" s="96" t="str">
        <f>IF(F52&gt;0,"Bolt in Tension","Bolt in compression")</f>
        <v>Bolt in Tension</v>
      </c>
      <c r="I52" s="95"/>
    </row>
    <row r="53" spans="1:15" x14ac:dyDescent="0.35">
      <c r="A53" s="47" t="s">
        <v>67</v>
      </c>
      <c r="B53" s="48"/>
      <c r="C53" s="48"/>
      <c r="D53" s="48"/>
      <c r="E53" s="49"/>
      <c r="F53" s="5">
        <f>(F43/2)+F46-SQRT((F43/2+F46)^2-(2*(F45*10^6+F47*10^3*F46)/(F19*F44)))</f>
        <v>57.980098951035075</v>
      </c>
      <c r="G53" s="1" t="s">
        <v>6</v>
      </c>
    </row>
    <row r="54" spans="1:15" x14ac:dyDescent="0.35">
      <c r="A54" s="47" t="s">
        <v>105</v>
      </c>
      <c r="B54" s="48"/>
      <c r="C54" s="48"/>
      <c r="D54" s="48"/>
      <c r="E54" s="49"/>
      <c r="F54" s="5">
        <f>F19*F44*F53*(F28-(F53/2))/10^6</f>
        <v>28.291960542627141</v>
      </c>
      <c r="G54" s="1" t="s">
        <v>24</v>
      </c>
    </row>
    <row r="55" spans="1:15" x14ac:dyDescent="0.35">
      <c r="A55" s="47" t="s">
        <v>106</v>
      </c>
      <c r="B55" s="48"/>
      <c r="C55" s="48"/>
      <c r="D55" s="48"/>
      <c r="E55" s="49"/>
      <c r="F55" s="5">
        <f>SQRT(F54*6*10^6*1.1/(1.2*F15*F44))</f>
        <v>34.597218983884247</v>
      </c>
      <c r="G55" s="1" t="s">
        <v>6</v>
      </c>
    </row>
    <row r="59" spans="1:15" x14ac:dyDescent="0.35">
      <c r="A59" s="54" t="s">
        <v>51</v>
      </c>
      <c r="B59" s="54"/>
      <c r="C59" s="54"/>
      <c r="D59" s="54"/>
      <c r="E59" s="54"/>
    </row>
    <row r="61" spans="1:15" x14ac:dyDescent="0.35">
      <c r="A61" s="55" t="s">
        <v>78</v>
      </c>
      <c r="B61" s="55"/>
      <c r="C61" s="55"/>
    </row>
    <row r="63" spans="1:15" x14ac:dyDescent="0.35">
      <c r="A63" s="47" t="s">
        <v>117</v>
      </c>
      <c r="B63" s="48"/>
      <c r="C63" s="48"/>
      <c r="D63" s="48"/>
      <c r="E63" s="49"/>
      <c r="F63" s="5">
        <f>F71*F35*1.25/1100</f>
        <v>66.796363636363651</v>
      </c>
      <c r="G63" t="s">
        <v>25</v>
      </c>
    </row>
    <row r="64" spans="1:15" x14ac:dyDescent="0.35">
      <c r="A64" s="47" t="s">
        <v>118</v>
      </c>
      <c r="B64" s="48"/>
      <c r="C64" s="48"/>
      <c r="D64" s="48"/>
      <c r="E64" s="49"/>
      <c r="F64" s="5">
        <f>ROUNDUP(F52/F63,0)</f>
        <v>1</v>
      </c>
    </row>
    <row r="65" spans="1:11" x14ac:dyDescent="0.35">
      <c r="A65" s="47" t="s">
        <v>82</v>
      </c>
      <c r="B65" s="48"/>
      <c r="C65" s="48"/>
      <c r="D65" s="48"/>
      <c r="E65" s="49"/>
      <c r="F65" s="4">
        <v>2</v>
      </c>
    </row>
    <row r="66" spans="1:11" ht="14.5" customHeight="1" x14ac:dyDescent="0.35">
      <c r="A66" s="86" t="s">
        <v>79</v>
      </c>
      <c r="B66" s="87"/>
      <c r="C66" s="87"/>
      <c r="D66" s="87"/>
      <c r="E66" s="88"/>
      <c r="F66" s="92">
        <f>F63*2</f>
        <v>133.5927272727273</v>
      </c>
      <c r="G66" s="94" t="s">
        <v>25</v>
      </c>
    </row>
    <row r="67" spans="1:11" x14ac:dyDescent="0.35">
      <c r="A67" s="89"/>
      <c r="B67" s="90"/>
      <c r="C67" s="90"/>
      <c r="D67" s="90"/>
      <c r="E67" s="91"/>
      <c r="F67" s="93"/>
      <c r="G67" s="94"/>
      <c r="H67" s="95" t="str">
        <f>IF(F66&gt;F52,"Bolts are safe in tension","Change the bolt diameter")</f>
        <v>Bolts are safe in tension</v>
      </c>
      <c r="I67" s="95"/>
      <c r="J67" s="95"/>
      <c r="K67" s="95"/>
    </row>
    <row r="68" spans="1:11" x14ac:dyDescent="0.35">
      <c r="A68" s="21"/>
      <c r="B68" s="21"/>
      <c r="C68" s="21"/>
      <c r="D68" s="21"/>
      <c r="E68" s="21"/>
    </row>
    <row r="69" spans="1:11" x14ac:dyDescent="0.35">
      <c r="A69" s="55" t="s">
        <v>84</v>
      </c>
      <c r="B69" s="55"/>
      <c r="C69" s="55"/>
    </row>
    <row r="71" spans="1:11" x14ac:dyDescent="0.35">
      <c r="A71" s="47" t="s">
        <v>54</v>
      </c>
      <c r="B71" s="48"/>
      <c r="C71" s="48"/>
      <c r="D71" s="48"/>
      <c r="E71" s="49"/>
      <c r="F71" s="5">
        <f>0.78*3.14*F31*F31/4</f>
        <v>244.92000000000004</v>
      </c>
      <c r="G71" s="1" t="s">
        <v>4</v>
      </c>
    </row>
    <row r="72" spans="1:11" ht="14.5" customHeight="1" x14ac:dyDescent="0.35">
      <c r="A72" s="65" t="s">
        <v>75</v>
      </c>
      <c r="B72" s="66"/>
      <c r="C72" s="66"/>
      <c r="D72" s="66"/>
      <c r="E72" s="67"/>
      <c r="F72" s="36">
        <f>F33*(F71)/((SQRT(3))*F34*1000)</f>
        <v>45.249480937575413</v>
      </c>
      <c r="G72" s="60" t="s">
        <v>25</v>
      </c>
    </row>
    <row r="73" spans="1:11" x14ac:dyDescent="0.35">
      <c r="A73" s="68"/>
      <c r="B73" s="69"/>
      <c r="C73" s="69"/>
      <c r="D73" s="69"/>
      <c r="E73" s="70"/>
      <c r="F73" s="37"/>
      <c r="G73" s="61"/>
    </row>
    <row r="75" spans="1:11" x14ac:dyDescent="0.35">
      <c r="A75" s="22"/>
      <c r="B75" s="22"/>
      <c r="C75" s="22"/>
      <c r="D75" s="22"/>
      <c r="E75" s="22"/>
    </row>
    <row r="77" spans="1:11" x14ac:dyDescent="0.35">
      <c r="A77" s="55" t="s">
        <v>85</v>
      </c>
      <c r="B77" s="55"/>
      <c r="C77" s="55"/>
    </row>
    <row r="79" spans="1:11" x14ac:dyDescent="0.35">
      <c r="A79" s="47" t="s">
        <v>76</v>
      </c>
      <c r="B79" s="48"/>
      <c r="C79" s="48"/>
      <c r="D79" s="48"/>
      <c r="E79" s="49"/>
      <c r="F79" s="5">
        <f>F32</f>
        <v>22</v>
      </c>
      <c r="G79" s="1" t="s">
        <v>6</v>
      </c>
    </row>
    <row r="80" spans="1:11" x14ac:dyDescent="0.35">
      <c r="A80" s="47" t="s">
        <v>49</v>
      </c>
      <c r="B80" s="48"/>
      <c r="C80" s="48"/>
      <c r="D80" s="48"/>
      <c r="E80" s="49"/>
      <c r="F80" s="5">
        <f>2.5*F79</f>
        <v>55</v>
      </c>
      <c r="G80" s="1" t="s">
        <v>6</v>
      </c>
    </row>
    <row r="81" spans="1:7" x14ac:dyDescent="0.35">
      <c r="A81" s="47" t="s">
        <v>83</v>
      </c>
      <c r="B81" s="48"/>
      <c r="C81" s="48"/>
      <c r="D81" s="48"/>
      <c r="E81" s="49"/>
      <c r="F81" s="5">
        <f>1.5*F79</f>
        <v>33</v>
      </c>
      <c r="G81" s="1" t="s">
        <v>6</v>
      </c>
    </row>
    <row r="82" spans="1:7" x14ac:dyDescent="0.35">
      <c r="A82" s="13" t="s">
        <v>53</v>
      </c>
      <c r="B82" s="13"/>
      <c r="C82" s="13"/>
      <c r="D82" s="8"/>
      <c r="E82" s="8"/>
      <c r="F82" s="5">
        <f>MIN((F81/(3*F79)),((F80/(3*F79))-0.25),(F33/F16))</f>
        <v>0.5</v>
      </c>
      <c r="G82" s="1"/>
    </row>
    <row r="83" spans="1:7" ht="14.5" customHeight="1" x14ac:dyDescent="0.35">
      <c r="A83" s="65" t="s">
        <v>56</v>
      </c>
      <c r="B83" s="66"/>
      <c r="C83" s="66"/>
      <c r="D83" s="66"/>
      <c r="E83" s="67"/>
      <c r="F83" s="36">
        <f>2.5*F82*F31*F55*F16/(F34*1000)</f>
        <v>283.69719566785085</v>
      </c>
      <c r="G83" s="45" t="s">
        <v>25</v>
      </c>
    </row>
    <row r="84" spans="1:7" x14ac:dyDescent="0.35">
      <c r="A84" s="68"/>
      <c r="B84" s="69"/>
      <c r="C84" s="69"/>
      <c r="D84" s="69"/>
      <c r="E84" s="70"/>
      <c r="F84" s="37"/>
      <c r="G84" s="45"/>
    </row>
    <row r="86" spans="1:7" x14ac:dyDescent="0.35">
      <c r="A86" s="42" t="s">
        <v>116</v>
      </c>
      <c r="B86" s="43"/>
      <c r="C86" s="43"/>
      <c r="D86" s="43"/>
      <c r="E86" s="44"/>
      <c r="F86" s="5">
        <f>MIN(F83,F72)</f>
        <v>45.249480937575413</v>
      </c>
      <c r="G86" s="1" t="s">
        <v>25</v>
      </c>
    </row>
    <row r="87" spans="1:7" ht="14.5" customHeight="1" x14ac:dyDescent="0.35">
      <c r="A87" s="86" t="s">
        <v>93</v>
      </c>
      <c r="B87" s="87"/>
      <c r="C87" s="87"/>
      <c r="D87" s="87"/>
      <c r="E87" s="88"/>
      <c r="F87" s="36">
        <f>ROUNDUP(F12/F86,0)</f>
        <v>2</v>
      </c>
      <c r="G87" s="38"/>
    </row>
    <row r="88" spans="1:7" x14ac:dyDescent="0.35">
      <c r="A88" s="89"/>
      <c r="B88" s="90"/>
      <c r="C88" s="90"/>
      <c r="D88" s="90"/>
      <c r="E88" s="91"/>
      <c r="F88" s="37"/>
      <c r="G88" s="39"/>
    </row>
  </sheetData>
  <mergeCells count="72">
    <mergeCell ref="H67:K67"/>
    <mergeCell ref="H52:I52"/>
    <mergeCell ref="A83:E84"/>
    <mergeCell ref="F83:F84"/>
    <mergeCell ref="G83:G84"/>
    <mergeCell ref="A86:E86"/>
    <mergeCell ref="A32:E32"/>
    <mergeCell ref="A61:C61"/>
    <mergeCell ref="A63:E63"/>
    <mergeCell ref="A65:E65"/>
    <mergeCell ref="A66:E67"/>
    <mergeCell ref="F66:F67"/>
    <mergeCell ref="G66:G67"/>
    <mergeCell ref="A81:E81"/>
    <mergeCell ref="A41:L41"/>
    <mergeCell ref="G72:G73"/>
    <mergeCell ref="A79:E79"/>
    <mergeCell ref="A77:C77"/>
    <mergeCell ref="A80:E80"/>
    <mergeCell ref="A59:E59"/>
    <mergeCell ref="A69:C69"/>
    <mergeCell ref="A71:E71"/>
    <mergeCell ref="A72:E73"/>
    <mergeCell ref="F72:F73"/>
    <mergeCell ref="A52:E52"/>
    <mergeCell ref="A53:E53"/>
    <mergeCell ref="A7:C7"/>
    <mergeCell ref="A11:E11"/>
    <mergeCell ref="A12:E12"/>
    <mergeCell ref="A30:E30"/>
    <mergeCell ref="A27:E27"/>
    <mergeCell ref="A26:E26"/>
    <mergeCell ref="A24:E24"/>
    <mergeCell ref="A25:E25"/>
    <mergeCell ref="A28:E28"/>
    <mergeCell ref="A9:E9"/>
    <mergeCell ref="A15:E15"/>
    <mergeCell ref="A39:B39"/>
    <mergeCell ref="B2:N2"/>
    <mergeCell ref="K4:L4"/>
    <mergeCell ref="A10:E10"/>
    <mergeCell ref="A13:E13"/>
    <mergeCell ref="Q4:S4"/>
    <mergeCell ref="Q10:R10"/>
    <mergeCell ref="A87:E88"/>
    <mergeCell ref="F87:F88"/>
    <mergeCell ref="G87:G88"/>
    <mergeCell ref="Q6:R6"/>
    <mergeCell ref="Q8:R8"/>
    <mergeCell ref="Q9:R9"/>
    <mergeCell ref="A47:E47"/>
    <mergeCell ref="A48:E48"/>
    <mergeCell ref="A31:E31"/>
    <mergeCell ref="A33:E33"/>
    <mergeCell ref="A34:E34"/>
    <mergeCell ref="A35:E35"/>
    <mergeCell ref="A18:E18"/>
    <mergeCell ref="A16:E16"/>
    <mergeCell ref="A46:E46"/>
    <mergeCell ref="N41:O41"/>
    <mergeCell ref="Q11:R11"/>
    <mergeCell ref="A64:E64"/>
    <mergeCell ref="A55:E55"/>
    <mergeCell ref="A54:E54"/>
    <mergeCell ref="A51:F51"/>
    <mergeCell ref="A19:E19"/>
    <mergeCell ref="A17:E17"/>
    <mergeCell ref="A14:E14"/>
    <mergeCell ref="A49:E49"/>
    <mergeCell ref="A43:E43"/>
    <mergeCell ref="A44:E44"/>
    <mergeCell ref="A45:E45"/>
  </mergeCells>
  <pageMargins left="0.7" right="0.7" top="0.75" bottom="0.75" header="0.3" footer="0.3"/>
  <pageSetup paperSize="8" scale="8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 End</vt:lpstr>
      <vt:lpstr>(6e&lt;=L) Fixed End Case</vt:lpstr>
      <vt:lpstr>(3e&gt;L) Fixed end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sanyam garg</dc:creator>
  <cp:lastModifiedBy>SANYAM GARG</cp:lastModifiedBy>
  <cp:lastPrinted>2023-08-01T09:50:55Z</cp:lastPrinted>
  <dcterms:created xsi:type="dcterms:W3CDTF">2023-07-26T06:10:51Z</dcterms:created>
  <dcterms:modified xsi:type="dcterms:W3CDTF">2023-08-02T09:46:23Z</dcterms:modified>
</cp:coreProperties>
</file>