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<sst xmlns="http://schemas.openxmlformats.org/spreadsheetml/2006/main" count="154" uniqueCount="133">
  <si>
    <t xml:space="preserve">Chemical</t>
  </si>
  <si>
    <t xml:space="preserve">Valence</t>
  </si>
  <si>
    <t xml:space="preserve">Molar mass</t>
  </si>
  <si>
    <t xml:space="preserve">Pauli Radius</t>
  </si>
  <si>
    <t xml:space="preserve"># of ions</t>
  </si>
  <si>
    <t xml:space="preserve">Diffusion coefficient</t>
  </si>
  <si>
    <t xml:space="preserve">Stokes Radius</t>
  </si>
  <si>
    <t xml:space="preserve">Hydrated Radius</t>
  </si>
  <si>
    <t xml:space="preserve">Hyd. Shell Radius</t>
  </si>
  <si>
    <t xml:space="preserve">Cations</t>
  </si>
  <si>
    <t xml:space="preserve">(g/mol)</t>
  </si>
  <si>
    <t xml:space="preserve">(nm) *1*</t>
  </si>
  <si>
    <t xml:space="preserve">per nm^3</t>
  </si>
  <si>
    <t xml:space="preserve">in H2O (cm^2/s)</t>
  </si>
  <si>
    <t xml:space="preserve">(nm) *2*</t>
  </si>
  <si>
    <t xml:space="preserve">(nm) *3*</t>
  </si>
  <si>
    <t xml:space="preserve">Lithium</t>
  </si>
  <si>
    <t xml:space="preserve">Li</t>
  </si>
  <si>
    <t xml:space="preserve">Sodium</t>
  </si>
  <si>
    <t xml:space="preserve">Na</t>
  </si>
  <si>
    <t xml:space="preserve">Potasium</t>
  </si>
  <si>
    <t xml:space="preserve">K</t>
  </si>
  <si>
    <t xml:space="preserve">Barium</t>
  </si>
  <si>
    <t xml:space="preserve">Ba</t>
  </si>
  <si>
    <t xml:space="preserve">Aluminum</t>
  </si>
  <si>
    <t xml:space="preserve">Al</t>
  </si>
  <si>
    <t xml:space="preserve">Anions</t>
  </si>
  <si>
    <t xml:space="preserve">Chloride</t>
  </si>
  <si>
    <t xml:space="preserve">Cl</t>
  </si>
  <si>
    <t xml:space="preserve">Bromide</t>
  </si>
  <si>
    <t xml:space="preserve">Br</t>
  </si>
  <si>
    <t xml:space="preserve">Hexafluorophosphate</t>
  </si>
  <si>
    <t xml:space="preserve">PF6</t>
  </si>
  <si>
    <t xml:space="preserve">Density</t>
  </si>
  <si>
    <t xml:space="preserve"># of molecules</t>
  </si>
  <si>
    <t xml:space="preserve">Dielectric constant</t>
  </si>
  <si>
    <t xml:space="preserve">Dynamic Viscosity</t>
  </si>
  <si>
    <t xml:space="preserve">Solvents</t>
  </si>
  <si>
    <t xml:space="preserve">(g/cc)</t>
  </si>
  <si>
    <t xml:space="preserve">(relative permittivity)</t>
  </si>
  <si>
    <t xml:space="preserve">(poise)</t>
  </si>
  <si>
    <t xml:space="preserve">Water</t>
  </si>
  <si>
    <t xml:space="preserve">H2O</t>
  </si>
  <si>
    <t xml:space="preserve">Benzene</t>
  </si>
  <si>
    <t xml:space="preserve">C6H6</t>
  </si>
  <si>
    <t xml:space="preserve">Ethylene Carbonate (EC)</t>
  </si>
  <si>
    <t xml:space="preserve">(CH2O)2 CO</t>
  </si>
  <si>
    <t xml:space="preserve">(solid)</t>
  </si>
  <si>
    <t xml:space="preserve">Dimethyl Carbonate (DMC)</t>
  </si>
  <si>
    <t xml:space="preserve">OC(OCH3)2</t>
  </si>
  <si>
    <t xml:space="preserve">COMPUTED VALUES IN PINK CELLS</t>
  </si>
  <si>
    <t xml:space="preserve">Avogadro's Number</t>
  </si>
  <si>
    <t xml:space="preserve">Notes:</t>
  </si>
  <si>
    <t xml:space="preserve">*1* Data from Appendix 3.1 of Stokes and Robinson</t>
  </si>
  <si>
    <t xml:space="preserve">*2* Data from Horvath, "Handbook of Aqueous Electrolyte Solutions" pg. 344</t>
  </si>
  <si>
    <t xml:space="preserve">*3* Data from "Ionic radii in aqueous solutions", Yizhak Marcus, Chem. Rev., 1988, 88 (8), pp 1475–1498</t>
  </si>
  <si>
    <t xml:space="preserve">Bjerrum length calculation</t>
  </si>
  <si>
    <t xml:space="preserve">Debye length calculation (1:1 electrolytes)</t>
  </si>
  <si>
    <t xml:space="preserve">Boltzmann's constant (cgs)</t>
  </si>
  <si>
    <t xml:space="preserve">Solvent dielectric const.</t>
  </si>
  <si>
    <t xml:space="preserve">Salt molarity</t>
  </si>
  <si>
    <t xml:space="preserve">Vacuum permittivity (cgs)</t>
  </si>
  <si>
    <t xml:space="preserve">Reference T (K)</t>
  </si>
  <si>
    <t xml:space="preserve">(moles of salt (= moles of cation) per liter of solvent)</t>
  </si>
  <si>
    <t xml:space="preserve">Electron charge (C )</t>
  </si>
  <si>
    <t xml:space="preserve">Bjerrum length (nm)</t>
  </si>
  <si>
    <t xml:space="preserve">Debye length (nm)</t>
  </si>
  <si>
    <t xml:space="preserve">Ergs per Joule</t>
  </si>
  <si>
    <t xml:space="preserve">Nanometers per cm</t>
  </si>
  <si>
    <t xml:space="preserve">k_B T (cgs)</t>
  </si>
  <si>
    <t xml:space="preserve">Ion number calculation</t>
  </si>
  <si>
    <t xml:space="preserve">Stokes ionic radius calculation</t>
  </si>
  <si>
    <t xml:space="preserve">Cation</t>
  </si>
  <si>
    <t xml:space="preserve">Anion</t>
  </si>
  <si>
    <t xml:space="preserve">Cations per nm^3</t>
  </si>
  <si>
    <t xml:space="preserve">Ion diffusion coefficient (cm^2/s)</t>
  </si>
  <si>
    <t xml:space="preserve">ENTER VALUE IN GREEN CELLS</t>
  </si>
  <si>
    <t xml:space="preserve">Cations per cm^3</t>
  </si>
  <si>
    <t xml:space="preserve">Solvent dynamic viscosity (poise)</t>
  </si>
  <si>
    <t xml:space="preserve">Cations per Debye^3</t>
  </si>
  <si>
    <t xml:space="preserve">Stokes radius (nm)</t>
  </si>
  <si>
    <t xml:space="preserve">Cubic nm per cation</t>
  </si>
  <si>
    <t xml:space="preserve">Cubic Debye per cation</t>
  </si>
  <si>
    <t xml:space="preserve">Ion size correction in DHO theory</t>
  </si>
  <si>
    <t xml:space="preserve">Bulk Conductivity (1:1 electrolytes)</t>
  </si>
  <si>
    <t xml:space="preserve">Cation (cgs)</t>
  </si>
  <si>
    <t xml:space="preserve">Anion (cgs)</t>
  </si>
  <si>
    <t xml:space="preserve">Total (cgs)</t>
  </si>
  <si>
    <t xml:space="preserve">Standard</t>
  </si>
  <si>
    <t xml:space="preserve">Ion transport number (Bulk)</t>
  </si>
  <si>
    <t xml:space="preserve">Bare conductivity (zero concentration limit)</t>
  </si>
  <si>
    <t xml:space="preserve">Bare conductivity (w/o DHO corrections)</t>
  </si>
  <si>
    <t xml:space="preserve">Wet Percentage (EP Correction)</t>
  </si>
  <si>
    <r>
      <rPr>
        <sz val="11"/>
        <color rgb="FF000000"/>
        <rFont val="Calibri"/>
        <family val="2"/>
        <charset val="1"/>
      </rPr>
      <t xml:space="preserve">Ion size in DH, </t>
    </r>
    <r>
      <rPr>
        <i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 (nm)</t>
    </r>
  </si>
  <si>
    <t xml:space="preserve">Electrophoretic conductivity correction</t>
  </si>
  <si>
    <t xml:space="preserve">DHO theory w/o ion size correction</t>
  </si>
  <si>
    <t xml:space="preserve">Correction factor</t>
  </si>
  <si>
    <t xml:space="preserve">Relaxation conductivity correction</t>
  </si>
  <si>
    <t xml:space="preserve">DHO theory with ion size correction</t>
  </si>
  <si>
    <t xml:space="preserve">in conductivity</t>
  </si>
  <si>
    <t xml:space="preserve">Total conductivity (DHO theory)</t>
  </si>
  <si>
    <t xml:space="preserve">Percent change from c=0 value</t>
  </si>
  <si>
    <t xml:space="preserve">Wien Effect Corrections to DHO Corrections</t>
  </si>
  <si>
    <t xml:space="preserve">Total conductivity (with ion size correction)</t>
  </si>
  <si>
    <t xml:space="preserve">Electrophoresis</t>
  </si>
  <si>
    <t xml:space="preserve">Relaxation </t>
  </si>
  <si>
    <t xml:space="preserve">Set these to 1.0 for no Wien correction (weak E-field)</t>
  </si>
  <si>
    <t xml:space="preserve">Slit channel parameters</t>
  </si>
  <si>
    <t xml:space="preserve">Slit Channel Conductivity (1:1 electrolytes)</t>
  </si>
  <si>
    <t xml:space="preserve">Ion transport number (Slit Channel)</t>
  </si>
  <si>
    <t xml:space="preserve">Surface charge density each wall (C/cm^2)</t>
  </si>
  <si>
    <t xml:space="preserve">Ion number density</t>
  </si>
  <si>
    <t xml:space="preserve">Bare conductivity (w/o DHO corrections) </t>
  </si>
  <si>
    <t xml:space="preserve">Channel height between walls (nm)</t>
  </si>
  <si>
    <t xml:space="preserve">Channel Debye length (nm)</t>
  </si>
  <si>
    <t xml:space="preserve">DHO theory w/ ion size + EO flow</t>
  </si>
  <si>
    <t xml:space="preserve">Extra conductivity due to electro-osmotic flow</t>
  </si>
  <si>
    <t xml:space="preserve">Total conductivity (DHO w/ ion size + EO flow)</t>
  </si>
  <si>
    <t xml:space="preserve">Percent change from bulk value</t>
  </si>
  <si>
    <t xml:space="preserve">For 1:1 electrolytes the salt, cation (+ ion), and anion (- ion) molarities are all equal. </t>
  </si>
  <si>
    <t xml:space="preserve">The normality (equivalents per liter) of a 1:1 electrolyte solution equals twice the molarity.</t>
  </si>
  <si>
    <t xml:space="preserve">Ion transport number, also called the transference number, is the fraction of the total electrical current carried in an electrolyte by a given ionic species</t>
  </si>
  <si>
    <t xml:space="preserve">The Bjerrum length  is the separation at which the electrostatic interaction between two elementary charges is comparable in magnitude to the thermal energy scale,  k_B T</t>
  </si>
  <si>
    <t xml:space="preserve">Bjerrum length = e^2 / ( 4 pi epsilon_r epsilon_0 k_B T ) where epsilon_r is dielectric constant</t>
  </si>
  <si>
    <t xml:space="preserve">For 1:1 electrolyte solution Debye length = sqrt( 1/( 4 pi (Bjerrum length) (2 * salt number density)  ) )</t>
  </si>
  <si>
    <t xml:space="preserve">Conductivity @ zero concentration = (number density) e^2 (diffusion coeff.)/(k_B T)</t>
  </si>
  <si>
    <t xml:space="preserve">Electrophoretic correction = - (number density) e^2 / ( 6 pi (viscosity) (Debye length)</t>
  </si>
  <si>
    <t xml:space="preserve">Relaxation correction = - (Conductivity @ c=0) e^2 / ( 12 pi epsilon_r epsilon_0 k_B T )  1/( 2 + sqrt(2) )  1/(Debye length)</t>
  </si>
  <si>
    <t xml:space="preserve">Ion size correction in DHO = 1 / ( 1 + (Ion size, a)/(Debye length) ). This correction only applies to the electrophoretic and relaxation corrections.</t>
  </si>
  <si>
    <t xml:space="preserve">Number density of +/- ions in a slit channel = sqrt ( (Salt number density)^2 + ( (Surface charge density/( e * height) )^2 ) -/+ Surface charge density/( e * height)</t>
  </si>
  <si>
    <t xml:space="preserve">Due to Donnan exclusion in a channel with surface charge the cation and anion number densities do NOT sum to twice the salt number density.</t>
  </si>
  <si>
    <t xml:space="preserve">Bare conductivity in a slit channel differs from bulk conductivity due to the change in the cation and anion number densities</t>
  </si>
  <si>
    <t xml:space="preserve">Extra conductivity due to electro-osmotic flow assumes the channel height is large compared with Debye length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</si>
</sst>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"/>
    <numFmt numFmtId="168" formatCode="0.00E+00"/>
    <numFmt numFmtId="169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1" activeCellId="0" sqref="G11"/>
    </sheetView>
  </sheetViews>
  <sheetFormatPr defaultRowHeight="14.25" zeroHeight="false" outlineLevelRow="0" outlineLevelCol="0"/>
  <cols>
    <col collapsed="false" customWidth="true" hidden="false" outlineLevel="0" max="1" min="1" style="1" width="22.73"/>
    <col collapsed="false" customWidth="true" hidden="false" outlineLevel="0" max="2" min="2" style="1" width="13.53"/>
    <col collapsed="false" customWidth="true" hidden="false" outlineLevel="0" max="3" min="3" style="1" width="9"/>
    <col collapsed="false" customWidth="true" hidden="false" outlineLevel="0" max="4" min="4" style="1" width="12.2"/>
    <col collapsed="false" customWidth="true" hidden="false" outlineLevel="0" max="5" min="5" style="1" width="13.53"/>
    <col collapsed="false" customWidth="true" hidden="false" outlineLevel="0" max="6" min="6" style="1" width="12.53"/>
    <col collapsed="false" customWidth="true" hidden="false" outlineLevel="0" max="7" min="7" style="1" width="18.47"/>
    <col collapsed="false" customWidth="true" hidden="false" outlineLevel="0" max="8" min="8" style="1" width="16.2"/>
    <col collapsed="false" customWidth="true" hidden="false" outlineLevel="0" max="9" min="9" style="1" width="14.53"/>
    <col collapsed="false" customWidth="true" hidden="false" outlineLevel="0" max="10" min="10" style="1" width="15"/>
    <col collapsed="false" customWidth="true" hidden="false" outlineLevel="0" max="1025" min="11" style="1" width="9"/>
  </cols>
  <sheetData>
    <row r="2" customFormat="false" ht="14.2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customFormat="false" ht="14.25" hidden="false" customHeight="false" outlineLevel="0" collapsed="false">
      <c r="A3" s="2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14</v>
      </c>
      <c r="J3" s="1" t="s">
        <v>15</v>
      </c>
    </row>
    <row r="4" customFormat="false" ht="14.25" hidden="false" customHeight="false" outlineLevel="0" collapsed="false">
      <c r="A4" s="1" t="s">
        <v>16</v>
      </c>
      <c r="B4" s="1" t="s">
        <v>17</v>
      </c>
      <c r="C4" s="3" t="n">
        <v>1</v>
      </c>
      <c r="D4" s="1" t="n">
        <v>6.9</v>
      </c>
      <c r="E4" s="4" t="n">
        <v>0.06</v>
      </c>
      <c r="F4" s="5" t="n">
        <f aca="false">1/E4</f>
        <v>16.6666666666667</v>
      </c>
      <c r="G4" s="6" t="n">
        <v>1.03E-005</v>
      </c>
      <c r="H4" s="4" t="n">
        <v>0.238</v>
      </c>
      <c r="I4" s="4" t="n">
        <v>0.382</v>
      </c>
      <c r="J4" s="4" t="n">
        <v>0.208</v>
      </c>
    </row>
    <row r="5" customFormat="false" ht="14.25" hidden="false" customHeight="false" outlineLevel="0" collapsed="false">
      <c r="A5" s="1" t="s">
        <v>18</v>
      </c>
      <c r="B5" s="1" t="s">
        <v>19</v>
      </c>
      <c r="C5" s="3" t="n">
        <v>1</v>
      </c>
      <c r="D5" s="1" t="n">
        <v>23</v>
      </c>
      <c r="E5" s="4" t="n">
        <v>0.095</v>
      </c>
      <c r="F5" s="5" t="n">
        <f aca="false">1/E5</f>
        <v>10.5263157894737</v>
      </c>
      <c r="G5" s="6" t="n">
        <v>1.33E-005</v>
      </c>
      <c r="H5" s="4" t="n">
        <v>0.184</v>
      </c>
      <c r="I5" s="4" t="n">
        <v>0.358</v>
      </c>
      <c r="J5" s="4" t="n">
        <v>0.236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3" t="n">
        <v>1</v>
      </c>
      <c r="D6" s="1" t="n">
        <v>39</v>
      </c>
      <c r="E6" s="4" t="n">
        <v>0.133</v>
      </c>
      <c r="F6" s="5" t="n">
        <f aca="false">1/E6</f>
        <v>7.5187969924812</v>
      </c>
      <c r="G6" s="6" t="n">
        <v>1.96E-005</v>
      </c>
      <c r="H6" s="4" t="n">
        <v>0.125</v>
      </c>
      <c r="I6" s="4" t="n">
        <v>0.331</v>
      </c>
      <c r="J6" s="4" t="n">
        <v>0.28</v>
      </c>
    </row>
    <row r="7" customFormat="false" ht="14.25" hidden="false" customHeight="false" outlineLevel="0" collapsed="false">
      <c r="A7" s="1" t="s">
        <v>22</v>
      </c>
      <c r="B7" s="1" t="s">
        <v>23</v>
      </c>
      <c r="C7" s="3" t="n">
        <v>2</v>
      </c>
      <c r="D7" s="1" t="n">
        <v>137.3</v>
      </c>
      <c r="E7" s="4" t="n">
        <v>0.135</v>
      </c>
      <c r="F7" s="5" t="n">
        <f aca="false">1/E7</f>
        <v>7.40740740740741</v>
      </c>
      <c r="G7" s="6"/>
      <c r="H7" s="4" t="n">
        <v>0.29</v>
      </c>
      <c r="I7" s="4" t="n">
        <v>0.404</v>
      </c>
      <c r="J7" s="4"/>
    </row>
    <row r="8" customFormat="false" ht="14.25" hidden="false" customHeight="false" outlineLevel="0" collapsed="false">
      <c r="A8" s="1" t="s">
        <v>24</v>
      </c>
      <c r="B8" s="1" t="s">
        <v>25</v>
      </c>
      <c r="C8" s="3" t="n">
        <v>3</v>
      </c>
      <c r="D8" s="1" t="n">
        <v>27</v>
      </c>
      <c r="E8" s="4" t="n">
        <v>0.05</v>
      </c>
      <c r="F8" s="5" t="n">
        <f aca="false">1/E8</f>
        <v>20</v>
      </c>
      <c r="G8" s="6"/>
      <c r="H8" s="4"/>
      <c r="I8" s="4"/>
      <c r="J8" s="4" t="n">
        <v>0.189</v>
      </c>
    </row>
    <row r="9" customFormat="false" ht="14.25" hidden="false" customHeight="false" outlineLevel="0" collapsed="false">
      <c r="C9" s="3"/>
      <c r="E9" s="4"/>
      <c r="H9" s="4"/>
      <c r="I9" s="4"/>
    </row>
    <row r="10" customFormat="false" ht="14.25" hidden="false" customHeight="false" outlineLevel="0" collapsed="false">
      <c r="A10" s="2" t="s">
        <v>26</v>
      </c>
      <c r="C10" s="3"/>
      <c r="E10" s="4"/>
      <c r="H10" s="4"/>
      <c r="I10" s="4"/>
    </row>
    <row r="11" customFormat="false" ht="14.25" hidden="false" customHeight="false" outlineLevel="0" collapsed="false">
      <c r="A11" s="1" t="s">
        <v>27</v>
      </c>
      <c r="B11" s="1" t="s">
        <v>28</v>
      </c>
      <c r="C11" s="3" t="n">
        <v>-1</v>
      </c>
      <c r="D11" s="1" t="n">
        <v>35.5</v>
      </c>
      <c r="E11" s="4" t="n">
        <v>0.181</v>
      </c>
      <c r="F11" s="1" t="n">
        <f aca="false">1/E11</f>
        <v>5.52486187845304</v>
      </c>
      <c r="G11" s="6" t="n">
        <v>2.03E-005</v>
      </c>
      <c r="H11" s="4" t="n">
        <v>0.121</v>
      </c>
      <c r="I11" s="4" t="n">
        <v>0.332</v>
      </c>
      <c r="J11" s="4" t="n">
        <v>0.319</v>
      </c>
    </row>
    <row r="12" customFormat="false" ht="14.25" hidden="false" customHeight="false" outlineLevel="0" collapsed="false">
      <c r="A12" s="1" t="s">
        <v>29</v>
      </c>
      <c r="B12" s="1" t="s">
        <v>30</v>
      </c>
      <c r="C12" s="3" t="n">
        <v>-1</v>
      </c>
      <c r="D12" s="1" t="n">
        <v>80</v>
      </c>
      <c r="E12" s="4" t="n">
        <v>0.195</v>
      </c>
      <c r="F12" s="1" t="n">
        <f aca="false">1/E12</f>
        <v>5.12820512820513</v>
      </c>
      <c r="G12" s="6" t="n">
        <v>2.07E-005</v>
      </c>
      <c r="H12" s="4" t="n">
        <v>0.118</v>
      </c>
      <c r="I12" s="4" t="n">
        <v>0.33</v>
      </c>
      <c r="J12" s="4" t="n">
        <v>0.337</v>
      </c>
    </row>
    <row r="13" customFormat="false" ht="14.25" hidden="false" customHeight="false" outlineLevel="0" collapsed="false">
      <c r="A13" s="1" t="s">
        <v>31</v>
      </c>
      <c r="B13" s="1" t="s">
        <v>32</v>
      </c>
      <c r="C13" s="3" t="n">
        <v>-1</v>
      </c>
      <c r="D13" s="1" t="n">
        <v>145</v>
      </c>
      <c r="E13" s="4" t="n">
        <v>0.242</v>
      </c>
      <c r="F13" s="1" t="n">
        <f aca="false">1/E13</f>
        <v>4.13223140495868</v>
      </c>
      <c r="G13" s="6"/>
      <c r="H13" s="4"/>
    </row>
    <row r="14" customFormat="false" ht="14.25" hidden="false" customHeight="false" outlineLevel="0" collapsed="false">
      <c r="C14" s="3"/>
      <c r="G14" s="7"/>
      <c r="H14" s="4"/>
    </row>
    <row r="15" customFormat="false" ht="14.25" hidden="false" customHeight="false" outlineLevel="0" collapsed="false">
      <c r="B15" s="1" t="s">
        <v>0</v>
      </c>
      <c r="D15" s="1" t="s">
        <v>2</v>
      </c>
      <c r="E15" s="1" t="s">
        <v>33</v>
      </c>
      <c r="F15" s="1" t="s">
        <v>34</v>
      </c>
      <c r="G15" s="1" t="s">
        <v>35</v>
      </c>
      <c r="H15" s="1" t="s">
        <v>36</v>
      </c>
    </row>
    <row r="16" customFormat="false" ht="14.25" hidden="false" customHeight="false" outlineLevel="0" collapsed="false">
      <c r="A16" s="2" t="s">
        <v>37</v>
      </c>
      <c r="D16" s="1" t="s">
        <v>10</v>
      </c>
      <c r="E16" s="1" t="s">
        <v>38</v>
      </c>
      <c r="F16" s="1" t="s">
        <v>12</v>
      </c>
      <c r="G16" s="1" t="s">
        <v>39</v>
      </c>
      <c r="H16" s="1" t="s">
        <v>40</v>
      </c>
    </row>
    <row r="17" customFormat="false" ht="14.25" hidden="false" customHeight="false" outlineLevel="0" collapsed="false">
      <c r="A17" s="1" t="s">
        <v>41</v>
      </c>
      <c r="B17" s="1" t="s">
        <v>42</v>
      </c>
      <c r="D17" s="1" t="n">
        <v>18</v>
      </c>
      <c r="E17" s="1" t="n">
        <v>1</v>
      </c>
      <c r="F17" s="5" t="n">
        <f aca="false">$B$23*1E-021*E17/D17</f>
        <v>33.4563383333333</v>
      </c>
      <c r="G17" s="1" t="n">
        <v>78.3</v>
      </c>
      <c r="H17" s="6" t="n">
        <v>0.0089</v>
      </c>
    </row>
    <row r="18" customFormat="false" ht="14.25" hidden="false" customHeight="false" outlineLevel="0" collapsed="false">
      <c r="A18" s="1" t="s">
        <v>43</v>
      </c>
      <c r="B18" s="1" t="s">
        <v>44</v>
      </c>
      <c r="D18" s="1" t="n">
        <v>78</v>
      </c>
      <c r="E18" s="1" t="n">
        <v>0.87</v>
      </c>
      <c r="F18" s="5" t="n">
        <f aca="false">$B$23*1E-021*E18/D18</f>
        <v>6.71700331153846</v>
      </c>
      <c r="G18" s="1" t="n">
        <v>2.273</v>
      </c>
      <c r="H18" s="6" t="n">
        <v>0.00681</v>
      </c>
    </row>
    <row r="19" customFormat="false" ht="14.25" hidden="false" customHeight="false" outlineLevel="0" collapsed="false">
      <c r="A19" s="1" t="s">
        <v>45</v>
      </c>
      <c r="B19" s="1" t="s">
        <v>46</v>
      </c>
      <c r="D19" s="1" t="n">
        <v>88</v>
      </c>
      <c r="E19" s="1" t="n">
        <v>1.32</v>
      </c>
      <c r="F19" s="5" t="n">
        <f aca="false">$B$23*1E-021*E19/D19</f>
        <v>9.03321135</v>
      </c>
      <c r="G19" s="1" t="n">
        <v>90</v>
      </c>
      <c r="H19" s="8" t="s">
        <v>47</v>
      </c>
    </row>
    <row r="20" customFormat="false" ht="14.25" hidden="false" customHeight="false" outlineLevel="0" collapsed="false">
      <c r="A20" s="1" t="s">
        <v>48</v>
      </c>
      <c r="B20" s="1" t="s">
        <v>49</v>
      </c>
      <c r="D20" s="1" t="n">
        <v>90</v>
      </c>
      <c r="E20" s="1" t="n">
        <v>1.07</v>
      </c>
      <c r="F20" s="5" t="n">
        <f aca="false">$B$23*1E-021*E20/D20</f>
        <v>7.15965640333333</v>
      </c>
      <c r="G20" s="1" t="n">
        <v>3.2</v>
      </c>
      <c r="H20" s="6" t="n">
        <v>0.0058</v>
      </c>
    </row>
    <row r="22" customFormat="false" ht="14.25" hidden="false" customHeight="false" outlineLevel="0" collapsed="false">
      <c r="G22" s="9" t="s">
        <v>50</v>
      </c>
      <c r="H22" s="9"/>
    </row>
    <row r="23" customFormat="false" ht="14.25" hidden="false" customHeight="false" outlineLevel="0" collapsed="false">
      <c r="A23" s="10" t="s">
        <v>51</v>
      </c>
      <c r="B23" s="11" t="n">
        <v>6.0221409E+023</v>
      </c>
    </row>
    <row r="25" customFormat="false" ht="14.25" hidden="false" customHeight="false" outlineLevel="0" collapsed="false">
      <c r="A25" s="1" t="s">
        <v>52</v>
      </c>
    </row>
    <row r="26" customFormat="false" ht="14.25" hidden="false" customHeight="false" outlineLevel="0" collapsed="false">
      <c r="A26" s="1" t="s">
        <v>53</v>
      </c>
    </row>
    <row r="27" customFormat="false" ht="14.25" hidden="false" customHeight="false" outlineLevel="0" collapsed="false">
      <c r="A27" s="1" t="s">
        <v>54</v>
      </c>
    </row>
    <row r="28" customFormat="false" ht="14.25" hidden="false" customHeight="false" outlineLevel="0" collapsed="false">
      <c r="A28" s="1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4.25" zeroHeight="false" outlineLevelRow="0" outlineLevelCol="0"/>
  <cols>
    <col collapsed="false" customWidth="true" hidden="false" outlineLevel="0" max="1" min="1" style="0" width="23.06"/>
    <col collapsed="false" customWidth="true" hidden="false" outlineLevel="0" max="2" min="2" style="0" width="9"/>
    <col collapsed="false" customWidth="true" hidden="false" outlineLevel="0" max="4" min="3" style="0" width="8.53"/>
    <col collapsed="false" customWidth="true" hidden="false" outlineLevel="0" max="5" min="5" style="0" width="11.72"/>
    <col collapsed="false" customWidth="true" hidden="false" outlineLevel="0" max="6" min="6" style="0" width="11.6"/>
    <col collapsed="false" customWidth="true" hidden="false" outlineLevel="0" max="9" min="7" style="0" width="8.53"/>
    <col collapsed="false" customWidth="true" hidden="false" outlineLevel="0" max="10" min="10" style="0" width="10.36"/>
    <col collapsed="false" customWidth="false" hidden="false" outlineLevel="0" max="11" min="11" style="0" width="11.47"/>
    <col collapsed="false" customWidth="true" hidden="false" outlineLevel="0" max="12" min="12" style="0" width="12.2"/>
    <col collapsed="false" customWidth="true" hidden="false" outlineLevel="0" max="13" min="13" style="0" width="10"/>
    <col collapsed="false" customWidth="true" hidden="false" outlineLevel="0" max="14" min="14" style="0" width="9.92"/>
    <col collapsed="false" customWidth="true" hidden="false" outlineLevel="0" max="15" min="15" style="0" width="8.53"/>
    <col collapsed="false" customWidth="true" hidden="false" outlineLevel="0" max="16" min="16" style="0" width="15.11"/>
    <col collapsed="false" customWidth="true" hidden="false" outlineLevel="0" max="1025" min="17" style="0" width="8.53"/>
  </cols>
  <sheetData>
    <row r="2" customFormat="false" ht="14.25" hidden="false" customHeight="false" outlineLevel="0" collapsed="false">
      <c r="A2" s="10" t="s">
        <v>51</v>
      </c>
      <c r="B2" s="11" t="n">
        <v>6.0221409E+023</v>
      </c>
      <c r="C2" s="1"/>
      <c r="D2" s="2" t="s">
        <v>56</v>
      </c>
      <c r="E2" s="1"/>
      <c r="F2" s="1"/>
      <c r="G2" s="1"/>
      <c r="H2" s="2" t="s">
        <v>57</v>
      </c>
      <c r="I2" s="1"/>
      <c r="J2" s="1"/>
    </row>
    <row r="3" customFormat="false" ht="13.8" hidden="false" customHeight="false" outlineLevel="0" collapsed="false">
      <c r="A3" s="10" t="s">
        <v>58</v>
      </c>
      <c r="B3" s="12" t="n">
        <v>1.38064852E-016</v>
      </c>
      <c r="C3" s="1"/>
      <c r="D3" s="1" t="s">
        <v>59</v>
      </c>
      <c r="E3" s="1"/>
      <c r="F3" s="13" t="n">
        <v>78.264</v>
      </c>
      <c r="G3" s="1"/>
      <c r="H3" s="1" t="s">
        <v>60</v>
      </c>
      <c r="I3" s="1"/>
      <c r="J3" s="14" t="n">
        <v>0.1</v>
      </c>
    </row>
    <row r="4" customFormat="false" ht="13.8" hidden="false" customHeight="false" outlineLevel="0" collapsed="false">
      <c r="A4" s="10" t="s">
        <v>61</v>
      </c>
      <c r="B4" s="12" t="n">
        <v>8.85E-021</v>
      </c>
      <c r="C4" s="1"/>
      <c r="D4" s="1" t="s">
        <v>62</v>
      </c>
      <c r="E4" s="1"/>
      <c r="F4" s="15" t="n">
        <v>295</v>
      </c>
      <c r="G4" s="1"/>
      <c r="H4" s="0" t="s">
        <v>63</v>
      </c>
    </row>
    <row r="5" customFormat="false" ht="14.25" hidden="false" customHeight="false" outlineLevel="0" collapsed="false">
      <c r="A5" s="10" t="s">
        <v>64</v>
      </c>
      <c r="B5" s="12" t="n">
        <v>1.6E-019</v>
      </c>
      <c r="C5" s="1"/>
      <c r="D5" s="16" t="s">
        <v>65</v>
      </c>
      <c r="E5" s="1"/>
      <c r="F5" s="17" t="n">
        <f aca="false">($B$5)^2/(4*3.14*$B$4*$F$3*$B$8)*$B$7</f>
        <v>0.7225033531928</v>
      </c>
      <c r="G5" s="1"/>
      <c r="H5" s="16" t="s">
        <v>66</v>
      </c>
      <c r="I5" s="16"/>
      <c r="J5" s="17" t="n">
        <f aca="false">1/SQRT(8*3.14*($F$5/$B$7) * $B$2*$J$3*(1/1000) )*$B$7</f>
        <v>0.956521624400734</v>
      </c>
    </row>
    <row r="6" customFormat="false" ht="14.25" hidden="false" customHeight="false" outlineLevel="0" collapsed="false">
      <c r="A6" s="10" t="s">
        <v>67</v>
      </c>
      <c r="B6" s="12" t="n">
        <v>10000000</v>
      </c>
      <c r="C6" s="1"/>
      <c r="D6" s="16"/>
      <c r="E6" s="1"/>
      <c r="G6" s="1"/>
      <c r="H6" s="16"/>
      <c r="I6" s="16"/>
    </row>
    <row r="7" customFormat="false" ht="14.25" hidden="false" customHeight="false" outlineLevel="0" collapsed="false">
      <c r="A7" s="10" t="s">
        <v>68</v>
      </c>
      <c r="B7" s="18" t="n">
        <v>10000000</v>
      </c>
    </row>
    <row r="8" customFormat="false" ht="14.25" hidden="false" customHeight="false" outlineLevel="0" collapsed="false">
      <c r="A8" s="19" t="s">
        <v>69</v>
      </c>
      <c r="B8" s="20" t="n">
        <f aca="false">B3*F4</f>
        <v>4.072913134E-014</v>
      </c>
      <c r="D8" s="21" t="s">
        <v>70</v>
      </c>
      <c r="H8" s="2" t="s">
        <v>71</v>
      </c>
      <c r="L8" s="22" t="s">
        <v>72</v>
      </c>
      <c r="M8" s="22" t="s">
        <v>73</v>
      </c>
    </row>
    <row r="9" customFormat="false" ht="14.25" hidden="false" customHeight="false" outlineLevel="0" collapsed="false">
      <c r="D9" s="23" t="s">
        <v>74</v>
      </c>
      <c r="E9" s="23"/>
      <c r="F9" s="24" t="n">
        <f aca="false">$B$2*$J$3/(1000*1E+021)</f>
        <v>0.060221409</v>
      </c>
      <c r="H9" s="1" t="s">
        <v>75</v>
      </c>
      <c r="L9" s="14" t="n">
        <v>1.17E-005</v>
      </c>
      <c r="M9" s="14" t="n">
        <v>1.33E-005</v>
      </c>
    </row>
    <row r="10" customFormat="false" ht="14.25" hidden="false" customHeight="false" outlineLevel="0" collapsed="false">
      <c r="A10" s="25" t="s">
        <v>76</v>
      </c>
      <c r="B10" s="25"/>
      <c r="D10" s="23" t="s">
        <v>77</v>
      </c>
      <c r="E10" s="23"/>
      <c r="F10" s="26" t="n">
        <f aca="false">F9*1E+021</f>
        <v>6.0221409E+019</v>
      </c>
      <c r="H10" s="0" t="s">
        <v>78</v>
      </c>
      <c r="L10" s="14" t="n">
        <v>0.01</v>
      </c>
      <c r="M10" s="14" t="n">
        <v>0.01</v>
      </c>
    </row>
    <row r="11" customFormat="false" ht="14.25" hidden="false" customHeight="false" outlineLevel="0" collapsed="false">
      <c r="A11" s="9" t="s">
        <v>50</v>
      </c>
      <c r="B11" s="9"/>
      <c r="D11" s="16" t="s">
        <v>79</v>
      </c>
      <c r="E11" s="16"/>
      <c r="F11" s="24" t="n">
        <f aca="false">F9*($J$5)^3</f>
        <v>0.0527029943529967</v>
      </c>
      <c r="H11" s="23" t="s">
        <v>80</v>
      </c>
      <c r="L11" s="24" t="n">
        <f aca="false">$B$3*$F$4/(6*3.14*$L$9*$L$10) * $B$7</f>
        <v>0.184772947810623</v>
      </c>
      <c r="M11" s="24" t="n">
        <f aca="false">$B$3*$F$4/(6*3.14*$M$9*$M$10) * $B$7</f>
        <v>0.162544623261977</v>
      </c>
    </row>
    <row r="12" customFormat="false" ht="14.25" hidden="false" customHeight="false" outlineLevel="0" collapsed="false">
      <c r="D12" s="23" t="s">
        <v>81</v>
      </c>
      <c r="F12" s="17" t="n">
        <f aca="false">1/F9</f>
        <v>16.6053902857039</v>
      </c>
    </row>
    <row r="13" customFormat="false" ht="14.25" hidden="false" customHeight="false" outlineLevel="0" collapsed="false">
      <c r="D13" s="23" t="s">
        <v>82</v>
      </c>
      <c r="F13" s="24" t="n">
        <f aca="false">1/F11</f>
        <v>18.9742539731642</v>
      </c>
    </row>
    <row r="15" customFormat="false" ht="14.25" hidden="false" customHeight="false" outlineLevel="0" collapsed="false">
      <c r="D15" s="21" t="s">
        <v>83</v>
      </c>
      <c r="H15" s="21" t="s">
        <v>84</v>
      </c>
      <c r="L15" s="21" t="s">
        <v>85</v>
      </c>
      <c r="M15" s="21" t="s">
        <v>86</v>
      </c>
      <c r="N15" s="21" t="s">
        <v>87</v>
      </c>
      <c r="O15" s="21" t="s">
        <v>88</v>
      </c>
      <c r="Q15" s="21" t="s">
        <v>89</v>
      </c>
    </row>
    <row r="16" customFormat="false" ht="14.25" hidden="false" customHeight="false" outlineLevel="0" collapsed="false">
      <c r="D16" s="0" t="s">
        <v>66</v>
      </c>
      <c r="F16" s="17" t="n">
        <f aca="false">J5</f>
        <v>0.956521624400734</v>
      </c>
      <c r="H16" s="23" t="s">
        <v>90</v>
      </c>
      <c r="L16" s="20" t="n">
        <f aca="false">F10*B5^2*L9/B8</f>
        <v>4.42865237490724E-010</v>
      </c>
      <c r="M16" s="20" t="n">
        <f aca="false">F10*B5^2*M9/B8</f>
        <v>5.03428005010823E-010</v>
      </c>
      <c r="N16" s="20" t="n">
        <f aca="false">L16+M16</f>
        <v>9.46293242501548E-010</v>
      </c>
      <c r="O16" s="5" t="n">
        <f aca="false">N16*1000*$B$6/$J$3</f>
        <v>94.6293242501548</v>
      </c>
      <c r="Q16" s="0" t="s">
        <v>91</v>
      </c>
      <c r="U16" s="27" t="n">
        <f aca="false">$L$16/$N$16</f>
        <v>0.468</v>
      </c>
      <c r="V16" s="27" t="n">
        <f aca="false">$M$16/$N$16</f>
        <v>0.532</v>
      </c>
    </row>
    <row r="17" customFormat="false" ht="14.9" hidden="false" customHeight="false" outlineLevel="0" collapsed="false">
      <c r="A17" s="0" t="s">
        <v>92</v>
      </c>
      <c r="B17" s="25" t="n">
        <v>1</v>
      </c>
      <c r="D17" s="0" t="s">
        <v>93</v>
      </c>
      <c r="F17" s="25" t="n">
        <v>0.4</v>
      </c>
      <c r="H17" s="23" t="s">
        <v>94</v>
      </c>
      <c r="L17" s="20" t="n">
        <f aca="false">-F10*B5*B5/(6*3.14*L10*J5/$B$7) * F22 * B17</f>
        <v>-8.55490491030764E-011</v>
      </c>
      <c r="M17" s="20" t="n">
        <f aca="false">-F10*B5*B5/(6*3.14*M10*J5/$B$7) * F22 * B17</f>
        <v>-8.55490491030764E-011</v>
      </c>
      <c r="N17" s="20" t="n">
        <f aca="false">L17+M17</f>
        <v>-1.71098098206153E-010</v>
      </c>
      <c r="O17" s="5" t="n">
        <f aca="false">N17*1000*$B$6/$J$3</f>
        <v>-17.1098098206153</v>
      </c>
      <c r="P17" s="0" t="n">
        <f aca="false">N17*F18</f>
        <v>-1.20646090621906E-010</v>
      </c>
      <c r="Q17" s="0" t="s">
        <v>95</v>
      </c>
      <c r="U17" s="27" t="n">
        <f aca="false">$L$19/$N$19</f>
        <v>0.460238318276375</v>
      </c>
      <c r="V17" s="27" t="n">
        <f aca="false">$M$19/$N$19</f>
        <v>0.539761681723625</v>
      </c>
    </row>
    <row r="18" customFormat="false" ht="13.8" hidden="false" customHeight="false" outlineLevel="0" collapsed="false">
      <c r="D18" s="0" t="s">
        <v>96</v>
      </c>
      <c r="F18" s="28" t="n">
        <f aca="false">1/(1+F17/F16)</f>
        <v>0.705128180189013</v>
      </c>
      <c r="H18" s="23" t="s">
        <v>97</v>
      </c>
      <c r="L18" s="20" t="n">
        <f aca="false">-L16*B5^2/(12*3.14*B4*F3*B8*(2+1.414)*(J5/$B$7)) * F23</f>
        <v>-3.26611817738231E-011</v>
      </c>
      <c r="M18" s="20" t="n">
        <f aca="false">-M16*B5^2/(12*3.14*B4*F3*B8*(2+1.414)*(J5/$B$7)) * F23</f>
        <v>-3.71276681702433E-011</v>
      </c>
      <c r="N18" s="20" t="n">
        <f aca="false">L18+M18</f>
        <v>-6.97888499440664E-011</v>
      </c>
      <c r="O18" s="5" t="n">
        <f aca="false">N18*1000*$B$6/$J$3</f>
        <v>-6.97888499440664</v>
      </c>
      <c r="P18" s="0" t="n">
        <f aca="false">N18*F18</f>
        <v>-4.92100847585437E-011</v>
      </c>
      <c r="Q18" s="0" t="s">
        <v>98</v>
      </c>
      <c r="U18" s="27" t="n">
        <f aca="false">$L$21/$N$21</f>
        <v>0.463027704029876</v>
      </c>
      <c r="V18" s="27" t="n">
        <f aca="false">$M$21/$N$21</f>
        <v>0.536972295970124</v>
      </c>
    </row>
    <row r="19" customFormat="false" ht="13.8" hidden="false" customHeight="false" outlineLevel="0" collapsed="false">
      <c r="D19" s="0" t="s">
        <v>99</v>
      </c>
      <c r="H19" s="23" t="s">
        <v>100</v>
      </c>
      <c r="L19" s="20" t="n">
        <f aca="false">L16+L17+L18</f>
        <v>3.24655006613825E-010</v>
      </c>
      <c r="M19" s="20" t="n">
        <f aca="false">M16+M17+M18</f>
        <v>3.80751287737504E-010</v>
      </c>
      <c r="N19" s="20" t="n">
        <f aca="false">L19+M19</f>
        <v>7.05406294351329E-010</v>
      </c>
      <c r="O19" s="5" t="n">
        <f aca="false">N19*1000*$B$6/$J$3</f>
        <v>70.5406294351328</v>
      </c>
      <c r="P19" s="0" t="n">
        <f aca="false">P18+P17</f>
        <v>-1.69856175380449E-010</v>
      </c>
    </row>
    <row r="20" customFormat="false" ht="13.8" hidden="false" customHeight="false" outlineLevel="0" collapsed="false">
      <c r="H20" s="23" t="s">
        <v>101</v>
      </c>
      <c r="L20" s="29" t="n">
        <f aca="false">L19/L16 - 1</f>
        <v>-0.266921448941621</v>
      </c>
      <c r="M20" s="29" t="n">
        <f aca="false">M19/M16 - 1</f>
        <v>-0.243682743217041</v>
      </c>
      <c r="N20" s="29" t="n">
        <f aca="false">N19/N16 - 1</f>
        <v>-0.254558457496145</v>
      </c>
      <c r="O20" s="29" t="n">
        <f aca="false">O19/O16 - 1</f>
        <v>-0.254558457496145</v>
      </c>
      <c r="P20" s="0" t="n">
        <f aca="false">N16+P19</f>
        <v>7.76437067121098E-010</v>
      </c>
    </row>
    <row r="21" customFormat="false" ht="13.8" hidden="false" customHeight="false" outlineLevel="0" collapsed="false">
      <c r="D21" s="21" t="s">
        <v>102</v>
      </c>
      <c r="H21" s="23" t="s">
        <v>103</v>
      </c>
      <c r="L21" s="20" t="n">
        <f aca="false">L16+F18*(L17+L18)</f>
        <v>3.59511872512773E-010</v>
      </c>
      <c r="M21" s="20" t="n">
        <f aca="false">M16+F18*(M17+M18)</f>
        <v>4.16925194608325E-010</v>
      </c>
      <c r="N21" s="20" t="n">
        <f aca="false">L21+M21</f>
        <v>7.76437067121098E-010</v>
      </c>
      <c r="O21" s="5" t="n">
        <f aca="false">N21*1000*$B$6/$J$3</f>
        <v>77.6437067121098</v>
      </c>
    </row>
    <row r="22" customFormat="false" ht="13.8" hidden="false" customHeight="false" outlineLevel="0" collapsed="false">
      <c r="D22" s="0" t="s">
        <v>104</v>
      </c>
      <c r="F22" s="15" t="n">
        <v>1</v>
      </c>
      <c r="H22" s="23" t="s">
        <v>101</v>
      </c>
      <c r="L22" s="29" t="n">
        <f aca="false">L21/L16 - 1</f>
        <v>-0.18821383554562</v>
      </c>
      <c r="M22" s="29" t="n">
        <f aca="false">M21/M16 - 1</f>
        <v>-0.171827569268099</v>
      </c>
      <c r="N22" s="29" t="n">
        <f aca="false">N21/N16 - 1</f>
        <v>-0.179496341885979</v>
      </c>
      <c r="O22" s="29" t="n">
        <f aca="false">O21/O16 - 1</f>
        <v>-0.179496341885979</v>
      </c>
    </row>
    <row r="23" customFormat="false" ht="13.8" hidden="false" customHeight="false" outlineLevel="0" collapsed="false">
      <c r="D23" s="0" t="s">
        <v>105</v>
      </c>
      <c r="F23" s="15" t="n">
        <v>1</v>
      </c>
      <c r="P23" s="0" t="n">
        <f aca="false">P17/N16</f>
        <v>-0.127493344772256</v>
      </c>
    </row>
    <row r="24" customFormat="false" ht="13.8" hidden="false" customHeight="false" outlineLevel="0" collapsed="false">
      <c r="D24" s="23" t="s">
        <v>106</v>
      </c>
      <c r="P24" s="0" t="n">
        <f aca="false">P18/N16</f>
        <v>-0.0520029971137231</v>
      </c>
    </row>
    <row r="25" customFormat="false" ht="14.25" hidden="false" customHeight="false" outlineLevel="0" collapsed="false">
      <c r="P25" s="0" t="n">
        <f aca="false">P23+P24</f>
        <v>-0.179496341885979</v>
      </c>
    </row>
    <row r="26" customFormat="false" ht="14.25" hidden="false" customHeight="false" outlineLevel="0" collapsed="false">
      <c r="B26" s="21" t="s">
        <v>107</v>
      </c>
      <c r="H26" s="21" t="s">
        <v>108</v>
      </c>
      <c r="L26" s="21" t="s">
        <v>85</v>
      </c>
      <c r="M26" s="21" t="s">
        <v>86</v>
      </c>
      <c r="N26" s="21" t="s">
        <v>87</v>
      </c>
      <c r="O26" s="21" t="s">
        <v>88</v>
      </c>
      <c r="Q26" s="21" t="s">
        <v>109</v>
      </c>
    </row>
    <row r="27" customFormat="false" ht="14.25" hidden="false" customHeight="false" outlineLevel="0" collapsed="false">
      <c r="B27" s="0" t="s">
        <v>110</v>
      </c>
      <c r="F27" s="14" t="n">
        <v>2E-006</v>
      </c>
      <c r="H27" s="23" t="s">
        <v>111</v>
      </c>
      <c r="L27" s="30" t="n">
        <f aca="false">SQRT( F10^2 + ( F27/(B5*(F28/B7)) )^2 ) - (F27/( B5*(F28/B7)) )</f>
        <v>5.84621643280219E+019</v>
      </c>
      <c r="M27" s="30" t="n">
        <f aca="false">SQRT( F10^2 + ( F27/(B5*(F28/B7)) )^2 ) + (F27/( B5*(F28/B7)) )</f>
        <v>6.20335928994504E+019</v>
      </c>
      <c r="N27" s="21"/>
      <c r="O27" s="21"/>
      <c r="Q27" s="23" t="s">
        <v>112</v>
      </c>
      <c r="U27" s="27" t="n">
        <f aca="false">$L$28/$N$28</f>
        <v>0.453268917874318</v>
      </c>
      <c r="V27" s="27" t="n">
        <f aca="false">$M$28/$N$28</f>
        <v>0.546731082125682</v>
      </c>
    </row>
    <row r="28" customFormat="false" ht="14.25" hidden="false" customHeight="false" outlineLevel="0" collapsed="false">
      <c r="B28" s="0" t="s">
        <v>113</v>
      </c>
      <c r="F28" s="25" t="n">
        <v>70</v>
      </c>
      <c r="H28" s="23" t="s">
        <v>112</v>
      </c>
      <c r="L28" s="20" t="n">
        <f aca="false">L27*$B$5^2*L9/$B$8</f>
        <v>4.29927839937308E-010</v>
      </c>
      <c r="M28" s="20" t="n">
        <f aca="false">M27*$B$5^2*M9/$B$8</f>
        <v>5.18577171069244E-010</v>
      </c>
      <c r="N28" s="20" t="n">
        <f aca="false">L28+M28</f>
        <v>9.48505011006552E-010</v>
      </c>
      <c r="O28" s="5" t="n">
        <f aca="false">N28*1000*$B$6/$J$3</f>
        <v>94.8505011006552</v>
      </c>
      <c r="Q28" s="23" t="s">
        <v>95</v>
      </c>
      <c r="U28" s="27" t="n">
        <f aca="false">$L$31/$N$31</f>
        <v>0.445544662791725</v>
      </c>
      <c r="V28" s="27" t="n">
        <f aca="false">$M$31/$N$31</f>
        <v>0.554455337208275</v>
      </c>
    </row>
    <row r="29" customFormat="false" ht="14.25" hidden="false" customHeight="false" outlineLevel="0" collapsed="false">
      <c r="B29" s="23" t="s">
        <v>114</v>
      </c>
      <c r="F29" s="5" t="n">
        <f aca="false">1/SQRT(4*3.14*($F$5/$B$7) * (L27+M27) )*$B$7</f>
        <v>0.956311479744687</v>
      </c>
      <c r="H29" s="23" t="s">
        <v>94</v>
      </c>
      <c r="L29" s="20" t="n">
        <f aca="false">-L27*B5*B5/(6*3.14*L10*F29/$B$7) * F22</f>
        <v>-8.30681592908185E-011</v>
      </c>
      <c r="M29" s="20" t="n">
        <f aca="false">-M27*B5*B5/(6*3.14*L10*F29/$B$7) * F22</f>
        <v>-8.8142757552399E-011</v>
      </c>
      <c r="Q29" s="23" t="s">
        <v>98</v>
      </c>
      <c r="U29" s="27" t="n">
        <f aca="false">$L$32/$N$32</f>
        <v>0.448319914964705</v>
      </c>
      <c r="V29" s="27" t="n">
        <f aca="false">$M$32/$N$32</f>
        <v>0.551680085035295</v>
      </c>
    </row>
    <row r="30" customFormat="false" ht="14.25" hidden="false" customHeight="false" outlineLevel="0" collapsed="false">
      <c r="H30" s="23" t="s">
        <v>97</v>
      </c>
      <c r="L30" s="20" t="n">
        <f aca="false">-L28*B5^2/(12*3.14*B4*F3*B8*(2+1.414)*(F29/$B$7)) * F23</f>
        <v>-3.17140199529903E-011</v>
      </c>
      <c r="M30" s="20" t="n">
        <f aca="false">-M28*B5^2/(12*3.14*B4*F3*B8*(2+1.414)*(F29/$B$7)) * F23</f>
        <v>-3.82533188659135E-011</v>
      </c>
      <c r="Q30" s="23" t="s">
        <v>115</v>
      </c>
      <c r="U30" s="27" t="n">
        <f aca="false">$L$34/$N$34</f>
        <v>0.448830265714206</v>
      </c>
      <c r="V30" s="27" t="n">
        <f aca="false">$M$34/$N$34</f>
        <v>0.551169734285794</v>
      </c>
    </row>
    <row r="31" customFormat="false" ht="14.25" hidden="false" customHeight="false" outlineLevel="0" collapsed="false">
      <c r="H31" s="23" t="s">
        <v>100</v>
      </c>
      <c r="L31" s="20" t="n">
        <f aca="false">L28+L29+L30</f>
        <v>3.15145660693499E-010</v>
      </c>
      <c r="M31" s="20" t="n">
        <f aca="false">M28+M29+M30</f>
        <v>3.92181094650931E-010</v>
      </c>
      <c r="N31" s="20" t="n">
        <f aca="false">L31+M31</f>
        <v>7.0732675534443E-010</v>
      </c>
      <c r="O31" s="5" t="n">
        <f aca="false">N31*1000*$B$6/$J$3</f>
        <v>70.732675534443</v>
      </c>
    </row>
    <row r="32" customFormat="false" ht="14.25" hidden="false" customHeight="false" outlineLevel="0" collapsed="false">
      <c r="H32" s="23" t="s">
        <v>103</v>
      </c>
      <c r="L32" s="20" t="n">
        <f aca="false">L28+F18*(L29+L30)</f>
        <v>3.48991690768992E-010</v>
      </c>
      <c r="M32" s="20" t="n">
        <f aca="false">M28+F18*(M29+M30)</f>
        <v>4.29451735721368E-010</v>
      </c>
      <c r="N32" s="20" t="n">
        <f aca="false">L32+M32</f>
        <v>7.7844342649036E-010</v>
      </c>
      <c r="O32" s="5" t="n">
        <f aca="false">N32*1000*$B$6/$J$3</f>
        <v>77.844342649036</v>
      </c>
    </row>
    <row r="33" customFormat="false" ht="14.25" hidden="false" customHeight="false" outlineLevel="0" collapsed="false">
      <c r="H33" s="23" t="s">
        <v>116</v>
      </c>
      <c r="L33" s="20" t="n">
        <f aca="false">N33*L27/(L27+M27)</f>
        <v>5.30266816397425E-012</v>
      </c>
      <c r="M33" s="20" t="n">
        <f aca="false">N33*M27/(L27+M27)</f>
        <v>5.62660589025075E-012</v>
      </c>
      <c r="N33" s="20" t="n">
        <f aca="false">2*F27^2/L10 * F29/F28</f>
        <v>1.0929274054225E-011</v>
      </c>
      <c r="O33" s="5" t="n">
        <f aca="false">N33*1000*$B$6/$J$3</f>
        <v>1.0929274054225</v>
      </c>
    </row>
    <row r="34" customFormat="false" ht="14.25" hidden="false" customHeight="false" outlineLevel="0" collapsed="false">
      <c r="H34" s="23" t="s">
        <v>117</v>
      </c>
      <c r="L34" s="20" t="n">
        <f aca="false">L32+L33</f>
        <v>3.54294358932966E-010</v>
      </c>
      <c r="M34" s="20" t="n">
        <f aca="false">M32+M33</f>
        <v>4.35078341611619E-010</v>
      </c>
      <c r="N34" s="20" t="n">
        <f aca="false">N32+N33</f>
        <v>7.89372700544585E-010</v>
      </c>
      <c r="O34" s="5" t="n">
        <f aca="false">O32+O33</f>
        <v>78.9372700544585</v>
      </c>
    </row>
    <row r="35" customFormat="false" ht="14.25" hidden="false" customHeight="false" outlineLevel="0" collapsed="false">
      <c r="H35" s="23" t="s">
        <v>118</v>
      </c>
      <c r="L35" s="29" t="n">
        <f aca="false">L34/L21 - 1</f>
        <v>-0.0145127712844078</v>
      </c>
      <c r="M35" s="29" t="n">
        <f aca="false">M34/M21 - 1</f>
        <v>0.043540537338711</v>
      </c>
      <c r="N35" s="29" t="n">
        <f aca="false">N34/N21 - 1</f>
        <v>0.0166602471356105</v>
      </c>
      <c r="O35" s="29" t="n">
        <f aca="false">O34/O21 - 1</f>
        <v>0.0166602471356105</v>
      </c>
    </row>
    <row r="36" customFormat="false" ht="14.25" hidden="false" customHeight="false" outlineLevel="0" collapsed="false">
      <c r="A36" s="21" t="s">
        <v>52</v>
      </c>
      <c r="H36" s="23"/>
    </row>
    <row r="37" customFormat="false" ht="14.25" hidden="false" customHeight="false" outlineLevel="0" collapsed="false">
      <c r="A37" s="0" t="s">
        <v>119</v>
      </c>
      <c r="H37" s="23"/>
    </row>
    <row r="38" customFormat="false" ht="14.25" hidden="false" customHeight="false" outlineLevel="0" collapsed="false">
      <c r="A38" s="0" t="s">
        <v>120</v>
      </c>
    </row>
    <row r="39" customFormat="false" ht="14.25" hidden="false" customHeight="false" outlineLevel="0" collapsed="false">
      <c r="A39" s="0" t="s">
        <v>121</v>
      </c>
    </row>
    <row r="40" customFormat="false" ht="14.25" hidden="false" customHeight="false" outlineLevel="0" collapsed="false">
      <c r="A40" s="0" t="s">
        <v>122</v>
      </c>
    </row>
    <row r="41" customFormat="false" ht="14.25" hidden="false" customHeight="false" outlineLevel="0" collapsed="false">
      <c r="A41" s="0" t="s">
        <v>123</v>
      </c>
    </row>
    <row r="42" customFormat="false" ht="14.25" hidden="false" customHeight="false" outlineLevel="0" collapsed="false">
      <c r="A42" s="0" t="s">
        <v>124</v>
      </c>
    </row>
    <row r="43" customFormat="false" ht="14.25" hidden="false" customHeight="false" outlineLevel="0" collapsed="false">
      <c r="A43" s="0" t="s">
        <v>125</v>
      </c>
    </row>
    <row r="44" customFormat="false" ht="14.25" hidden="false" customHeight="false" outlineLevel="0" collapsed="false">
      <c r="A44" s="0" t="s">
        <v>126</v>
      </c>
    </row>
    <row r="45" customFormat="false" ht="14.25" hidden="false" customHeight="false" outlineLevel="0" collapsed="false">
      <c r="A45" s="0" t="s">
        <v>127</v>
      </c>
    </row>
    <row r="46" customFormat="false" ht="14.25" hidden="false" customHeight="false" outlineLevel="0" collapsed="false">
      <c r="A46" s="0" t="s">
        <v>128</v>
      </c>
    </row>
    <row r="47" customFormat="false" ht="14.25" hidden="false" customHeight="false" outlineLevel="0" collapsed="false">
      <c r="A47" s="0" t="s">
        <v>129</v>
      </c>
    </row>
    <row r="48" customFormat="false" ht="14.25" hidden="false" customHeight="false" outlineLevel="0" collapsed="false">
      <c r="A48" s="0" t="s">
        <v>130</v>
      </c>
    </row>
    <row r="49" customFormat="false" ht="14.25" hidden="false" customHeight="false" outlineLevel="0" collapsed="false">
      <c r="A49" s="0" t="s">
        <v>131</v>
      </c>
    </row>
    <row r="50" customFormat="false" ht="14.25" hidden="false" customHeight="false" outlineLevel="0" collapsed="false">
      <c r="A50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2019-01-22T21:02:14Z</dcterms:created>
  <dc:creator>Alejandro</dc:creator>
  <dc:description/>
  <dc:language>en-US</dc:language>
  <cp:lastModifiedBy/>
  <dcterms:modified xsi:type="dcterms:W3CDTF">2019-12-04T16:41:51Z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