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970" documentId="8_{3E6443FC-40F3-4A42-9D1C-5586ED82CC7C}" xr6:coauthVersionLast="47" xr6:coauthVersionMax="47" xr10:uidLastSave="{DE9EEABE-1EEF-1C49-98CD-C8802204F54D}"/>
  <bookViews>
    <workbookView xWindow="30080" yWindow="-33340" windowWidth="30080" windowHeight="33340" firstSheet="1" activeTab="1" xr2:uid="{0F913642-97E8-114F-99E5-2C1C00143BA5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Q20" i="2"/>
  <c r="AT42" i="2"/>
  <c r="AT40" i="2"/>
  <c r="AG29" i="2"/>
  <c r="R24" i="2"/>
  <c r="Q24" i="2"/>
  <c r="P24" i="2"/>
  <c r="O24" i="2"/>
  <c r="AG32" i="2"/>
  <c r="AG26" i="2"/>
  <c r="AG3" i="2"/>
  <c r="AH3" i="2" s="1"/>
  <c r="P20" i="2"/>
  <c r="AG20" i="2" s="1"/>
  <c r="N49" i="2"/>
  <c r="N65" i="2"/>
  <c r="N70" i="2" s="1"/>
  <c r="F65" i="2"/>
  <c r="F70" i="2" s="1"/>
  <c r="J65" i="2"/>
  <c r="R29" i="2"/>
  <c r="Q29" i="2"/>
  <c r="P29" i="2"/>
  <c r="O29" i="2"/>
  <c r="J45" i="2"/>
  <c r="P39" i="2"/>
  <c r="R23" i="2"/>
  <c r="Q23" i="2"/>
  <c r="P23" i="2"/>
  <c r="P38" i="2" s="1"/>
  <c r="O23" i="2"/>
  <c r="O39" i="2"/>
  <c r="AG6" i="2"/>
  <c r="AH6" i="2" s="1"/>
  <c r="AG5" i="2"/>
  <c r="AH5" i="2"/>
  <c r="AI5" i="2" s="1"/>
  <c r="AG4" i="2"/>
  <c r="AG17" i="2"/>
  <c r="AG15" i="2"/>
  <c r="AG14" i="2"/>
  <c r="V39" i="2"/>
  <c r="V38" i="2"/>
  <c r="V37" i="2"/>
  <c r="W39" i="2"/>
  <c r="W38" i="2"/>
  <c r="W37" i="2"/>
  <c r="U26" i="2"/>
  <c r="U27" i="2"/>
  <c r="U22" i="2"/>
  <c r="U28" i="2" s="1"/>
  <c r="U30" i="2" s="1"/>
  <c r="U33" i="2" s="1"/>
  <c r="U35" i="2" s="1"/>
  <c r="V27" i="2"/>
  <c r="V29" i="2"/>
  <c r="V22" i="2"/>
  <c r="V28" i="2" s="1"/>
  <c r="V42" i="2" s="1"/>
  <c r="X39" i="2"/>
  <c r="X38" i="2"/>
  <c r="X37" i="2"/>
  <c r="W29" i="2"/>
  <c r="W27" i="2"/>
  <c r="W22" i="2"/>
  <c r="W28" i="2" s="1"/>
  <c r="W42" i="2" s="1"/>
  <c r="AD26" i="2"/>
  <c r="AE26" i="2"/>
  <c r="AF26" i="2"/>
  <c r="AF24" i="2"/>
  <c r="AF23" i="2"/>
  <c r="AG23" i="2" s="1"/>
  <c r="AC39" i="2"/>
  <c r="AB39" i="2"/>
  <c r="AA39" i="2"/>
  <c r="Z39" i="2"/>
  <c r="Y39" i="2"/>
  <c r="AC38" i="2"/>
  <c r="AB38" i="2"/>
  <c r="AA38" i="2"/>
  <c r="Z38" i="2"/>
  <c r="Y38" i="2"/>
  <c r="AC37" i="2"/>
  <c r="AB37" i="2"/>
  <c r="AA37" i="2"/>
  <c r="Z37" i="2"/>
  <c r="Y37" i="2"/>
  <c r="X29" i="2"/>
  <c r="X27" i="2"/>
  <c r="X22" i="2"/>
  <c r="X28" i="2" s="1"/>
  <c r="Y29" i="2"/>
  <c r="Y27" i="2"/>
  <c r="Y22" i="2"/>
  <c r="Y41" i="2" s="1"/>
  <c r="Z27" i="2"/>
  <c r="Z22" i="2"/>
  <c r="Z28" i="2" s="1"/>
  <c r="AA29" i="2"/>
  <c r="AB26" i="2"/>
  <c r="AB27" i="2" s="1"/>
  <c r="AC26" i="2"/>
  <c r="AC27" i="2" s="1"/>
  <c r="AA27" i="2"/>
  <c r="AA22" i="2"/>
  <c r="AA28" i="2" s="1"/>
  <c r="AA42" i="2" s="1"/>
  <c r="AB29" i="2"/>
  <c r="AB22" i="2"/>
  <c r="AB41" i="2" s="1"/>
  <c r="AC29" i="2"/>
  <c r="AC22" i="2"/>
  <c r="AC41" i="2" s="1"/>
  <c r="AC2" i="2"/>
  <c r="AB2" i="2" s="1"/>
  <c r="AA2" i="2" s="1"/>
  <c r="Z2" i="2" s="1"/>
  <c r="Y2" i="2" s="1"/>
  <c r="X2" i="2" s="1"/>
  <c r="W2" i="2" s="1"/>
  <c r="V2" i="2" s="1"/>
  <c r="U2" i="2" s="1"/>
  <c r="O22" i="2"/>
  <c r="O41" i="2" s="1"/>
  <c r="R38" i="2"/>
  <c r="Q38" i="2"/>
  <c r="Q37" i="2"/>
  <c r="O37" i="2"/>
  <c r="AD34" i="2"/>
  <c r="AD32" i="2"/>
  <c r="AD31" i="2"/>
  <c r="AD25" i="2"/>
  <c r="AD24" i="2"/>
  <c r="AD39" i="2" s="1"/>
  <c r="AD23" i="2"/>
  <c r="AD38" i="2" s="1"/>
  <c r="AD21" i="2"/>
  <c r="AD20" i="2"/>
  <c r="AF7" i="2"/>
  <c r="AE7" i="2"/>
  <c r="AD7" i="2"/>
  <c r="AE34" i="2"/>
  <c r="AE32" i="2"/>
  <c r="AE31" i="2"/>
  <c r="AE25" i="2"/>
  <c r="AE24" i="2"/>
  <c r="AE23" i="2"/>
  <c r="AE21" i="2"/>
  <c r="AE20" i="2"/>
  <c r="AE22" i="2"/>
  <c r="AE41" i="2" s="1"/>
  <c r="AF34" i="2"/>
  <c r="AF32" i="2"/>
  <c r="AF31" i="2"/>
  <c r="AF25" i="2"/>
  <c r="AF21" i="2"/>
  <c r="AF20" i="2"/>
  <c r="AF17" i="2"/>
  <c r="AE17" i="2"/>
  <c r="AF16" i="2"/>
  <c r="AE16" i="2"/>
  <c r="AF15" i="2"/>
  <c r="AE15" i="2"/>
  <c r="AE14" i="2"/>
  <c r="AF14" i="2"/>
  <c r="E8" i="1"/>
  <c r="C8" i="1"/>
  <c r="D7" i="1" s="1"/>
  <c r="I39" i="2"/>
  <c r="I38" i="2"/>
  <c r="I37" i="2"/>
  <c r="F29" i="2"/>
  <c r="F27" i="2"/>
  <c r="F22" i="2"/>
  <c r="F28" i="2" s="1"/>
  <c r="F30" i="2" s="1"/>
  <c r="F33" i="2" s="1"/>
  <c r="F35" i="2" s="1"/>
  <c r="J29" i="2"/>
  <c r="J27" i="2"/>
  <c r="J22" i="2"/>
  <c r="J41" i="2" s="1"/>
  <c r="C29" i="2"/>
  <c r="C27" i="2"/>
  <c r="C22" i="2"/>
  <c r="C41" i="2" s="1"/>
  <c r="D29" i="2"/>
  <c r="D27" i="2"/>
  <c r="D22" i="2"/>
  <c r="D41" i="2" s="1"/>
  <c r="E29" i="2"/>
  <c r="E27" i="2"/>
  <c r="E22" i="2"/>
  <c r="E41" i="2" s="1"/>
  <c r="I29" i="2"/>
  <c r="I27" i="2"/>
  <c r="I22" i="2"/>
  <c r="G29" i="2"/>
  <c r="G27" i="2"/>
  <c r="G22" i="2"/>
  <c r="G41" i="2" s="1"/>
  <c r="K29" i="2"/>
  <c r="K27" i="2"/>
  <c r="K22" i="2"/>
  <c r="H29" i="2"/>
  <c r="H27" i="2"/>
  <c r="H22" i="2"/>
  <c r="H41" i="2" s="1"/>
  <c r="L29" i="2"/>
  <c r="L27" i="2"/>
  <c r="L22" i="2"/>
  <c r="L28" i="2" s="1"/>
  <c r="L42" i="2" s="1"/>
  <c r="M39" i="2"/>
  <c r="L39" i="2"/>
  <c r="K39" i="2"/>
  <c r="J39" i="2"/>
  <c r="H39" i="2"/>
  <c r="G39" i="2"/>
  <c r="M38" i="2"/>
  <c r="L38" i="2"/>
  <c r="K38" i="2"/>
  <c r="J38" i="2"/>
  <c r="H38" i="2"/>
  <c r="G38" i="2"/>
  <c r="M37" i="2"/>
  <c r="L37" i="2"/>
  <c r="K37" i="2"/>
  <c r="J37" i="2"/>
  <c r="H37" i="2"/>
  <c r="G37" i="2"/>
  <c r="N39" i="2"/>
  <c r="N38" i="2"/>
  <c r="N37" i="2"/>
  <c r="M29" i="2"/>
  <c r="M27" i="2"/>
  <c r="M22" i="2"/>
  <c r="N29" i="2"/>
  <c r="N27" i="2"/>
  <c r="N22" i="2"/>
  <c r="N4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P6" i="1"/>
  <c r="P10" i="1" s="1"/>
  <c r="P5" i="1"/>
  <c r="F7" i="1" l="1"/>
  <c r="F6" i="1"/>
  <c r="F5" i="1"/>
  <c r="F4" i="1"/>
  <c r="AD12" i="2"/>
  <c r="AD11" i="2"/>
  <c r="AD10" i="2"/>
  <c r="AD9" i="2"/>
  <c r="AE9" i="2"/>
  <c r="AE12" i="2"/>
  <c r="AE11" i="2"/>
  <c r="AE10" i="2"/>
  <c r="AF12" i="2"/>
  <c r="AF11" i="2"/>
  <c r="AF10" i="2"/>
  <c r="AF9" i="2"/>
  <c r="Z30" i="2"/>
  <c r="Z42" i="2"/>
  <c r="AH23" i="2"/>
  <c r="AG38" i="2"/>
  <c r="AG7" i="2"/>
  <c r="J70" i="2"/>
  <c r="J67" i="2"/>
  <c r="AH38" i="2"/>
  <c r="Q39" i="2"/>
  <c r="Q27" i="2"/>
  <c r="R27" i="2"/>
  <c r="O27" i="2"/>
  <c r="O28" i="2" s="1"/>
  <c r="N67" i="2"/>
  <c r="F67" i="2"/>
  <c r="AI6" i="2"/>
  <c r="AH17" i="2"/>
  <c r="V41" i="2"/>
  <c r="U41" i="2"/>
  <c r="AH4" i="2"/>
  <c r="AG9" i="2"/>
  <c r="P22" i="2"/>
  <c r="P41" i="2" s="1"/>
  <c r="U42" i="2"/>
  <c r="Q22" i="2"/>
  <c r="Q41" i="2" s="1"/>
  <c r="AG11" i="2"/>
  <c r="O38" i="2"/>
  <c r="U43" i="2"/>
  <c r="O21" i="2"/>
  <c r="P37" i="2"/>
  <c r="P27" i="2"/>
  <c r="X30" i="2"/>
  <c r="X33" i="2" s="1"/>
  <c r="X35" i="2" s="1"/>
  <c r="AJ6" i="2"/>
  <c r="AI16" i="2"/>
  <c r="AJ5" i="2"/>
  <c r="AG16" i="2"/>
  <c r="AH16" i="2"/>
  <c r="V30" i="2"/>
  <c r="AF22" i="2"/>
  <c r="AA30" i="2"/>
  <c r="AA33" i="2" s="1"/>
  <c r="AA35" i="2" s="1"/>
  <c r="AD22" i="2"/>
  <c r="AD41" i="2" s="1"/>
  <c r="X42" i="2"/>
  <c r="X41" i="2"/>
  <c r="AD37" i="2"/>
  <c r="Z41" i="2"/>
  <c r="W41" i="2"/>
  <c r="AA41" i="2"/>
  <c r="Y28" i="2"/>
  <c r="Y42" i="2" s="1"/>
  <c r="W30" i="2"/>
  <c r="Y30" i="2"/>
  <c r="AC28" i="2"/>
  <c r="AB28" i="2"/>
  <c r="AD29" i="2"/>
  <c r="AE37" i="2"/>
  <c r="AD27" i="2"/>
  <c r="AE39" i="2"/>
  <c r="AF37" i="2"/>
  <c r="AF27" i="2"/>
  <c r="AF39" i="2"/>
  <c r="AF38" i="2"/>
  <c r="AE38" i="2"/>
  <c r="AE27" i="2"/>
  <c r="AE28" i="2" s="1"/>
  <c r="AE42" i="2" s="1"/>
  <c r="AF29" i="2"/>
  <c r="AE29" i="2"/>
  <c r="K28" i="2"/>
  <c r="K42" i="2" s="1"/>
  <c r="D4" i="1"/>
  <c r="D5" i="1"/>
  <c r="D6" i="1"/>
  <c r="P8" i="1"/>
  <c r="I28" i="2"/>
  <c r="I42" i="2" s="1"/>
  <c r="M28" i="2"/>
  <c r="M42" i="2" s="1"/>
  <c r="I41" i="2"/>
  <c r="K41" i="2"/>
  <c r="L41" i="2"/>
  <c r="F43" i="2"/>
  <c r="N28" i="2"/>
  <c r="N42" i="2" s="1"/>
  <c r="M41" i="2"/>
  <c r="F42" i="2"/>
  <c r="F41" i="2"/>
  <c r="H28" i="2"/>
  <c r="H42" i="2" s="1"/>
  <c r="G28" i="2"/>
  <c r="G42" i="2" s="1"/>
  <c r="J28" i="2"/>
  <c r="J42" i="2" s="1"/>
  <c r="C28" i="2"/>
  <c r="D28" i="2"/>
  <c r="D42" i="2" s="1"/>
  <c r="E28" i="2"/>
  <c r="E42" i="2" s="1"/>
  <c r="L30" i="2"/>
  <c r="L43" i="2" s="1"/>
  <c r="AG12" i="2" l="1"/>
  <c r="AG10" i="2"/>
  <c r="AI23" i="2"/>
  <c r="AJ23" i="2" s="1"/>
  <c r="Z33" i="2"/>
  <c r="Z35" i="2" s="1"/>
  <c r="Z43" i="2"/>
  <c r="AI38" i="2"/>
  <c r="AJ38" i="2"/>
  <c r="R39" i="2"/>
  <c r="AG24" i="2"/>
  <c r="AH24" i="2" s="1"/>
  <c r="AG37" i="2"/>
  <c r="P28" i="2"/>
  <c r="P42" i="2"/>
  <c r="P30" i="2"/>
  <c r="O42" i="2"/>
  <c r="O30" i="2"/>
  <c r="O31" i="2" s="1"/>
  <c r="O33" i="2" s="1"/>
  <c r="O35" i="2" s="1"/>
  <c r="Q28" i="2"/>
  <c r="AI4" i="2"/>
  <c r="AH15" i="2"/>
  <c r="AH14" i="2"/>
  <c r="AI3" i="2"/>
  <c r="AH7" i="2"/>
  <c r="P21" i="2"/>
  <c r="AA43" i="2"/>
  <c r="R22" i="2"/>
  <c r="R37" i="2"/>
  <c r="V33" i="2"/>
  <c r="V35" i="2" s="1"/>
  <c r="V43" i="2"/>
  <c r="AD28" i="2"/>
  <c r="X43" i="2"/>
  <c r="AI17" i="2"/>
  <c r="Q21" i="2"/>
  <c r="AK6" i="2"/>
  <c r="AJ17" i="2"/>
  <c r="AJ16" i="2"/>
  <c r="AK5" i="2"/>
  <c r="AB30" i="2"/>
  <c r="AB42" i="2"/>
  <c r="Y33" i="2"/>
  <c r="Y35" i="2" s="1"/>
  <c r="Y43" i="2"/>
  <c r="AC30" i="2"/>
  <c r="AC42" i="2"/>
  <c r="W33" i="2"/>
  <c r="W35" i="2" s="1"/>
  <c r="W43" i="2"/>
  <c r="AD30" i="2"/>
  <c r="AD42" i="2"/>
  <c r="AF28" i="2"/>
  <c r="AF42" i="2" s="1"/>
  <c r="AF41" i="2"/>
  <c r="AF30" i="2"/>
  <c r="AE30" i="2"/>
  <c r="I30" i="2"/>
  <c r="I43" i="2" s="1"/>
  <c r="K30" i="2"/>
  <c r="K43" i="2" s="1"/>
  <c r="M30" i="2"/>
  <c r="M43" i="2" s="1"/>
  <c r="N30" i="2"/>
  <c r="N43" i="2" s="1"/>
  <c r="M33" i="2"/>
  <c r="M35" i="2" s="1"/>
  <c r="G30" i="2"/>
  <c r="G43" i="2" s="1"/>
  <c r="H30" i="2"/>
  <c r="H43" i="2" s="1"/>
  <c r="J30" i="2"/>
  <c r="J43" i="2" s="1"/>
  <c r="C30" i="2"/>
  <c r="C42" i="2"/>
  <c r="D30" i="2"/>
  <c r="D43" i="2" s="1"/>
  <c r="E30" i="2"/>
  <c r="E43" i="2" s="1"/>
  <c r="L33" i="2"/>
  <c r="L35" i="2" s="1"/>
  <c r="AI24" i="2" l="1"/>
  <c r="AH39" i="2"/>
  <c r="AH27" i="2"/>
  <c r="AK23" i="2"/>
  <c r="AK38" i="2"/>
  <c r="O43" i="2"/>
  <c r="AG39" i="2"/>
  <c r="AG27" i="2"/>
  <c r="AH10" i="2"/>
  <c r="AH20" i="2"/>
  <c r="Q42" i="2"/>
  <c r="Q30" i="2"/>
  <c r="P31" i="2"/>
  <c r="P43" i="2" s="1"/>
  <c r="R41" i="2"/>
  <c r="R28" i="2"/>
  <c r="AJ4" i="2"/>
  <c r="AI15" i="2"/>
  <c r="R21" i="2"/>
  <c r="AG21" i="2" s="1"/>
  <c r="AG22" i="2" s="1"/>
  <c r="AG41" i="2" s="1"/>
  <c r="AH11" i="2"/>
  <c r="AH12" i="2"/>
  <c r="AH9" i="2"/>
  <c r="AJ3" i="2"/>
  <c r="AI7" i="2"/>
  <c r="AI14" i="2"/>
  <c r="AL6" i="2"/>
  <c r="AK17" i="2"/>
  <c r="AK16" i="2"/>
  <c r="AL5" i="2"/>
  <c r="AC33" i="2"/>
  <c r="AC35" i="2" s="1"/>
  <c r="AC43" i="2"/>
  <c r="AB33" i="2"/>
  <c r="AB35" i="2" s="1"/>
  <c r="AB43" i="2"/>
  <c r="AE33" i="2"/>
  <c r="AE35" i="2" s="1"/>
  <c r="AE43" i="2"/>
  <c r="AF33" i="2"/>
  <c r="AF35" i="2" s="1"/>
  <c r="AF43" i="2"/>
  <c r="AD33" i="2"/>
  <c r="AD35" i="2" s="1"/>
  <c r="AD43" i="2"/>
  <c r="G33" i="2"/>
  <c r="I33" i="2"/>
  <c r="I35" i="2" s="1"/>
  <c r="N33" i="2"/>
  <c r="K33" i="2"/>
  <c r="K35" i="2" s="1"/>
  <c r="H33" i="2"/>
  <c r="H35" i="2" s="1"/>
  <c r="J33" i="2"/>
  <c r="J35" i="2" s="1"/>
  <c r="C33" i="2"/>
  <c r="C43" i="2"/>
  <c r="D33" i="2"/>
  <c r="D35" i="2" s="1"/>
  <c r="E33" i="2"/>
  <c r="E35" i="2" s="1"/>
  <c r="C35" i="2" l="1"/>
  <c r="F47" i="2"/>
  <c r="G35" i="2"/>
  <c r="J47" i="2"/>
  <c r="AH22" i="2"/>
  <c r="AH21" i="2" s="1"/>
  <c r="AH28" i="2"/>
  <c r="AJ24" i="2"/>
  <c r="AI39" i="2"/>
  <c r="AI27" i="2"/>
  <c r="AG28" i="2"/>
  <c r="AL23" i="2"/>
  <c r="AL38" i="2"/>
  <c r="AG42" i="2"/>
  <c r="AH42" i="2"/>
  <c r="AH41" i="2"/>
  <c r="AH37" i="2"/>
  <c r="AI9" i="2"/>
  <c r="AI20" i="2"/>
  <c r="Q31" i="2"/>
  <c r="Q43" i="2" s="1"/>
  <c r="R42" i="2"/>
  <c r="R30" i="2"/>
  <c r="P33" i="2"/>
  <c r="P35" i="2" s="1"/>
  <c r="N35" i="2"/>
  <c r="N47" i="2"/>
  <c r="AK3" i="2"/>
  <c r="AJ7" i="2"/>
  <c r="AJ20" i="2" s="1"/>
  <c r="AJ14" i="2"/>
  <c r="AI10" i="2"/>
  <c r="AI11" i="2"/>
  <c r="AI12" i="2"/>
  <c r="AJ15" i="2"/>
  <c r="AK4" i="2"/>
  <c r="AM6" i="2"/>
  <c r="AL17" i="2"/>
  <c r="AL16" i="2"/>
  <c r="AM5" i="2"/>
  <c r="AJ22" i="2" l="1"/>
  <c r="AJ21" i="2" s="1"/>
  <c r="AI22" i="2"/>
  <c r="AI21" i="2" s="1"/>
  <c r="AI28" i="2"/>
  <c r="AK24" i="2"/>
  <c r="AJ39" i="2"/>
  <c r="AJ27" i="2"/>
  <c r="AJ28" i="2" s="1"/>
  <c r="AM23" i="2"/>
  <c r="AM38" i="2"/>
  <c r="AI42" i="2"/>
  <c r="AI41" i="2"/>
  <c r="AI37" i="2"/>
  <c r="AJ42" i="2"/>
  <c r="AJ41" i="2"/>
  <c r="AJ37" i="2"/>
  <c r="AJ10" i="2"/>
  <c r="R31" i="2"/>
  <c r="R43" i="2" s="1"/>
  <c r="Q33" i="2"/>
  <c r="Q35" i="2" s="1"/>
  <c r="AL3" i="2"/>
  <c r="AK7" i="2"/>
  <c r="AK14" i="2"/>
  <c r="AL4" i="2"/>
  <c r="AK15" i="2"/>
  <c r="AJ12" i="2"/>
  <c r="AJ11" i="2"/>
  <c r="AJ9" i="2"/>
  <c r="AN6" i="2"/>
  <c r="AM17" i="2"/>
  <c r="AM16" i="2"/>
  <c r="AN5" i="2"/>
  <c r="AL24" i="2" l="1"/>
  <c r="AK39" i="2"/>
  <c r="AK27" i="2"/>
  <c r="AN23" i="2"/>
  <c r="AN38" i="2" s="1"/>
  <c r="AG31" i="2"/>
  <c r="AK9" i="2"/>
  <c r="AK20" i="2"/>
  <c r="AK10" i="2"/>
  <c r="R33" i="2"/>
  <c r="R35" i="2" s="1"/>
  <c r="AM3" i="2"/>
  <c r="AL14" i="2"/>
  <c r="AL7" i="2"/>
  <c r="AM4" i="2"/>
  <c r="AL15" i="2"/>
  <c r="AK12" i="2"/>
  <c r="AK11" i="2"/>
  <c r="AO6" i="2"/>
  <c r="AN17" i="2"/>
  <c r="AN16" i="2"/>
  <c r="AO5" i="2"/>
  <c r="AK22" i="2" l="1"/>
  <c r="AK21" i="2" s="1"/>
  <c r="AK28" i="2"/>
  <c r="AM24" i="2"/>
  <c r="AL39" i="2"/>
  <c r="AL27" i="2"/>
  <c r="AO23" i="2"/>
  <c r="AO38" i="2"/>
  <c r="AK42" i="2"/>
  <c r="AK41" i="2"/>
  <c r="AK37" i="2"/>
  <c r="AL10" i="2"/>
  <c r="AL20" i="2"/>
  <c r="AN3" i="2"/>
  <c r="AM14" i="2"/>
  <c r="AM7" i="2"/>
  <c r="AN4" i="2"/>
  <c r="AM15" i="2"/>
  <c r="AL12" i="2"/>
  <c r="AL11" i="2"/>
  <c r="AL9" i="2"/>
  <c r="AP6" i="2"/>
  <c r="AO17" i="2"/>
  <c r="AO16" i="2"/>
  <c r="AP5" i="2"/>
  <c r="AL22" i="2" l="1"/>
  <c r="AL21" i="2" s="1"/>
  <c r="AL28" i="2"/>
  <c r="AN24" i="2"/>
  <c r="AM39" i="2"/>
  <c r="AM27" i="2"/>
  <c r="AP23" i="2"/>
  <c r="AP38" i="2"/>
  <c r="AM9" i="2"/>
  <c r="AM20" i="2"/>
  <c r="AL37" i="2"/>
  <c r="AL42" i="2"/>
  <c r="AL41" i="2"/>
  <c r="AM10" i="2"/>
  <c r="AN15" i="2"/>
  <c r="AO4" i="2"/>
  <c r="AO3" i="2"/>
  <c r="AN7" i="2"/>
  <c r="AN20" i="2" s="1"/>
  <c r="AN14" i="2"/>
  <c r="AM11" i="2"/>
  <c r="AM12" i="2"/>
  <c r="AQ6" i="2"/>
  <c r="AP17" i="2"/>
  <c r="AQ5" i="2"/>
  <c r="AP16" i="2"/>
  <c r="AN22" i="2" l="1"/>
  <c r="AN21" i="2" s="1"/>
  <c r="AM22" i="2"/>
  <c r="AM21" i="2" s="1"/>
  <c r="AM28" i="2"/>
  <c r="AO24" i="2"/>
  <c r="AN39" i="2"/>
  <c r="AN27" i="2"/>
  <c r="AN28" i="2" s="1"/>
  <c r="AQ23" i="2"/>
  <c r="AN42" i="2"/>
  <c r="AN41" i="2"/>
  <c r="AN37" i="2"/>
  <c r="AM42" i="2"/>
  <c r="AM41" i="2"/>
  <c r="AM37" i="2"/>
  <c r="AP3" i="2"/>
  <c r="AO7" i="2"/>
  <c r="AO14" i="2"/>
  <c r="AN11" i="2"/>
  <c r="AN12" i="2"/>
  <c r="AN9" i="2"/>
  <c r="AO10" i="2"/>
  <c r="AP4" i="2"/>
  <c r="AO15" i="2"/>
  <c r="AN10" i="2"/>
  <c r="AQ17" i="2"/>
  <c r="AQ16" i="2"/>
  <c r="AP24" i="2" l="1"/>
  <c r="AO39" i="2"/>
  <c r="AO27" i="2"/>
  <c r="AQ38" i="2"/>
  <c r="AO9" i="2"/>
  <c r="AO20" i="2"/>
  <c r="AQ4" i="2"/>
  <c r="AP15" i="2"/>
  <c r="AO12" i="2"/>
  <c r="AO11" i="2"/>
  <c r="AQ3" i="2"/>
  <c r="AP14" i="2"/>
  <c r="AP7" i="2"/>
  <c r="AP20" i="2" s="1"/>
  <c r="AP22" i="2" l="1"/>
  <c r="AP21" i="2" s="1"/>
  <c r="AO22" i="2"/>
  <c r="AO21" i="2" s="1"/>
  <c r="AO28" i="2"/>
  <c r="AQ24" i="2"/>
  <c r="AP39" i="2"/>
  <c r="AP27" i="2"/>
  <c r="AP28" i="2" s="1"/>
  <c r="AP9" i="2"/>
  <c r="AP42" i="2"/>
  <c r="AP41" i="2"/>
  <c r="AP37" i="2"/>
  <c r="AO41" i="2"/>
  <c r="AO37" i="2"/>
  <c r="AO42" i="2"/>
  <c r="AQ7" i="2"/>
  <c r="AQ20" i="2" s="1"/>
  <c r="AQ14" i="2"/>
  <c r="AP11" i="2"/>
  <c r="AP12" i="2"/>
  <c r="AQ10" i="2"/>
  <c r="AQ15" i="2"/>
  <c r="AP10" i="2"/>
  <c r="AQ22" i="2" l="1"/>
  <c r="AQ21" i="2" s="1"/>
  <c r="AQ39" i="2"/>
  <c r="AQ27" i="2"/>
  <c r="AQ28" i="2" s="1"/>
  <c r="AQ42" i="2"/>
  <c r="AQ41" i="2"/>
  <c r="AQ37" i="2"/>
  <c r="AQ11" i="2"/>
  <c r="AQ12" i="2"/>
  <c r="AQ9" i="2"/>
  <c r="AG30" i="2" l="1"/>
  <c r="AG33" i="2" s="1"/>
  <c r="AG45" i="2" l="1"/>
  <c r="AH29" i="2" s="1"/>
  <c r="AH30" i="2" s="1"/>
  <c r="AG43" i="2"/>
  <c r="AH31" i="2" l="1"/>
  <c r="AH43" i="2" s="1"/>
  <c r="AH33" i="2" l="1"/>
  <c r="AH45" i="2" l="1"/>
  <c r="AI29" i="2"/>
  <c r="AI30" i="2" s="1"/>
  <c r="AI31" i="2" l="1"/>
  <c r="AI43" i="2" s="1"/>
  <c r="AI33" i="2" l="1"/>
  <c r="AI45" i="2" l="1"/>
  <c r="AJ29" i="2" s="1"/>
  <c r="AJ30" i="2" s="1"/>
  <c r="AJ31" i="2" s="1"/>
  <c r="AJ43" i="2" l="1"/>
  <c r="AJ33" i="2"/>
  <c r="AJ45" i="2" s="1"/>
  <c r="AK29" i="2"/>
  <c r="AK30" i="2" s="1"/>
  <c r="AK31" i="2" l="1"/>
  <c r="AK43" i="2" s="1"/>
  <c r="AK33" i="2"/>
  <c r="AK45" i="2" l="1"/>
  <c r="AL29" i="2"/>
  <c r="AL30" i="2" s="1"/>
  <c r="AL31" i="2" l="1"/>
  <c r="AL43" i="2" s="1"/>
  <c r="AL33" i="2" l="1"/>
  <c r="AL45" i="2" l="1"/>
  <c r="AM29" i="2"/>
  <c r="AM30" i="2" s="1"/>
  <c r="AM31" i="2" l="1"/>
  <c r="AM43" i="2" s="1"/>
  <c r="AM33" i="2" l="1"/>
  <c r="AM45" i="2" s="1"/>
  <c r="AN29" i="2" l="1"/>
  <c r="AN30" i="2" s="1"/>
  <c r="AN31" i="2" l="1"/>
  <c r="AN43" i="2" s="1"/>
  <c r="AN33" i="2" l="1"/>
  <c r="AN45" i="2" s="1"/>
  <c r="AO29" i="2" l="1"/>
  <c r="AO30" i="2" s="1"/>
  <c r="AO31" i="2" l="1"/>
  <c r="AO43" i="2" s="1"/>
  <c r="AO33" i="2"/>
  <c r="AO45" i="2" s="1"/>
  <c r="AP29" i="2" l="1"/>
  <c r="AP30" i="2" s="1"/>
  <c r="AP31" i="2" l="1"/>
  <c r="AP43" i="2" s="1"/>
  <c r="AP33" i="2"/>
  <c r="AP45" i="2" s="1"/>
  <c r="AQ29" i="2" l="1"/>
  <c r="AQ30" i="2" s="1"/>
  <c r="AQ31" i="2" l="1"/>
  <c r="AQ43" i="2" s="1"/>
  <c r="AQ33" i="2"/>
  <c r="AQ45" i="2" l="1"/>
  <c r="AR33" i="2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AT39" i="2" s="1"/>
  <c r="AT41" i="2" s="1"/>
  <c r="AT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O20" authorId="0" shapeId="0" xr:uid="{4FA2BA7A-6A14-3540-A286-C1096668401F}">
      <text>
        <r>
          <rPr>
            <sz val="10"/>
            <color rgb="FF000000"/>
            <rFont val="Tahoma"/>
            <family val="2"/>
          </rPr>
          <t>7100 guidance</t>
        </r>
      </text>
    </comment>
    <comment ref="AJ20" authorId="0" shapeId="0" xr:uid="{E888C79A-2236-6D45-9B4F-A0E102F139A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they think 500bn tam just for ai data centers.</t>
        </r>
      </text>
    </comment>
  </commentList>
</comments>
</file>

<file path=xl/sharedStrings.xml><?xml version="1.0" encoding="utf-8"?>
<sst xmlns="http://schemas.openxmlformats.org/spreadsheetml/2006/main" count="117" uniqueCount="101">
  <si>
    <t>Q424</t>
  </si>
  <si>
    <t>Segments</t>
  </si>
  <si>
    <t>Revenue</t>
  </si>
  <si>
    <t>% Revenue</t>
  </si>
  <si>
    <t>COGs</t>
  </si>
  <si>
    <t>% COGs</t>
  </si>
  <si>
    <t>Description</t>
  </si>
  <si>
    <t>Price</t>
  </si>
  <si>
    <t>Data Center</t>
  </si>
  <si>
    <t>AI accelerators, server CPUs, APUs, GPUs, DPUs, FPGAs, SmartNICs, Adaptive SOC</t>
  </si>
  <si>
    <t>Shares</t>
  </si>
  <si>
    <t>Client</t>
  </si>
  <si>
    <t>CPUs, APUs for notebooks and desktops</t>
  </si>
  <si>
    <t>MC</t>
  </si>
  <si>
    <t>Gaming</t>
  </si>
  <si>
    <t>Discrete GPUs, semi-custom SoC for dev services (playstation, xbox)</t>
  </si>
  <si>
    <t>Cash</t>
  </si>
  <si>
    <t>Embedded</t>
  </si>
  <si>
    <t>Embedded CPUs, GPUs, APUs, FPGAs, SOMs, and adaptive SoC</t>
  </si>
  <si>
    <t>Debt</t>
  </si>
  <si>
    <t>Total</t>
  </si>
  <si>
    <t>EV</t>
  </si>
  <si>
    <t>Net Cash</t>
  </si>
  <si>
    <t>Business</t>
  </si>
  <si>
    <t>Deep HW portfolio. From data centers, CPUs, GPUs, DPUs, Smart Network Cards, FPGAs. Sells to automotive, industrial, healthcare, storage and networking.</t>
  </si>
  <si>
    <t>Glossary</t>
  </si>
  <si>
    <t>SmartNIC</t>
  </si>
  <si>
    <t>Offloads networking, security, storage tasks from CPU. Like a HSP+NOC+DMA (but lower perf)</t>
  </si>
  <si>
    <t>Adaptive SOC</t>
  </si>
  <si>
    <t>Combines regular SOC and FPGA (e.g. parameterizable fabric)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</si>
  <si>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</si>
  <si>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</si>
  <si>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</si>
  <si>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</si>
  <si>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</si>
  <si>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</si>
  <si>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</si>
  <si>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</si>
  <si>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</si>
  <si>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</si>
  <si>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</si>
  <si>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</si>
  <si>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</si>
  <si>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</si>
  <si>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</si>
  <si>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Rev</t>
  </si>
  <si>
    <t>Data Center % Revenue</t>
  </si>
  <si>
    <t>Client % Revenue</t>
  </si>
  <si>
    <t>Gaming % Revenue</t>
  </si>
  <si>
    <t>Embedded % Revenue</t>
  </si>
  <si>
    <t>Data Center Growth</t>
  </si>
  <si>
    <t>Client Growth</t>
  </si>
  <si>
    <t>Gaming Growth</t>
  </si>
  <si>
    <t>Embedded Growth</t>
  </si>
  <si>
    <t>Gross Profit</t>
  </si>
  <si>
    <t>R&amp;D</t>
  </si>
  <si>
    <t>S&amp;M, G&amp;A</t>
  </si>
  <si>
    <t>Licensing</t>
  </si>
  <si>
    <t>Restructure</t>
  </si>
  <si>
    <t>Operating Expense</t>
  </si>
  <si>
    <t>Operating Income</t>
  </si>
  <si>
    <t>Interest Income</t>
  </si>
  <si>
    <t>Pretax Income</t>
  </si>
  <si>
    <t>Taxes</t>
  </si>
  <si>
    <t>Equity Income</t>
  </si>
  <si>
    <t>Net Income</t>
  </si>
  <si>
    <t>EPS</t>
  </si>
  <si>
    <t>Maturity</t>
  </si>
  <si>
    <t>Revenue Growth</t>
  </si>
  <si>
    <t>Discount Rate</t>
  </si>
  <si>
    <t>R&amp;D Growth</t>
  </si>
  <si>
    <t>ROIC</t>
  </si>
  <si>
    <t>S&amp;M, G&amp;A Growth</t>
  </si>
  <si>
    <t>NPV</t>
  </si>
  <si>
    <t>Gross Margin</t>
  </si>
  <si>
    <t>Operating Margin</t>
  </si>
  <si>
    <t>Spot</t>
  </si>
  <si>
    <t>Diff</t>
  </si>
  <si>
    <t>Model NI</t>
  </si>
  <si>
    <t>Reported NI</t>
  </si>
  <si>
    <t>D&amp;A</t>
  </si>
  <si>
    <t>SBC</t>
  </si>
  <si>
    <t>Amort Lease</t>
  </si>
  <si>
    <t>Amort inventory</t>
  </si>
  <si>
    <t>Loss on debt</t>
  </si>
  <si>
    <t>Loss on PPE</t>
  </si>
  <si>
    <t>D/T</t>
  </si>
  <si>
    <t>Equity investments</t>
  </si>
  <si>
    <t>Other</t>
  </si>
  <si>
    <t>A/R</t>
  </si>
  <si>
    <t>Inventories</t>
  </si>
  <si>
    <t>Receivables, related parties</t>
  </si>
  <si>
    <t>Prepaids</t>
  </si>
  <si>
    <t>Payables, related parties</t>
  </si>
  <si>
    <t>A/P</t>
  </si>
  <si>
    <t>Other liabilites</t>
  </si>
  <si>
    <t>CFFO</t>
  </si>
  <si>
    <t>Capex</t>
  </si>
  <si>
    <t>FCF</t>
  </si>
  <si>
    <t>CFFI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</si>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</sst>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3" fillId="0" borderId="0" xfId="0" applyFont="1"/>
    <xf numFmtId="3" fontId="2" fillId="0" borderId="0" xfId="0" applyNumberFormat="1" applyFont="1" applyAlignment="1">
      <alignment horizontal="right"/>
    </xf>
    <xf numFmtId="3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</xdr:colOff>
      <xdr:row>0</xdr:row>
      <xdr:rowOff>162983</xdr:rowOff>
    </xdr:from>
    <xdr:to>
      <xdr:col>14</xdr:col>
      <xdr:colOff>29633</xdr:colOff>
      <xdr:row>66</xdr:row>
      <xdr:rowOff>124883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4656EA-4155-61BD-75DD-2722DD3C065D}"/>
            </a:ext>
          </a:extLst>
        </xdr:cNvPr>
        <xdr:cNvCxnSpPr/>
      </xdr:nvCxnSpPr>
      <xdr:spPr>
        <a:xfrm>
          <a:off x="11957050" y="162983"/>
          <a:ext cx="0" cy="130323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25400</xdr:colOff>
      <xdr:row>0</xdr:row>
      <xdr:rowOff>38100</xdr:rowOff>
    </xdr:from>
    <xdr:to>
      <xdr:col>32</xdr:col>
      <xdr:colOff>25400</xdr:colOff>
      <xdr:row>66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E9C7F53-19D8-354D-86BB-CCC7626E0CE5}"/>
            </a:ext>
          </a:extLst>
        </xdr:cNvPr>
        <xdr:cNvCxnSpPr/>
      </xdr:nvCxnSpPr>
      <xdr:spPr>
        <a:xfrm>
          <a:off x="19837400" y="38100"/>
          <a:ext cx="0" cy="9309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4CF6-B9C3-7E40-8BCF-E38B2B413F08}">
  <dimension ref="B2:Q37"/>
  <sheetViews>
    <sheetView workbookViewId="0">
      <selection activeCell="P4" sqref="P4"/>
    </sheetView>
  </sheetViews>
  <sheetFormatPr defaultColWidth="11" defaultRowHeight="15.95"/>
  <cols>
    <col min="7" max="7" width="55.625" customWidth="1"/>
  </cols>
  <sheetData>
    <row r="2" spans="2:17">
      <c r="B2" t="s">
        <v>0</v>
      </c>
    </row>
    <row r="3" spans="2:17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O3" t="s">
        <v>7</v>
      </c>
      <c r="P3">
        <v>100.16</v>
      </c>
    </row>
    <row r="4" spans="2:17">
      <c r="B4" t="s">
        <v>8</v>
      </c>
      <c r="C4" s="10">
        <v>12579</v>
      </c>
      <c r="D4" s="8">
        <f>C4/$C$8</f>
        <v>0.48784176847004074</v>
      </c>
      <c r="E4" s="1">
        <v>9097</v>
      </c>
      <c r="F4" s="8">
        <f>E4/$E$8</f>
        <v>0.46189388169586187</v>
      </c>
      <c r="G4" t="s">
        <v>9</v>
      </c>
      <c r="O4" t="s">
        <v>10</v>
      </c>
      <c r="P4" s="1">
        <v>1620.4770000000001</v>
      </c>
      <c r="Q4" t="s">
        <v>0</v>
      </c>
    </row>
    <row r="5" spans="2:17">
      <c r="B5" t="s">
        <v>11</v>
      </c>
      <c r="C5" s="10">
        <v>7054</v>
      </c>
      <c r="D5" s="8">
        <f t="shared" ref="D5:D7" si="0">C5/$C$8</f>
        <v>0.27356990498351758</v>
      </c>
      <c r="E5" s="1">
        <v>6157</v>
      </c>
      <c r="F5" s="8">
        <f t="shared" ref="F5:F7" si="1">E5/$E$8</f>
        <v>0.31261741558771261</v>
      </c>
      <c r="G5" t="s">
        <v>12</v>
      </c>
      <c r="O5" t="s">
        <v>13</v>
      </c>
      <c r="P5" s="1">
        <f>+P4*P3</f>
        <v>162306.97632000002</v>
      </c>
    </row>
    <row r="6" spans="2:17">
      <c r="B6" t="s">
        <v>14</v>
      </c>
      <c r="C6" s="10">
        <v>2595</v>
      </c>
      <c r="D6" s="8">
        <f t="shared" si="0"/>
        <v>0.10063990692262943</v>
      </c>
      <c r="E6" s="1">
        <v>2305</v>
      </c>
      <c r="F6" s="8">
        <f t="shared" si="1"/>
        <v>0.11703478040111703</v>
      </c>
      <c r="G6" t="s">
        <v>15</v>
      </c>
      <c r="O6" t="s">
        <v>16</v>
      </c>
      <c r="P6" s="1">
        <f>3787+1345</f>
        <v>5132</v>
      </c>
      <c r="Q6" t="s">
        <v>0</v>
      </c>
    </row>
    <row r="7" spans="2:17">
      <c r="B7" t="s">
        <v>17</v>
      </c>
      <c r="C7" s="10">
        <v>3557</v>
      </c>
      <c r="D7" s="8">
        <f t="shared" si="0"/>
        <v>0.1379484196238123</v>
      </c>
      <c r="E7" s="1">
        <v>2136</v>
      </c>
      <c r="F7" s="8">
        <f t="shared" si="1"/>
        <v>0.10845392231530845</v>
      </c>
      <c r="G7" t="s">
        <v>18</v>
      </c>
      <c r="O7" t="s">
        <v>19</v>
      </c>
      <c r="P7" s="1">
        <v>1721</v>
      </c>
      <c r="Q7" t="s">
        <v>0</v>
      </c>
    </row>
    <row r="8" spans="2:17">
      <c r="B8" t="s">
        <v>20</v>
      </c>
      <c r="C8" s="10">
        <f>SUM(C4:C7)</f>
        <v>25785</v>
      </c>
      <c r="E8" s="1">
        <f>SUM(E4:E7)</f>
        <v>19695</v>
      </c>
      <c r="O8" t="s">
        <v>21</v>
      </c>
      <c r="P8" s="1">
        <f>+P5-P6+P7</f>
        <v>158895.97632000002</v>
      </c>
    </row>
    <row r="10" spans="2:17">
      <c r="O10" t="s">
        <v>22</v>
      </c>
      <c r="P10" s="1">
        <f>+P6-P7</f>
        <v>3411</v>
      </c>
    </row>
    <row r="27" spans="2:2">
      <c r="B27" s="11" t="s">
        <v>23</v>
      </c>
    </row>
    <row r="28" spans="2:2">
      <c r="B28" t="s">
        <v>24</v>
      </c>
    </row>
    <row r="35" spans="2:3">
      <c r="B35" s="11" t="s">
        <v>25</v>
      </c>
    </row>
    <row r="36" spans="2:3">
      <c r="B36" t="s">
        <v>26</v>
      </c>
      <c r="C36" t="s">
        <v>27</v>
      </c>
    </row>
    <row r="37" spans="2:3">
      <c r="B37" t="s">
        <v>28</v>
      </c>
      <c r="C3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C15F-016F-0A49-A80E-F654CC714E26}">
  <dimension ref="B2:DH75"/>
  <sheetViews>
    <sheetView tabSelected="1" zoomScaleNormal="100" workbookViewId="0">
      <pane xSplit="2" ySplit="2" topLeftCell="AC3" activePane="bottomRight" state="frozen"/>
      <selection pane="bottomRight" activeCell="AI53" sqref="AI53"/>
      <selection pane="bottomLeft" activeCell="A3" sqref="A3"/>
      <selection pane="topRight" activeCell="C1" sqref="C1"/>
    </sheetView>
  </sheetViews>
  <sheetFormatPr defaultColWidth="11" defaultRowHeight="15.95"/>
  <cols>
    <col min="2" max="2" width="15.625" customWidth="1"/>
    <col min="3" max="45" width="10.875" style="2"/>
    <col min="46" max="46" width="11.875" style="2" bestFit="1" customWidth="1"/>
    <col min="47" max="71" width="10.875" style="2"/>
  </cols>
  <sheetData>
    <row r="2" spans="2:71"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0</v>
      </c>
      <c r="O2" s="3" t="s">
        <v>41</v>
      </c>
      <c r="P2" s="3" t="s">
        <v>42</v>
      </c>
      <c r="Q2" s="3" t="s">
        <v>43</v>
      </c>
      <c r="R2" s="3" t="s">
        <v>44</v>
      </c>
      <c r="S2" s="3"/>
      <c r="T2" s="3"/>
      <c r="U2" s="3">
        <f t="shared" ref="U2:X2" si="0">+V2-1</f>
        <v>2013</v>
      </c>
      <c r="V2" s="3">
        <f t="shared" si="0"/>
        <v>2014</v>
      </c>
      <c r="W2" s="3">
        <f t="shared" si="0"/>
        <v>2015</v>
      </c>
      <c r="X2" s="3">
        <f t="shared" ref="X2:AC2" si="1">+Y2-1</f>
        <v>2016</v>
      </c>
      <c r="Y2" s="3">
        <f t="shared" si="1"/>
        <v>2017</v>
      </c>
      <c r="Z2" s="3">
        <f t="shared" si="1"/>
        <v>2018</v>
      </c>
      <c r="AA2" s="3">
        <f t="shared" si="1"/>
        <v>2019</v>
      </c>
      <c r="AB2" s="3">
        <f t="shared" si="1"/>
        <v>2020</v>
      </c>
      <c r="AC2" s="3">
        <f>+AD2-1</f>
        <v>2021</v>
      </c>
      <c r="AD2" s="3">
        <v>2022</v>
      </c>
      <c r="AE2" s="3">
        <f>+AD2+1</f>
        <v>2023</v>
      </c>
      <c r="AF2" s="3">
        <f t="shared" ref="AF2:AQ2" si="2">+AE2+1</f>
        <v>2024</v>
      </c>
      <c r="AG2" s="3">
        <f t="shared" si="2"/>
        <v>2025</v>
      </c>
      <c r="AH2" s="3">
        <f t="shared" si="2"/>
        <v>2026</v>
      </c>
      <c r="AI2" s="3">
        <f t="shared" si="2"/>
        <v>2027</v>
      </c>
      <c r="AJ2" s="3">
        <f t="shared" si="2"/>
        <v>2028</v>
      </c>
      <c r="AK2" s="3">
        <f t="shared" si="2"/>
        <v>2029</v>
      </c>
      <c r="AL2" s="3">
        <f t="shared" si="2"/>
        <v>2030</v>
      </c>
      <c r="AM2" s="3">
        <f t="shared" si="2"/>
        <v>2031</v>
      </c>
      <c r="AN2" s="3">
        <f t="shared" si="2"/>
        <v>2032</v>
      </c>
      <c r="AO2" s="3">
        <f t="shared" si="2"/>
        <v>2033</v>
      </c>
      <c r="AP2" s="3">
        <f t="shared" si="2"/>
        <v>2034</v>
      </c>
      <c r="AQ2" s="3">
        <f t="shared" si="2"/>
        <v>2035</v>
      </c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2:71" s="1" customFormat="1">
      <c r="B3" s="1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>
        <v>6043</v>
      </c>
      <c r="AE3" s="2">
        <v>6496</v>
      </c>
      <c r="AF3" s="2">
        <v>12579</v>
      </c>
      <c r="AG3" s="2">
        <f>AF3*1.57</f>
        <v>19749.030000000002</v>
      </c>
      <c r="AH3" s="2">
        <f t="shared" ref="AH3" si="3">AG3*1.57</f>
        <v>31005.977100000004</v>
      </c>
      <c r="AI3" s="2">
        <f t="shared" ref="AI3:AJ3" si="4">AH3*1.2</f>
        <v>37207.17252</v>
      </c>
      <c r="AJ3" s="2">
        <f t="shared" si="4"/>
        <v>44648.607023999997</v>
      </c>
      <c r="AK3" s="2">
        <f>AJ3*1.05</f>
        <v>46881.037375200001</v>
      </c>
      <c r="AL3" s="2">
        <f t="shared" ref="AL3:AQ3" si="5">AK3*1.05</f>
        <v>49225.089243960007</v>
      </c>
      <c r="AM3" s="2">
        <f t="shared" si="5"/>
        <v>51686.343706158012</v>
      </c>
      <c r="AN3" s="2">
        <f t="shared" si="5"/>
        <v>54270.660891465915</v>
      </c>
      <c r="AO3" s="2">
        <f t="shared" si="5"/>
        <v>56984.193936039213</v>
      </c>
      <c r="AP3" s="2">
        <f t="shared" si="5"/>
        <v>59833.403632841175</v>
      </c>
      <c r="AQ3" s="2">
        <f t="shared" si="5"/>
        <v>62825.073814483236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2:71" s="1" customFormat="1">
      <c r="B4" s="1" t="s">
        <v>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>
        <v>6201</v>
      </c>
      <c r="AE4" s="2">
        <v>4651</v>
      </c>
      <c r="AF4" s="2">
        <v>7054</v>
      </c>
      <c r="AG4" s="2">
        <f>AF4*1.2</f>
        <v>8464.7999999999993</v>
      </c>
      <c r="AH4" s="2">
        <f t="shared" ref="AH4:AK4" si="6">AG4*1.2</f>
        <v>10157.759999999998</v>
      </c>
      <c r="AI4" s="2">
        <f t="shared" si="6"/>
        <v>12189.311999999998</v>
      </c>
      <c r="AJ4" s="2">
        <f t="shared" si="6"/>
        <v>14627.174399999998</v>
      </c>
      <c r="AK4" s="2">
        <f t="shared" si="6"/>
        <v>17552.609279999997</v>
      </c>
      <c r="AL4" s="2">
        <f>AK4*1.1</f>
        <v>19307.870207999997</v>
      </c>
      <c r="AM4" s="2">
        <f t="shared" ref="AM4:AQ4" si="7">AL4*1.1</f>
        <v>21238.657228799999</v>
      </c>
      <c r="AN4" s="2">
        <f t="shared" si="7"/>
        <v>23362.522951679999</v>
      </c>
      <c r="AO4" s="2">
        <f t="shared" si="7"/>
        <v>25698.775246847999</v>
      </c>
      <c r="AP4" s="2">
        <f t="shared" si="7"/>
        <v>28268.652771532801</v>
      </c>
      <c r="AQ4" s="2">
        <f t="shared" si="7"/>
        <v>31095.518048686085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2:71" s="1" customFormat="1">
      <c r="B5" s="1" t="s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6805</v>
      </c>
      <c r="AE5" s="2">
        <v>6212</v>
      </c>
      <c r="AF5" s="2">
        <v>2595</v>
      </c>
      <c r="AG5" s="2">
        <f>AF5*0.8</f>
        <v>2076</v>
      </c>
      <c r="AH5" s="2">
        <f t="shared" ref="AH5:AQ5" si="8">AG5*0.9</f>
        <v>1868.4</v>
      </c>
      <c r="AI5" s="2">
        <f t="shared" si="8"/>
        <v>1681.5600000000002</v>
      </c>
      <c r="AJ5" s="2">
        <f t="shared" si="8"/>
        <v>1513.4040000000002</v>
      </c>
      <c r="AK5" s="2">
        <f t="shared" si="8"/>
        <v>1362.0636000000002</v>
      </c>
      <c r="AL5" s="2">
        <f t="shared" si="8"/>
        <v>1225.8572400000003</v>
      </c>
      <c r="AM5" s="2">
        <f t="shared" si="8"/>
        <v>1103.2715160000002</v>
      </c>
      <c r="AN5" s="2">
        <f t="shared" si="8"/>
        <v>992.94436440000027</v>
      </c>
      <c r="AO5" s="2">
        <f t="shared" si="8"/>
        <v>893.64992796000024</v>
      </c>
      <c r="AP5" s="2">
        <f t="shared" si="8"/>
        <v>804.28493516400022</v>
      </c>
      <c r="AQ5" s="2">
        <f t="shared" si="8"/>
        <v>723.85644164760026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2:71" s="1" customFormat="1">
      <c r="B6" s="1" t="s">
        <v>17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>
        <v>4552</v>
      </c>
      <c r="AE6" s="2">
        <v>6321</v>
      </c>
      <c r="AF6" s="2">
        <v>3557</v>
      </c>
      <c r="AG6" s="2">
        <f>AF6*0.9</f>
        <v>3201.3</v>
      </c>
      <c r="AH6" s="2">
        <f t="shared" ref="AH6:AQ6" si="9">AG6*0.9</f>
        <v>2881.17</v>
      </c>
      <c r="AI6" s="2">
        <f t="shared" si="9"/>
        <v>2593.0530000000003</v>
      </c>
      <c r="AJ6" s="2">
        <f t="shared" si="9"/>
        <v>2333.7477000000003</v>
      </c>
      <c r="AK6" s="2">
        <f t="shared" si="9"/>
        <v>2100.3729300000005</v>
      </c>
      <c r="AL6" s="2">
        <f t="shared" si="9"/>
        <v>1890.3356370000004</v>
      </c>
      <c r="AM6" s="2">
        <f t="shared" si="9"/>
        <v>1701.3020733000003</v>
      </c>
      <c r="AN6" s="2">
        <f t="shared" si="9"/>
        <v>1531.1718659700002</v>
      </c>
      <c r="AO6" s="2">
        <f t="shared" si="9"/>
        <v>1378.0546793730002</v>
      </c>
      <c r="AP6" s="2">
        <f t="shared" si="9"/>
        <v>1240.2492114357003</v>
      </c>
      <c r="AQ6" s="2">
        <f t="shared" si="9"/>
        <v>1116.2242902921303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2:71" s="1" customFormat="1">
      <c r="B7" s="1" t="s">
        <v>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SUM(AD3:AD6)</f>
        <v>23601</v>
      </c>
      <c r="AE7" s="2">
        <f t="shared" ref="AE7:AF7" si="10">SUM(AE3:AE6)</f>
        <v>23680</v>
      </c>
      <c r="AF7" s="2">
        <f t="shared" si="10"/>
        <v>25785</v>
      </c>
      <c r="AG7" s="2">
        <f t="shared" ref="AG7" si="11">SUM(AG3:AG6)</f>
        <v>33491.130000000005</v>
      </c>
      <c r="AH7" s="2">
        <f t="shared" ref="AH7" si="12">SUM(AH3:AH6)</f>
        <v>45913.307099999998</v>
      </c>
      <c r="AI7" s="2">
        <f t="shared" ref="AI7" si="13">SUM(AI3:AI6)</f>
        <v>53671.097519999996</v>
      </c>
      <c r="AJ7" s="2">
        <f t="shared" ref="AJ7" si="14">SUM(AJ3:AJ6)</f>
        <v>63122.933123999996</v>
      </c>
      <c r="AK7" s="2">
        <f t="shared" ref="AK7" si="15">SUM(AK3:AK6)</f>
        <v>67896.083185199997</v>
      </c>
      <c r="AL7" s="2">
        <f t="shared" ref="AL7" si="16">SUM(AL3:AL6)</f>
        <v>71649.152328960001</v>
      </c>
      <c r="AM7" s="2">
        <f t="shared" ref="AM7" si="17">SUM(AM3:AM6)</f>
        <v>75729.574524258001</v>
      </c>
      <c r="AN7" s="2">
        <f t="shared" ref="AN7" si="18">SUM(AN3:AN6)</f>
        <v>80157.300073515915</v>
      </c>
      <c r="AO7" s="2">
        <f t="shared" ref="AO7" si="19">SUM(AO3:AO6)</f>
        <v>84954.673790220215</v>
      </c>
      <c r="AP7" s="2">
        <f t="shared" ref="AP7" si="20">SUM(AP3:AP6)</f>
        <v>90146.590550973677</v>
      </c>
      <c r="AQ7" s="2">
        <f t="shared" ref="AQ7" si="21">SUM(AQ3:AQ6)</f>
        <v>95760.672595109048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2:71" s="1" customFormat="1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spans="2:71" s="1" customFormat="1">
      <c r="B9" s="1" t="s">
        <v>46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9">
        <f>AD3/AD$7</f>
        <v>0.25604847252235075</v>
      </c>
      <c r="AE9" s="9">
        <f>AE3/AE$7</f>
        <v>0.2743243243243243</v>
      </c>
      <c r="AF9" s="9">
        <f>AF3/AF$7</f>
        <v>0.48784176847004074</v>
      </c>
      <c r="AG9" s="9">
        <f>AG3/AG$7</f>
        <v>0.58967941660971124</v>
      </c>
      <c r="AH9" s="9">
        <f t="shared" ref="AH9:AQ9" si="22">AH3/AH$7</f>
        <v>0.67531569948704495</v>
      </c>
      <c r="AI9" s="9">
        <f t="shared" si="22"/>
        <v>0.69324411534783914</v>
      </c>
      <c r="AJ9" s="9">
        <f t="shared" si="22"/>
        <v>0.70732782547178774</v>
      </c>
      <c r="AK9" s="9">
        <f t="shared" si="22"/>
        <v>0.69048220715947195</v>
      </c>
      <c r="AL9" s="9">
        <f t="shared" si="22"/>
        <v>0.6870296108731998</v>
      </c>
      <c r="AM9" s="9">
        <f t="shared" si="22"/>
        <v>0.68251200446929272</v>
      </c>
      <c r="AN9" s="9">
        <f t="shared" si="22"/>
        <v>0.67705200701235968</v>
      </c>
      <c r="AO9" s="9">
        <f t="shared" si="22"/>
        <v>0.67075996403389293</v>
      </c>
      <c r="AP9" s="9">
        <f t="shared" si="22"/>
        <v>0.66373451582739762</v>
      </c>
      <c r="AQ9" s="9">
        <f t="shared" si="22"/>
        <v>0.65606341425897641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2:71" s="8" customFormat="1">
      <c r="B10" s="8" t="s">
        <v>47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f t="shared" ref="AD10" si="23">AD4/AD$7</f>
        <v>0.26274310410575824</v>
      </c>
      <c r="AE10" s="9">
        <f t="shared" ref="AE10" si="24">AE4/AE$7</f>
        <v>0.19641047297297298</v>
      </c>
      <c r="AF10" s="9">
        <f t="shared" ref="AF10" si="25">AF4/AF$7</f>
        <v>0.27356990498351758</v>
      </c>
      <c r="AG10" s="9">
        <f t="shared" ref="AG10:AQ12" si="26">AG4/AG$7</f>
        <v>0.25274751852206834</v>
      </c>
      <c r="AH10" s="9">
        <f t="shared" si="26"/>
        <v>0.22123782061432029</v>
      </c>
      <c r="AI10" s="9">
        <f t="shared" si="26"/>
        <v>0.22711128639502431</v>
      </c>
      <c r="AJ10" s="9">
        <f t="shared" si="26"/>
        <v>0.23172520154071538</v>
      </c>
      <c r="AK10" s="9">
        <f t="shared" si="26"/>
        <v>0.25852167690029754</v>
      </c>
      <c r="AL10" s="9">
        <f t="shared" si="26"/>
        <v>0.26947799911647963</v>
      </c>
      <c r="AM10" s="9">
        <f t="shared" si="26"/>
        <v>0.2804539357605495</v>
      </c>
      <c r="AN10" s="9">
        <f t="shared" si="26"/>
        <v>0.29145845643819296</v>
      </c>
      <c r="AO10" s="9">
        <f t="shared" si="26"/>
        <v>0.30249984021251558</v>
      </c>
      <c r="AP10" s="9">
        <f t="shared" si="26"/>
        <v>0.3135853790892757</v>
      </c>
      <c r="AQ10" s="9">
        <f t="shared" si="26"/>
        <v>0.32472117421483399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2:71" s="8" customFormat="1">
      <c r="B11" s="8" t="s">
        <v>48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f t="shared" ref="AD11" si="27">AD5/AD$7</f>
        <v>0.28833524003220201</v>
      </c>
      <c r="AE11" s="9">
        <f t="shared" ref="AE11" si="28">AE5/AE$7</f>
        <v>0.26233108108108111</v>
      </c>
      <c r="AF11" s="9">
        <f t="shared" ref="AF11" si="29">AF5/AF$7</f>
        <v>0.10063990692262943</v>
      </c>
      <c r="AG11" s="9">
        <f t="shared" si="26"/>
        <v>6.198656181502385E-2</v>
      </c>
      <c r="AH11" s="9">
        <f t="shared" si="26"/>
        <v>4.0694084526095922E-2</v>
      </c>
      <c r="AI11" s="9">
        <f t="shared" si="26"/>
        <v>3.1330829397952661E-2</v>
      </c>
      <c r="AJ11" s="9">
        <f t="shared" si="26"/>
        <v>2.3975501851712721E-2</v>
      </c>
      <c r="AK11" s="9">
        <f t="shared" si="26"/>
        <v>2.0061004053572608E-2</v>
      </c>
      <c r="AL11" s="9">
        <f t="shared" si="26"/>
        <v>1.71091659866647E-2</v>
      </c>
      <c r="AM11" s="9">
        <f t="shared" si="26"/>
        <v>1.4568568791398609E-2</v>
      </c>
      <c r="AN11" s="9">
        <f t="shared" si="26"/>
        <v>1.2387447724528218E-2</v>
      </c>
      <c r="AO11" s="9">
        <f t="shared" si="26"/>
        <v>1.0519137889537457E-2</v>
      </c>
      <c r="AP11" s="9">
        <f t="shared" si="26"/>
        <v>8.9219673228707937E-3</v>
      </c>
      <c r="AQ11" s="9">
        <f t="shared" si="26"/>
        <v>7.5590158468098632E-3</v>
      </c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2:71" s="8" customFormat="1">
      <c r="B12" s="8" t="s">
        <v>49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f t="shared" ref="AD12" si="30">AD6/AD$7</f>
        <v>0.192873183339689</v>
      </c>
      <c r="AE12" s="9">
        <f t="shared" ref="AE12" si="31">AE6/AE$7</f>
        <v>0.26693412162162161</v>
      </c>
      <c r="AF12" s="9">
        <f t="shared" ref="AF12" si="32">AF6/AF$7</f>
        <v>0.1379484196238123</v>
      </c>
      <c r="AG12" s="9">
        <f t="shared" si="26"/>
        <v>9.5586503053196464E-2</v>
      </c>
      <c r="AH12" s="9">
        <f t="shared" si="26"/>
        <v>6.275239537253896E-2</v>
      </c>
      <c r="AI12" s="9">
        <f t="shared" si="26"/>
        <v>4.8313768859183946E-2</v>
      </c>
      <c r="AJ12" s="9">
        <f t="shared" si="26"/>
        <v>3.6971471135784167E-2</v>
      </c>
      <c r="AK12" s="9">
        <f t="shared" si="26"/>
        <v>3.0935111886657995E-2</v>
      </c>
      <c r="AL12" s="9">
        <f t="shared" si="26"/>
        <v>2.6383224023655925E-2</v>
      </c>
      <c r="AM12" s="9">
        <f t="shared" si="26"/>
        <v>2.2465490978759328E-2</v>
      </c>
      <c r="AN12" s="9">
        <f t="shared" si="26"/>
        <v>1.910208882491916E-2</v>
      </c>
      <c r="AO12" s="9">
        <f t="shared" si="26"/>
        <v>1.6221057864054075E-2</v>
      </c>
      <c r="AP12" s="9">
        <f t="shared" si="26"/>
        <v>1.3758137760455815E-2</v>
      </c>
      <c r="AQ12" s="9">
        <f t="shared" si="26"/>
        <v>1.1656395679379775E-2</v>
      </c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 spans="2:71" s="8" customFormat="1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 spans="2:71" s="8" customFormat="1">
      <c r="B14" s="8" t="s">
        <v>50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>
        <f>AE3/AD3-1</f>
        <v>7.4962766837663342E-2</v>
      </c>
      <c r="AF14" s="9">
        <f>AF3/AE3-1</f>
        <v>0.93642241379310343</v>
      </c>
      <c r="AG14" s="9">
        <f t="shared" ref="AG14:AQ14" si="33">AG3/AF3-1</f>
        <v>0.57000000000000028</v>
      </c>
      <c r="AH14" s="9">
        <f t="shared" si="33"/>
        <v>0.57000000000000006</v>
      </c>
      <c r="AI14" s="9">
        <f t="shared" si="33"/>
        <v>0.19999999999999996</v>
      </c>
      <c r="AJ14" s="9">
        <f t="shared" si="33"/>
        <v>0.19999999999999996</v>
      </c>
      <c r="AK14" s="9">
        <f t="shared" si="33"/>
        <v>5.0000000000000044E-2</v>
      </c>
      <c r="AL14" s="9">
        <f t="shared" si="33"/>
        <v>5.0000000000000044E-2</v>
      </c>
      <c r="AM14" s="9">
        <f t="shared" si="33"/>
        <v>5.0000000000000044E-2</v>
      </c>
      <c r="AN14" s="9">
        <f t="shared" si="33"/>
        <v>5.0000000000000044E-2</v>
      </c>
      <c r="AO14" s="9">
        <f t="shared" si="33"/>
        <v>5.0000000000000044E-2</v>
      </c>
      <c r="AP14" s="9">
        <f t="shared" si="33"/>
        <v>5.0000000000000044E-2</v>
      </c>
      <c r="AQ14" s="9">
        <f t="shared" si="33"/>
        <v>5.0000000000000044E-2</v>
      </c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</row>
    <row r="15" spans="2:71" s="8" customFormat="1">
      <c r="B15" s="8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>
        <f>AE4/AD4-1</f>
        <v>-0.24995968392194812</v>
      </c>
      <c r="AF15" s="9">
        <f>AF4/AE4-1</f>
        <v>0.51666308320791221</v>
      </c>
      <c r="AG15" s="9">
        <f t="shared" ref="AG15:AQ15" si="34">AG4/AF4-1</f>
        <v>0.19999999999999996</v>
      </c>
      <c r="AH15" s="9">
        <f t="shared" si="34"/>
        <v>0.19999999999999996</v>
      </c>
      <c r="AI15" s="9">
        <f t="shared" si="34"/>
        <v>0.19999999999999996</v>
      </c>
      <c r="AJ15" s="9">
        <f t="shared" si="34"/>
        <v>0.19999999999999996</v>
      </c>
      <c r="AK15" s="9">
        <f t="shared" si="34"/>
        <v>0.19999999999999996</v>
      </c>
      <c r="AL15" s="9">
        <f t="shared" si="34"/>
        <v>0.10000000000000009</v>
      </c>
      <c r="AM15" s="9">
        <f t="shared" si="34"/>
        <v>0.10000000000000009</v>
      </c>
      <c r="AN15" s="9">
        <f t="shared" si="34"/>
        <v>0.10000000000000009</v>
      </c>
      <c r="AO15" s="9">
        <f t="shared" si="34"/>
        <v>0.10000000000000009</v>
      </c>
      <c r="AP15" s="9">
        <f t="shared" si="34"/>
        <v>0.10000000000000009</v>
      </c>
      <c r="AQ15" s="9">
        <f t="shared" si="34"/>
        <v>0.10000000000000009</v>
      </c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 spans="2:71" s="8" customFormat="1">
      <c r="B16" s="8" t="s">
        <v>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>
        <f>AE5/AD5-1</f>
        <v>-8.7141807494489298E-2</v>
      </c>
      <c r="AF16" s="9">
        <f>AF5/AE5-1</f>
        <v>-0.58226014166130069</v>
      </c>
      <c r="AG16" s="9">
        <f t="shared" ref="AG16:AQ16" si="35">AG5/AF5-1</f>
        <v>-0.19999999999999996</v>
      </c>
      <c r="AH16" s="9">
        <f t="shared" si="35"/>
        <v>-9.9999999999999978E-2</v>
      </c>
      <c r="AI16" s="9">
        <f t="shared" si="35"/>
        <v>-9.9999999999999978E-2</v>
      </c>
      <c r="AJ16" s="9">
        <f t="shared" si="35"/>
        <v>-9.9999999999999978E-2</v>
      </c>
      <c r="AK16" s="9">
        <f t="shared" si="35"/>
        <v>-9.9999999999999978E-2</v>
      </c>
      <c r="AL16" s="9">
        <f t="shared" si="35"/>
        <v>-9.9999999999999867E-2</v>
      </c>
      <c r="AM16" s="9">
        <f t="shared" si="35"/>
        <v>-9.9999999999999978E-2</v>
      </c>
      <c r="AN16" s="9">
        <f t="shared" si="35"/>
        <v>-9.9999999999999978E-2</v>
      </c>
      <c r="AO16" s="9">
        <f t="shared" si="35"/>
        <v>-9.9999999999999978E-2</v>
      </c>
      <c r="AP16" s="9">
        <f t="shared" si="35"/>
        <v>-9.9999999999999978E-2</v>
      </c>
      <c r="AQ16" s="9">
        <f t="shared" si="35"/>
        <v>-9.9999999999999867E-2</v>
      </c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2:71" s="8" customFormat="1">
      <c r="B17" s="8" t="s">
        <v>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>
        <f>AE6/AD6-1</f>
        <v>0.38862038664323384</v>
      </c>
      <c r="AF17" s="9">
        <f>AF6/AE6-1</f>
        <v>-0.4372725834519855</v>
      </c>
      <c r="AG17" s="9">
        <f t="shared" ref="AG17:AQ17" si="36">AG6/AF6-1</f>
        <v>-9.9999999999999978E-2</v>
      </c>
      <c r="AH17" s="9">
        <f t="shared" si="36"/>
        <v>-9.9999999999999978E-2</v>
      </c>
      <c r="AI17" s="9">
        <f t="shared" si="36"/>
        <v>-9.9999999999999867E-2</v>
      </c>
      <c r="AJ17" s="9">
        <f t="shared" si="36"/>
        <v>-9.9999999999999978E-2</v>
      </c>
      <c r="AK17" s="9">
        <f t="shared" si="36"/>
        <v>-9.9999999999999978E-2</v>
      </c>
      <c r="AL17" s="9">
        <f t="shared" si="36"/>
        <v>-9.9999999999999978E-2</v>
      </c>
      <c r="AM17" s="9">
        <f t="shared" si="36"/>
        <v>-9.9999999999999978E-2</v>
      </c>
      <c r="AN17" s="9">
        <f t="shared" si="36"/>
        <v>-9.9999999999999978E-2</v>
      </c>
      <c r="AO17" s="9">
        <f t="shared" si="36"/>
        <v>-9.9999999999999978E-2</v>
      </c>
      <c r="AP17" s="9">
        <f t="shared" si="36"/>
        <v>-9.9999999999999867E-2</v>
      </c>
      <c r="AQ17" s="9">
        <f t="shared" si="36"/>
        <v>-9.9999999999999978E-2</v>
      </c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 spans="2:71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2:71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2:71" s="4" customFormat="1">
      <c r="B20" s="4" t="s">
        <v>2</v>
      </c>
      <c r="C20" s="5">
        <v>5887</v>
      </c>
      <c r="D20" s="5">
        <v>6550</v>
      </c>
      <c r="E20" s="5">
        <v>5565</v>
      </c>
      <c r="F20" s="5">
        <v>5800</v>
      </c>
      <c r="G20" s="5">
        <v>5353</v>
      </c>
      <c r="H20" s="5">
        <v>5359</v>
      </c>
      <c r="I20" s="5">
        <v>5800</v>
      </c>
      <c r="J20" s="5">
        <v>6168</v>
      </c>
      <c r="K20" s="5">
        <v>5473</v>
      </c>
      <c r="L20" s="5">
        <v>5835</v>
      </c>
      <c r="M20" s="5">
        <v>6819</v>
      </c>
      <c r="N20" s="5">
        <v>7658</v>
      </c>
      <c r="O20" s="5">
        <v>7100</v>
      </c>
      <c r="P20" s="5">
        <f>L20*1.3</f>
        <v>7585.5</v>
      </c>
      <c r="Q20" s="5">
        <f>M20*1.35</f>
        <v>9205.6500000000015</v>
      </c>
      <c r="R20" s="5">
        <f>N20*1.35</f>
        <v>10338.300000000001</v>
      </c>
      <c r="S20" s="5"/>
      <c r="T20" s="5"/>
      <c r="U20" s="5">
        <v>5299</v>
      </c>
      <c r="V20" s="5">
        <v>5506</v>
      </c>
      <c r="W20" s="5">
        <v>3991</v>
      </c>
      <c r="X20" s="5">
        <v>4319</v>
      </c>
      <c r="Y20" s="5">
        <v>5253</v>
      </c>
      <c r="Z20" s="5">
        <v>6475</v>
      </c>
      <c r="AA20" s="5">
        <v>6731</v>
      </c>
      <c r="AB20" s="5">
        <v>9763</v>
      </c>
      <c r="AC20" s="5">
        <v>16434</v>
      </c>
      <c r="AD20" s="5">
        <f>SUM(C20:F20)</f>
        <v>23802</v>
      </c>
      <c r="AE20" s="5">
        <f>SUM(G20:J20)</f>
        <v>22680</v>
      </c>
      <c r="AF20" s="5">
        <f>SUM(K20:N20)</f>
        <v>25785</v>
      </c>
      <c r="AG20" s="2">
        <f>SUM(O20:R20)</f>
        <v>34229.450000000004</v>
      </c>
      <c r="AH20" s="2">
        <f t="shared" ref="AH20:AQ20" si="37">AH7</f>
        <v>45913.307099999998</v>
      </c>
      <c r="AI20" s="2">
        <f t="shared" si="37"/>
        <v>53671.097519999996</v>
      </c>
      <c r="AJ20" s="2">
        <f t="shared" si="37"/>
        <v>63122.933123999996</v>
      </c>
      <c r="AK20" s="2">
        <f t="shared" si="37"/>
        <v>67896.083185199997</v>
      </c>
      <c r="AL20" s="2">
        <f t="shared" si="37"/>
        <v>71649.152328960001</v>
      </c>
      <c r="AM20" s="2">
        <f t="shared" si="37"/>
        <v>75729.574524258001</v>
      </c>
      <c r="AN20" s="2">
        <f t="shared" si="37"/>
        <v>80157.300073515915</v>
      </c>
      <c r="AO20" s="2">
        <f t="shared" si="37"/>
        <v>84954.673790220215</v>
      </c>
      <c r="AP20" s="2">
        <f t="shared" si="37"/>
        <v>90146.590550973677</v>
      </c>
      <c r="AQ20" s="2">
        <f t="shared" si="37"/>
        <v>95760.672595109048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2:71">
      <c r="B21" t="s">
        <v>4</v>
      </c>
      <c r="C21" s="2">
        <v>2883</v>
      </c>
      <c r="D21" s="2">
        <v>3115</v>
      </c>
      <c r="E21" s="2">
        <v>2799</v>
      </c>
      <c r="F21" s="2">
        <v>2843</v>
      </c>
      <c r="G21" s="2">
        <v>2689</v>
      </c>
      <c r="H21" s="2">
        <v>2704</v>
      </c>
      <c r="I21" s="2">
        <v>2843</v>
      </c>
      <c r="J21" s="2">
        <v>3042</v>
      </c>
      <c r="K21" s="2">
        <v>2683</v>
      </c>
      <c r="L21" s="2">
        <v>2740</v>
      </c>
      <c r="M21" s="2">
        <v>3167</v>
      </c>
      <c r="N21" s="2">
        <v>3524</v>
      </c>
      <c r="O21" s="2">
        <f>+O20-O22</f>
        <v>3265.9999999999995</v>
      </c>
      <c r="P21" s="2">
        <f t="shared" ref="P21:R21" si="38">+P20-P22</f>
        <v>3489.33</v>
      </c>
      <c r="Q21" s="2">
        <f t="shared" si="38"/>
        <v>4234.5990000000002</v>
      </c>
      <c r="R21" s="2">
        <f t="shared" si="38"/>
        <v>4755.6180000000004</v>
      </c>
      <c r="U21" s="12">
        <v>3321</v>
      </c>
      <c r="V21" s="12">
        <v>3667</v>
      </c>
      <c r="W21" s="12">
        <v>2911</v>
      </c>
      <c r="X21" s="12">
        <v>3316</v>
      </c>
      <c r="Y21" s="12">
        <v>3466</v>
      </c>
      <c r="Z21" s="12">
        <v>4028</v>
      </c>
      <c r="AA21" s="12">
        <v>3863</v>
      </c>
      <c r="AB21" s="12">
        <v>5416</v>
      </c>
      <c r="AC21" s="12">
        <v>8505</v>
      </c>
      <c r="AD21" s="12">
        <f>SUM(C21:F21)</f>
        <v>11640</v>
      </c>
      <c r="AE21" s="12">
        <f>SUM(G21:J21)</f>
        <v>11278</v>
      </c>
      <c r="AF21" s="12">
        <f>SUM(K21:N21)</f>
        <v>12114</v>
      </c>
      <c r="AG21" s="2">
        <f>SUM(O21:R21)</f>
        <v>15745.547</v>
      </c>
      <c r="AH21" s="2">
        <f>AH20-AH22</f>
        <v>21120.121265999998</v>
      </c>
      <c r="AI21" s="2">
        <f t="shared" ref="AI21:AQ21" si="39">AI20-AI22</f>
        <v>24688.704859199996</v>
      </c>
      <c r="AJ21" s="2">
        <f t="shared" si="39"/>
        <v>29036.549237039995</v>
      </c>
      <c r="AK21" s="2">
        <f t="shared" si="39"/>
        <v>31232.198265191997</v>
      </c>
      <c r="AL21" s="2">
        <f t="shared" si="39"/>
        <v>32958.6100713216</v>
      </c>
      <c r="AM21" s="2">
        <f t="shared" si="39"/>
        <v>34835.604281158681</v>
      </c>
      <c r="AN21" s="2">
        <f t="shared" si="39"/>
        <v>36872.35803381732</v>
      </c>
      <c r="AO21" s="2">
        <f t="shared" si="39"/>
        <v>39079.149943501296</v>
      </c>
      <c r="AP21" s="2">
        <f t="shared" si="39"/>
        <v>41467.431653447886</v>
      </c>
      <c r="AQ21" s="2">
        <f t="shared" si="39"/>
        <v>44049.90939375016</v>
      </c>
    </row>
    <row r="22" spans="2:71">
      <c r="B22" t="s">
        <v>54</v>
      </c>
      <c r="C22" s="2">
        <f>+C20-C21</f>
        <v>3004</v>
      </c>
      <c r="D22" s="2">
        <f>+D20-D21</f>
        <v>3435</v>
      </c>
      <c r="E22" s="2">
        <f>+E20-E21</f>
        <v>2766</v>
      </c>
      <c r="F22" s="2">
        <f>+F20-F21</f>
        <v>2957</v>
      </c>
      <c r="G22" s="2">
        <f>+G20-G21</f>
        <v>2664</v>
      </c>
      <c r="H22" s="2">
        <f>+H20-H21</f>
        <v>2655</v>
      </c>
      <c r="I22" s="2">
        <f>+I20-I21</f>
        <v>2957</v>
      </c>
      <c r="J22" s="2">
        <f>+J20-J21</f>
        <v>3126</v>
      </c>
      <c r="K22" s="2">
        <f>+K20-K21</f>
        <v>2790</v>
      </c>
      <c r="L22" s="2">
        <f>+L20-L21</f>
        <v>3095</v>
      </c>
      <c r="M22" s="2">
        <f>+M20-M21</f>
        <v>3652</v>
      </c>
      <c r="N22" s="2">
        <f>+N20-N21</f>
        <v>4134</v>
      </c>
      <c r="O22" s="2">
        <f>O20*0.54</f>
        <v>3834.0000000000005</v>
      </c>
      <c r="P22" s="2">
        <f t="shared" ref="P22:R22" si="40">P20*0.54</f>
        <v>4096.17</v>
      </c>
      <c r="Q22" s="2">
        <f t="shared" si="40"/>
        <v>4971.0510000000013</v>
      </c>
      <c r="R22" s="2">
        <f t="shared" si="40"/>
        <v>5582.6820000000007</v>
      </c>
      <c r="U22" s="2">
        <f>+U20-U21</f>
        <v>1978</v>
      </c>
      <c r="V22" s="2">
        <f>+V20-V21</f>
        <v>1839</v>
      </c>
      <c r="W22" s="2">
        <f>+W20-W21</f>
        <v>1080</v>
      </c>
      <c r="X22" s="2">
        <f>+X20-X21</f>
        <v>1003</v>
      </c>
      <c r="Y22" s="2">
        <f>+Y20-Y21</f>
        <v>1787</v>
      </c>
      <c r="Z22" s="2">
        <f>+Z20-Z21</f>
        <v>2447</v>
      </c>
      <c r="AA22" s="2">
        <f>+AA20-AA21</f>
        <v>2868</v>
      </c>
      <c r="AB22" s="2">
        <f>+AB20-AB21</f>
        <v>4347</v>
      </c>
      <c r="AC22" s="2">
        <f>+AC20-AC21</f>
        <v>7929</v>
      </c>
      <c r="AD22" s="2">
        <f>+AD20-AD21</f>
        <v>12162</v>
      </c>
      <c r="AE22" s="2">
        <f>+AE20-AE21</f>
        <v>11402</v>
      </c>
      <c r="AF22" s="12">
        <f>SUM(K22:N22)</f>
        <v>13671</v>
      </c>
      <c r="AG22" s="2">
        <f>AG20-AG21</f>
        <v>18483.903000000006</v>
      </c>
      <c r="AH22" s="2">
        <f>+AH20*0.54</f>
        <v>24793.185834</v>
      </c>
      <c r="AI22" s="2">
        <f t="shared" ref="AI22:AQ22" si="41">+AI20*0.54</f>
        <v>28982.3926608</v>
      </c>
      <c r="AJ22" s="2">
        <f t="shared" si="41"/>
        <v>34086.38388696</v>
      </c>
      <c r="AK22" s="2">
        <f t="shared" si="41"/>
        <v>36663.884920008</v>
      </c>
      <c r="AL22" s="2">
        <f t="shared" si="41"/>
        <v>38690.542257638401</v>
      </c>
      <c r="AM22" s="2">
        <f t="shared" si="41"/>
        <v>40893.97024309932</v>
      </c>
      <c r="AN22" s="2">
        <f t="shared" si="41"/>
        <v>43284.942039698595</v>
      </c>
      <c r="AO22" s="2">
        <f t="shared" si="41"/>
        <v>45875.523846718919</v>
      </c>
      <c r="AP22" s="2">
        <f t="shared" si="41"/>
        <v>48679.158897525791</v>
      </c>
      <c r="AQ22" s="2">
        <f t="shared" si="41"/>
        <v>51710.763201358888</v>
      </c>
    </row>
    <row r="23" spans="2:71">
      <c r="B23" t="s">
        <v>55</v>
      </c>
      <c r="C23" s="2">
        <v>1060</v>
      </c>
      <c r="D23" s="2">
        <v>1300</v>
      </c>
      <c r="E23" s="2">
        <v>1279</v>
      </c>
      <c r="F23" s="2">
        <v>1507</v>
      </c>
      <c r="G23" s="2">
        <v>1411</v>
      </c>
      <c r="H23" s="2">
        <v>1443</v>
      </c>
      <c r="I23" s="2">
        <v>1507</v>
      </c>
      <c r="J23" s="2">
        <v>1511</v>
      </c>
      <c r="K23" s="2">
        <v>1525</v>
      </c>
      <c r="L23" s="2">
        <v>1583</v>
      </c>
      <c r="M23" s="2">
        <v>1636</v>
      </c>
      <c r="N23" s="2">
        <v>1712</v>
      </c>
      <c r="O23" s="2">
        <f>K23*1.1</f>
        <v>1677.5000000000002</v>
      </c>
      <c r="P23" s="2">
        <f t="shared" ref="P23:R23" si="42">L23*1.1</f>
        <v>1741.3000000000002</v>
      </c>
      <c r="Q23" s="2">
        <f t="shared" si="42"/>
        <v>1799.6000000000001</v>
      </c>
      <c r="R23" s="2">
        <f t="shared" si="42"/>
        <v>1883.2</v>
      </c>
      <c r="U23" s="12">
        <v>1201</v>
      </c>
      <c r="V23" s="12">
        <v>1072</v>
      </c>
      <c r="W23" s="12">
        <v>947</v>
      </c>
      <c r="X23" s="12">
        <v>1008</v>
      </c>
      <c r="Y23" s="12">
        <v>1196</v>
      </c>
      <c r="Z23" s="12">
        <v>1434</v>
      </c>
      <c r="AA23" s="12">
        <v>1547</v>
      </c>
      <c r="AB23" s="12">
        <v>1983</v>
      </c>
      <c r="AC23" s="12">
        <v>2845</v>
      </c>
      <c r="AD23" s="12">
        <f>SUM(C23:F23)</f>
        <v>5146</v>
      </c>
      <c r="AE23" s="12">
        <f>SUM(G23:J23)</f>
        <v>5872</v>
      </c>
      <c r="AF23" s="12">
        <f>SUM(K23:N23)</f>
        <v>6456</v>
      </c>
      <c r="AG23" s="2">
        <f>AF23*1.15</f>
        <v>7424.4</v>
      </c>
      <c r="AH23" s="2">
        <f t="shared" ref="AH23:AJ23" si="43">AG23*1.15</f>
        <v>8538.06</v>
      </c>
      <c r="AI23" s="2">
        <f t="shared" ref="AI23:AQ23" si="44">AH23*1.1</f>
        <v>9391.866</v>
      </c>
      <c r="AJ23" s="2">
        <f t="shared" si="44"/>
        <v>10331.052600000001</v>
      </c>
      <c r="AK23" s="2">
        <f t="shared" si="44"/>
        <v>11364.157860000001</v>
      </c>
      <c r="AL23" s="2">
        <f t="shared" si="44"/>
        <v>12500.573646000003</v>
      </c>
      <c r="AM23" s="2">
        <f t="shared" si="44"/>
        <v>13750.631010600004</v>
      </c>
      <c r="AN23" s="2">
        <f t="shared" si="44"/>
        <v>15125.694111660005</v>
      </c>
      <c r="AO23" s="2">
        <f t="shared" si="44"/>
        <v>16638.263522826008</v>
      </c>
      <c r="AP23" s="2">
        <f t="shared" si="44"/>
        <v>18302.08987510861</v>
      </c>
      <c r="AQ23" s="2">
        <f t="shared" si="44"/>
        <v>20132.298862619471</v>
      </c>
    </row>
    <row r="24" spans="2:71">
      <c r="B24" t="s">
        <v>56</v>
      </c>
      <c r="C24" s="2">
        <v>597</v>
      </c>
      <c r="D24" s="2">
        <v>592</v>
      </c>
      <c r="E24" s="2">
        <v>557</v>
      </c>
      <c r="F24" s="2">
        <v>576</v>
      </c>
      <c r="G24" s="2">
        <v>585</v>
      </c>
      <c r="H24" s="2">
        <v>547</v>
      </c>
      <c r="I24" s="2">
        <v>576</v>
      </c>
      <c r="J24" s="2">
        <v>644</v>
      </c>
      <c r="K24" s="2">
        <v>620</v>
      </c>
      <c r="L24" s="2">
        <v>650</v>
      </c>
      <c r="M24" s="2">
        <v>721</v>
      </c>
      <c r="N24" s="2">
        <v>792</v>
      </c>
      <c r="O24" s="2">
        <f>K24*1.3</f>
        <v>806</v>
      </c>
      <c r="P24" s="2">
        <f t="shared" ref="P24:R24" si="45">L24*1.3</f>
        <v>845</v>
      </c>
      <c r="Q24" s="2">
        <f t="shared" si="45"/>
        <v>937.30000000000007</v>
      </c>
      <c r="R24" s="2">
        <f t="shared" si="45"/>
        <v>1029.6000000000001</v>
      </c>
      <c r="U24" s="12">
        <v>674</v>
      </c>
      <c r="V24" s="12">
        <v>604</v>
      </c>
      <c r="W24" s="12">
        <v>482</v>
      </c>
      <c r="X24" s="12">
        <v>466</v>
      </c>
      <c r="Y24" s="12">
        <v>516</v>
      </c>
      <c r="Z24" s="12">
        <v>562</v>
      </c>
      <c r="AA24" s="12">
        <v>750</v>
      </c>
      <c r="AB24" s="12">
        <v>995</v>
      </c>
      <c r="AC24" s="12">
        <v>1448</v>
      </c>
      <c r="AD24" s="12">
        <f>SUM(C24:F24)</f>
        <v>2322</v>
      </c>
      <c r="AE24" s="12">
        <f>SUM(G24:J24)</f>
        <v>2352</v>
      </c>
      <c r="AF24" s="12">
        <f>SUM(K24:N24)</f>
        <v>2783</v>
      </c>
      <c r="AG24" s="2">
        <f>SUM(O24:R24)</f>
        <v>3617.9000000000005</v>
      </c>
      <c r="AH24" s="2">
        <f>AG24*1.2</f>
        <v>4341.4800000000005</v>
      </c>
      <c r="AI24" s="2">
        <f t="shared" ref="AI24:AJ24" si="46">AH24*1.2</f>
        <v>5209.7760000000007</v>
      </c>
      <c r="AJ24" s="2">
        <f t="shared" si="46"/>
        <v>6251.7312000000011</v>
      </c>
      <c r="AK24" s="2">
        <f>AJ24*1.1</f>
        <v>6876.9043200000015</v>
      </c>
      <c r="AL24" s="2">
        <f t="shared" ref="AL24:AQ24" si="47">AK24*1.1</f>
        <v>7564.5947520000018</v>
      </c>
      <c r="AM24" s="2">
        <f t="shared" si="47"/>
        <v>8321.0542272000021</v>
      </c>
      <c r="AN24" s="2">
        <f t="shared" si="47"/>
        <v>9153.1596499200023</v>
      </c>
      <c r="AO24" s="2">
        <f t="shared" si="47"/>
        <v>10068.475614912004</v>
      </c>
      <c r="AP24" s="2">
        <f t="shared" si="47"/>
        <v>11075.323176403204</v>
      </c>
      <c r="AQ24" s="2">
        <f t="shared" si="47"/>
        <v>12182.855494043526</v>
      </c>
    </row>
    <row r="25" spans="2:71">
      <c r="B25" t="s">
        <v>57</v>
      </c>
      <c r="C25" s="2">
        <v>-83</v>
      </c>
      <c r="D25" s="2">
        <v>-6</v>
      </c>
      <c r="E25" s="2">
        <v>-8</v>
      </c>
      <c r="F25" s="2">
        <v>-10</v>
      </c>
      <c r="G25" s="2">
        <v>-10</v>
      </c>
      <c r="H25" s="2">
        <v>-8</v>
      </c>
      <c r="I25" s="2">
        <v>-10</v>
      </c>
      <c r="J25" s="2">
        <v>-6</v>
      </c>
      <c r="K25" s="2">
        <v>-13</v>
      </c>
      <c r="L25" s="2">
        <v>-10</v>
      </c>
      <c r="M25" s="2">
        <v>-14</v>
      </c>
      <c r="N25" s="2">
        <v>-11</v>
      </c>
      <c r="O25" s="2">
        <v>0</v>
      </c>
      <c r="P25" s="2">
        <v>0</v>
      </c>
      <c r="Q25" s="2">
        <v>0</v>
      </c>
      <c r="R25" s="2">
        <v>0</v>
      </c>
      <c r="U25" s="12">
        <v>0</v>
      </c>
      <c r="V25" s="12">
        <v>0</v>
      </c>
      <c r="W25" s="12">
        <v>0</v>
      </c>
      <c r="X25" s="12">
        <v>-10</v>
      </c>
      <c r="Y25" s="12">
        <v>0</v>
      </c>
      <c r="Z25" s="12">
        <v>0</v>
      </c>
      <c r="AA25" s="12">
        <v>-60</v>
      </c>
      <c r="AB25" s="12">
        <v>0</v>
      </c>
      <c r="AC25" s="12">
        <v>-12</v>
      </c>
      <c r="AD25" s="12">
        <f>SUM(C25:F25)</f>
        <v>-107</v>
      </c>
      <c r="AE25" s="12">
        <f>SUM(G25:J25)</f>
        <v>-34</v>
      </c>
      <c r="AF25" s="12">
        <f>SUM(K25:N25)</f>
        <v>-48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</row>
    <row r="26" spans="2:71">
      <c r="B26" t="s">
        <v>58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186</v>
      </c>
      <c r="O26" s="2">
        <v>0</v>
      </c>
      <c r="P26" s="2">
        <v>0</v>
      </c>
      <c r="Q26" s="2">
        <v>0</v>
      </c>
      <c r="R26" s="2">
        <v>0</v>
      </c>
      <c r="U26" s="12">
        <f>30-48</f>
        <v>-18</v>
      </c>
      <c r="V26" s="12">
        <v>71</v>
      </c>
      <c r="W26" s="12">
        <v>129</v>
      </c>
      <c r="X26" s="12">
        <v>-88</v>
      </c>
      <c r="Y26" s="12">
        <v>-52</v>
      </c>
      <c r="Z26" s="12">
        <v>0</v>
      </c>
      <c r="AA26" s="12">
        <v>0</v>
      </c>
      <c r="AB26" s="12">
        <f>SUM(A26:D26)</f>
        <v>0</v>
      </c>
      <c r="AC26" s="12">
        <f>SUM(B26:E26)</f>
        <v>0</v>
      </c>
      <c r="AD26" s="12">
        <f>SUM(C26:F26)</f>
        <v>0</v>
      </c>
      <c r="AE26" s="12">
        <f>SUM(G26:J26)</f>
        <v>0</v>
      </c>
      <c r="AF26" s="12">
        <f>SUM(K26:N26)</f>
        <v>186</v>
      </c>
      <c r="AG26" s="2">
        <f>SUM(O26:R26)</f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</row>
    <row r="27" spans="2:71">
      <c r="B27" t="s">
        <v>59</v>
      </c>
      <c r="C27" s="2">
        <f>SUM(C23:C26)</f>
        <v>1574</v>
      </c>
      <c r="D27" s="2">
        <f>SUM(D23:D26)</f>
        <v>1886</v>
      </c>
      <c r="E27" s="2">
        <f>SUM(E23:E26)</f>
        <v>1828</v>
      </c>
      <c r="F27" s="2">
        <f>SUM(F23:F26)</f>
        <v>2073</v>
      </c>
      <c r="G27" s="2">
        <f>SUM(G23:G26)</f>
        <v>1986</v>
      </c>
      <c r="H27" s="2">
        <f>SUM(H23:H26)</f>
        <v>1982</v>
      </c>
      <c r="I27" s="2">
        <f>SUM(I23:I26)</f>
        <v>2073</v>
      </c>
      <c r="J27" s="2">
        <f>SUM(J23:J26)</f>
        <v>2149</v>
      </c>
      <c r="K27" s="2">
        <f>SUM(K23:K26)</f>
        <v>2132</v>
      </c>
      <c r="L27" s="2">
        <f>SUM(L23:L26)</f>
        <v>2223</v>
      </c>
      <c r="M27" s="2">
        <f>SUM(M23:M26)</f>
        <v>2343</v>
      </c>
      <c r="N27" s="2">
        <f>SUM(N23:N26)</f>
        <v>2679</v>
      </c>
      <c r="O27" s="2">
        <f t="shared" ref="O27:R27" si="48">SUM(O23:O26)</f>
        <v>2483.5</v>
      </c>
      <c r="P27" s="2">
        <f t="shared" si="48"/>
        <v>2586.3000000000002</v>
      </c>
      <c r="Q27" s="2">
        <f t="shared" si="48"/>
        <v>2736.9</v>
      </c>
      <c r="R27" s="2">
        <f t="shared" si="48"/>
        <v>2912.8</v>
      </c>
      <c r="U27" s="2">
        <f>SUM(U23:U26)</f>
        <v>1857</v>
      </c>
      <c r="V27" s="2">
        <f>SUM(V23:V26)</f>
        <v>1747</v>
      </c>
      <c r="W27" s="2">
        <f>SUM(W23:W26)</f>
        <v>1558</v>
      </c>
      <c r="X27" s="2">
        <f>SUM(X23:X26)</f>
        <v>1376</v>
      </c>
      <c r="Y27" s="2">
        <f>SUM(Y23:Y26)</f>
        <v>1660</v>
      </c>
      <c r="Z27" s="2">
        <f>SUM(Z23:Z26)</f>
        <v>1996</v>
      </c>
      <c r="AA27" s="2">
        <f>SUM(AA23:AA26)</f>
        <v>2237</v>
      </c>
      <c r="AB27" s="2">
        <f>SUM(AB23:AB26)</f>
        <v>2978</v>
      </c>
      <c r="AC27" s="2">
        <f>SUM(AC23:AC26)</f>
        <v>4281</v>
      </c>
      <c r="AD27" s="2">
        <f>SUM(AD23:AD26)</f>
        <v>7361</v>
      </c>
      <c r="AE27" s="2">
        <f>SUM(AE23:AE26)</f>
        <v>8190</v>
      </c>
      <c r="AF27" s="2">
        <f>SUM(AF23:AF26)</f>
        <v>9377</v>
      </c>
      <c r="AG27" s="2">
        <f>SUM(AG23:AG26)</f>
        <v>11042.3</v>
      </c>
      <c r="AH27" s="2">
        <f t="shared" ref="AH27:AQ27" si="49">SUM(AH23:AH26)</f>
        <v>12879.54</v>
      </c>
      <c r="AI27" s="2">
        <f t="shared" si="49"/>
        <v>14601.642</v>
      </c>
      <c r="AJ27" s="2">
        <f t="shared" si="49"/>
        <v>16582.783800000001</v>
      </c>
      <c r="AK27" s="2">
        <f t="shared" si="49"/>
        <v>18241.062180000001</v>
      </c>
      <c r="AL27" s="2">
        <f t="shared" si="49"/>
        <v>20065.168398000005</v>
      </c>
      <c r="AM27" s="2">
        <f t="shared" si="49"/>
        <v>22071.685237800004</v>
      </c>
      <c r="AN27" s="2">
        <f t="shared" si="49"/>
        <v>24278.853761580009</v>
      </c>
      <c r="AO27" s="2">
        <f t="shared" si="49"/>
        <v>26706.739137738012</v>
      </c>
      <c r="AP27" s="2">
        <f t="shared" si="49"/>
        <v>29377.413051511816</v>
      </c>
      <c r="AQ27" s="2">
        <f t="shared" si="49"/>
        <v>32315.154356662999</v>
      </c>
    </row>
    <row r="28" spans="2:71">
      <c r="B28" t="s">
        <v>60</v>
      </c>
      <c r="C28" s="2">
        <f t="shared" ref="C28:F28" si="50">C22-C27</f>
        <v>1430</v>
      </c>
      <c r="D28" s="2">
        <f t="shared" si="50"/>
        <v>1549</v>
      </c>
      <c r="E28" s="2">
        <f t="shared" si="50"/>
        <v>938</v>
      </c>
      <c r="F28" s="2">
        <f t="shared" si="50"/>
        <v>884</v>
      </c>
      <c r="G28" s="2">
        <f t="shared" ref="G28" si="51">G22-G27</f>
        <v>678</v>
      </c>
      <c r="H28" s="2">
        <f>H22-H27</f>
        <v>673</v>
      </c>
      <c r="I28" s="2">
        <f t="shared" ref="I28:M28" si="52">I22-I27</f>
        <v>884</v>
      </c>
      <c r="J28" s="2">
        <f t="shared" si="52"/>
        <v>977</v>
      </c>
      <c r="K28" s="2">
        <f t="shared" si="52"/>
        <v>658</v>
      </c>
      <c r="L28" s="2">
        <f t="shared" si="52"/>
        <v>872</v>
      </c>
      <c r="M28" s="2">
        <f t="shared" si="52"/>
        <v>1309</v>
      </c>
      <c r="N28" s="2">
        <f>N22-N27</f>
        <v>1455</v>
      </c>
      <c r="O28" s="2">
        <f t="shared" ref="O28:R28" si="53">O22-O27</f>
        <v>1350.5000000000005</v>
      </c>
      <c r="P28" s="2">
        <f t="shared" si="53"/>
        <v>1509.87</v>
      </c>
      <c r="Q28" s="2">
        <f t="shared" si="53"/>
        <v>2234.1510000000012</v>
      </c>
      <c r="R28" s="2">
        <f t="shared" si="53"/>
        <v>2669.8820000000005</v>
      </c>
      <c r="U28" s="2">
        <f>U22-U27</f>
        <v>121</v>
      </c>
      <c r="V28" s="2">
        <f>V22-V27</f>
        <v>92</v>
      </c>
      <c r="W28" s="2">
        <f>W22-W27</f>
        <v>-478</v>
      </c>
      <c r="X28" s="2">
        <f>X22-X27</f>
        <v>-373</v>
      </c>
      <c r="Y28" s="2">
        <f>Y22-Y27</f>
        <v>127</v>
      </c>
      <c r="Z28" s="2">
        <f>Z22-Z27</f>
        <v>451</v>
      </c>
      <c r="AA28" s="2">
        <f>AA22-AA27</f>
        <v>631</v>
      </c>
      <c r="AB28" s="2">
        <f>AB22-AB27</f>
        <v>1369</v>
      </c>
      <c r="AC28" s="2">
        <f>AC22-AC27</f>
        <v>3648</v>
      </c>
      <c r="AD28" s="2">
        <f>AD22-AD27</f>
        <v>4801</v>
      </c>
      <c r="AE28" s="2">
        <f>AE22-AE27</f>
        <v>3212</v>
      </c>
      <c r="AF28" s="2">
        <f>AF22-AF27</f>
        <v>4294</v>
      </c>
      <c r="AG28" s="2">
        <f>AG22-AG27</f>
        <v>7441.6030000000064</v>
      </c>
      <c r="AH28" s="2">
        <f t="shared" ref="AH28:AQ28" si="54">AH22-AH27</f>
        <v>11913.645833999999</v>
      </c>
      <c r="AI28" s="2">
        <f t="shared" si="54"/>
        <v>14380.7506608</v>
      </c>
      <c r="AJ28" s="2">
        <f t="shared" si="54"/>
        <v>17503.600086959999</v>
      </c>
      <c r="AK28" s="2">
        <f t="shared" si="54"/>
        <v>18422.822740008</v>
      </c>
      <c r="AL28" s="2">
        <f t="shared" si="54"/>
        <v>18625.373859638396</v>
      </c>
      <c r="AM28" s="2">
        <f t="shared" si="54"/>
        <v>18822.285005299316</v>
      </c>
      <c r="AN28" s="2">
        <f t="shared" si="54"/>
        <v>19006.088278118586</v>
      </c>
      <c r="AO28" s="2">
        <f t="shared" si="54"/>
        <v>19168.784708980907</v>
      </c>
      <c r="AP28" s="2">
        <f t="shared" si="54"/>
        <v>19301.745846013975</v>
      </c>
      <c r="AQ28" s="2">
        <f t="shared" si="54"/>
        <v>19395.608844695889</v>
      </c>
    </row>
    <row r="29" spans="2:71">
      <c r="B29" t="s">
        <v>61</v>
      </c>
      <c r="C29" s="2">
        <f>-13-42</f>
        <v>-55</v>
      </c>
      <c r="D29" s="2">
        <f>-25-4</f>
        <v>-29</v>
      </c>
      <c r="E29" s="2">
        <f>-31+22</f>
        <v>-9</v>
      </c>
      <c r="F29" s="2">
        <f>-26+59</f>
        <v>33</v>
      </c>
      <c r="G29" s="2">
        <f>-25+43</f>
        <v>18</v>
      </c>
      <c r="H29" s="2">
        <f>-28+46</f>
        <v>18</v>
      </c>
      <c r="I29" s="2">
        <f>-26+59</f>
        <v>33</v>
      </c>
      <c r="J29" s="2">
        <f>-26+59</f>
        <v>33</v>
      </c>
      <c r="K29" s="2">
        <f>-25+53</f>
        <v>28</v>
      </c>
      <c r="L29" s="2">
        <f>-25+55</f>
        <v>30</v>
      </c>
      <c r="M29" s="2">
        <f>-23+36</f>
        <v>13</v>
      </c>
      <c r="N29" s="2">
        <f>-19+37</f>
        <v>18</v>
      </c>
      <c r="O29" s="2">
        <f>$N$45*$AT$38/4</f>
        <v>25.5825</v>
      </c>
      <c r="P29" s="2">
        <f t="shared" ref="P29:R29" si="55">$N$45*$AT$38/4</f>
        <v>25.5825</v>
      </c>
      <c r="Q29" s="2">
        <f t="shared" si="55"/>
        <v>25.5825</v>
      </c>
      <c r="R29" s="2">
        <f t="shared" si="55"/>
        <v>25.5825</v>
      </c>
      <c r="U29" s="12">
        <v>-177</v>
      </c>
      <c r="V29" s="12">
        <f>-177-66</f>
        <v>-243</v>
      </c>
      <c r="W29" s="12">
        <f>-160-5</f>
        <v>-165</v>
      </c>
      <c r="X29" s="12">
        <f>-156+80</f>
        <v>-76</v>
      </c>
      <c r="Y29" s="12">
        <f>-126-9</f>
        <v>-135</v>
      </c>
      <c r="Z29" s="12">
        <v>-121</v>
      </c>
      <c r="AA29" s="12">
        <f>-94-165</f>
        <v>-259</v>
      </c>
      <c r="AB29" s="12">
        <f>-47-47</f>
        <v>-94</v>
      </c>
      <c r="AC29" s="12">
        <f>-34+55</f>
        <v>21</v>
      </c>
      <c r="AD29" s="12">
        <f>SUM(C29:F29)</f>
        <v>-60</v>
      </c>
      <c r="AE29" s="12">
        <f>SUM(G29:J29)</f>
        <v>102</v>
      </c>
      <c r="AF29" s="12">
        <f>SUM(K29:N29)</f>
        <v>89</v>
      </c>
      <c r="AG29" s="2">
        <f>AF45*$AT$38</f>
        <v>102.33</v>
      </c>
      <c r="AH29" s="2">
        <f t="shared" ref="AH29:AQ29" si="56">AG45*$AT$38</f>
        <v>282.04759200000018</v>
      </c>
      <c r="AI29" s="2">
        <f t="shared" si="56"/>
        <v>575.34423422400016</v>
      </c>
      <c r="AJ29" s="2">
        <f t="shared" si="56"/>
        <v>934.89051170457606</v>
      </c>
      <c r="AK29" s="2">
        <f t="shared" si="56"/>
        <v>1378.0142860725259</v>
      </c>
      <c r="AL29" s="2">
        <f t="shared" si="56"/>
        <v>1853.8343746984585</v>
      </c>
      <c r="AM29" s="2">
        <f t="shared" si="56"/>
        <v>2345.9353723225431</v>
      </c>
      <c r="AN29" s="2">
        <f t="shared" si="56"/>
        <v>2854.5726613854677</v>
      </c>
      <c r="AO29" s="2">
        <f t="shared" si="56"/>
        <v>3379.8285239335646</v>
      </c>
      <c r="AP29" s="2">
        <f t="shared" si="56"/>
        <v>3921.595241523512</v>
      </c>
      <c r="AQ29" s="2">
        <f t="shared" si="56"/>
        <v>4479.555427624412</v>
      </c>
    </row>
    <row r="30" spans="2:71">
      <c r="B30" t="s">
        <v>62</v>
      </c>
      <c r="C30" s="2">
        <f>+C28+C29</f>
        <v>1375</v>
      </c>
      <c r="D30" s="2">
        <f>+D28+D29</f>
        <v>1520</v>
      </c>
      <c r="E30" s="2">
        <f>+E28+E29</f>
        <v>929</v>
      </c>
      <c r="F30" s="2">
        <f>+F28+F29</f>
        <v>917</v>
      </c>
      <c r="G30" s="2">
        <f>+G28+G29</f>
        <v>696</v>
      </c>
      <c r="H30" s="2">
        <f>+H28+H29</f>
        <v>691</v>
      </c>
      <c r="I30" s="2">
        <f>+I28+I29</f>
        <v>917</v>
      </c>
      <c r="J30" s="2">
        <f>+J28+J29</f>
        <v>1010</v>
      </c>
      <c r="K30" s="2">
        <f>+K28+K29</f>
        <v>686</v>
      </c>
      <c r="L30" s="2">
        <f>+L28+L29</f>
        <v>902</v>
      </c>
      <c r="M30" s="2">
        <f>+M28+M29</f>
        <v>1322</v>
      </c>
      <c r="N30" s="2">
        <f>+N28+N29</f>
        <v>1473</v>
      </c>
      <c r="O30" s="2">
        <f t="shared" ref="O30:R30" si="57">+O28+O29</f>
        <v>1376.0825000000004</v>
      </c>
      <c r="P30" s="2">
        <f t="shared" si="57"/>
        <v>1535.4524999999999</v>
      </c>
      <c r="Q30" s="2">
        <f t="shared" si="57"/>
        <v>2259.7335000000012</v>
      </c>
      <c r="R30" s="2">
        <f t="shared" si="57"/>
        <v>2695.4645000000005</v>
      </c>
      <c r="U30" s="2">
        <f>+U28+U29</f>
        <v>-56</v>
      </c>
      <c r="V30" s="2">
        <f>+V28+V29</f>
        <v>-151</v>
      </c>
      <c r="W30" s="2">
        <f>+W28+W29</f>
        <v>-643</v>
      </c>
      <c r="X30" s="2">
        <f>+X28+X29</f>
        <v>-449</v>
      </c>
      <c r="Y30" s="2">
        <f>+Y28+Y29</f>
        <v>-8</v>
      </c>
      <c r="Z30" s="2">
        <f>+Z28+Z29</f>
        <v>330</v>
      </c>
      <c r="AA30" s="2">
        <f>+AA28+AA29</f>
        <v>372</v>
      </c>
      <c r="AB30" s="2">
        <f>+AB28+AB29</f>
        <v>1275</v>
      </c>
      <c r="AC30" s="2">
        <f>+AC28+AC29</f>
        <v>3669</v>
      </c>
      <c r="AD30" s="2">
        <f>+AD28+AD29</f>
        <v>4741</v>
      </c>
      <c r="AE30" s="2">
        <f>+AE28+AE29</f>
        <v>3314</v>
      </c>
      <c r="AF30" s="2">
        <f>+AF28+AF29</f>
        <v>4383</v>
      </c>
      <c r="AG30" s="2">
        <f>+AG28+AG29</f>
        <v>7543.9330000000064</v>
      </c>
      <c r="AH30" s="2">
        <f t="shared" ref="AH30:AQ30" si="58">+AH28+AH29</f>
        <v>12195.693426</v>
      </c>
      <c r="AI30" s="2">
        <f t="shared" si="58"/>
        <v>14956.094895024</v>
      </c>
      <c r="AJ30" s="2">
        <f t="shared" si="58"/>
        <v>18438.490598664575</v>
      </c>
      <c r="AK30" s="2">
        <f t="shared" si="58"/>
        <v>19800.837026080524</v>
      </c>
      <c r="AL30" s="2">
        <f t="shared" si="58"/>
        <v>20479.208234336853</v>
      </c>
      <c r="AM30" s="2">
        <f t="shared" si="58"/>
        <v>21168.220377621859</v>
      </c>
      <c r="AN30" s="2">
        <f t="shared" si="58"/>
        <v>21860.660939504054</v>
      </c>
      <c r="AO30" s="2">
        <f t="shared" si="58"/>
        <v>22548.613232914471</v>
      </c>
      <c r="AP30" s="2">
        <f t="shared" si="58"/>
        <v>23223.341087537487</v>
      </c>
      <c r="AQ30" s="2">
        <f t="shared" si="58"/>
        <v>23875.1642723203</v>
      </c>
    </row>
    <row r="31" spans="2:71">
      <c r="B31" t="s">
        <v>63</v>
      </c>
      <c r="C31" s="2">
        <v>113</v>
      </c>
      <c r="D31" s="2">
        <v>54</v>
      </c>
      <c r="E31" s="2">
        <v>-135</v>
      </c>
      <c r="F31" s="2">
        <v>-39</v>
      </c>
      <c r="G31" s="2">
        <v>13</v>
      </c>
      <c r="H31" s="2">
        <v>-23</v>
      </c>
      <c r="I31" s="2">
        <v>-39</v>
      </c>
      <c r="J31" s="2">
        <v>-296</v>
      </c>
      <c r="K31" s="2">
        <v>-52</v>
      </c>
      <c r="L31" s="2">
        <v>41</v>
      </c>
      <c r="M31" s="2">
        <v>-27</v>
      </c>
      <c r="N31" s="2">
        <v>419</v>
      </c>
      <c r="O31" s="2">
        <f>O30*0.2</f>
        <v>275.21650000000011</v>
      </c>
      <c r="P31" s="2">
        <f t="shared" ref="P31:R31" si="59">P30*0.2</f>
        <v>307.09050000000002</v>
      </c>
      <c r="Q31" s="2">
        <f t="shared" si="59"/>
        <v>451.94670000000025</v>
      </c>
      <c r="R31" s="2">
        <f t="shared" si="59"/>
        <v>539.0929000000001</v>
      </c>
      <c r="U31" s="12">
        <v>9</v>
      </c>
      <c r="V31" s="12">
        <v>5</v>
      </c>
      <c r="W31" s="12">
        <v>14</v>
      </c>
      <c r="X31" s="12">
        <v>39</v>
      </c>
      <c r="Y31" s="12">
        <v>18</v>
      </c>
      <c r="Z31" s="12">
        <v>-9</v>
      </c>
      <c r="AA31" s="12">
        <v>31</v>
      </c>
      <c r="AB31" s="12">
        <v>-1210</v>
      </c>
      <c r="AC31" s="12">
        <v>513</v>
      </c>
      <c r="AD31" s="12">
        <f>SUM(C31:F31)</f>
        <v>-7</v>
      </c>
      <c r="AE31" s="12">
        <f>SUM(G31:J31)</f>
        <v>-345</v>
      </c>
      <c r="AF31" s="12">
        <f>SUM(K31:N31)</f>
        <v>381</v>
      </c>
      <c r="AG31" s="2">
        <f>SUM(O31:R31)</f>
        <v>1573.3466000000005</v>
      </c>
      <c r="AH31" s="2">
        <f>AH30*0.2</f>
        <v>2439.1386852000001</v>
      </c>
      <c r="AI31" s="2">
        <f t="shared" ref="AI31:AQ31" si="60">AI30*0.2</f>
        <v>2991.2189790048001</v>
      </c>
      <c r="AJ31" s="2">
        <f t="shared" si="60"/>
        <v>3687.6981197329151</v>
      </c>
      <c r="AK31" s="2">
        <f t="shared" si="60"/>
        <v>3960.1674052161052</v>
      </c>
      <c r="AL31" s="2">
        <f t="shared" si="60"/>
        <v>4095.8416468673709</v>
      </c>
      <c r="AM31" s="2">
        <f t="shared" si="60"/>
        <v>4233.6440755243721</v>
      </c>
      <c r="AN31" s="2">
        <f t="shared" si="60"/>
        <v>4372.132187900811</v>
      </c>
      <c r="AO31" s="2">
        <f t="shared" si="60"/>
        <v>4509.7226465828944</v>
      </c>
      <c r="AP31" s="2">
        <f t="shared" si="60"/>
        <v>4644.6682175074975</v>
      </c>
      <c r="AQ31" s="2">
        <f t="shared" si="60"/>
        <v>4775.0328544640606</v>
      </c>
    </row>
    <row r="32" spans="2:71">
      <c r="B32" t="s">
        <v>64</v>
      </c>
      <c r="C32" s="2">
        <v>3</v>
      </c>
      <c r="D32" s="2">
        <v>4</v>
      </c>
      <c r="E32" s="2">
        <v>4</v>
      </c>
      <c r="F32" s="2">
        <v>3</v>
      </c>
      <c r="G32" s="2">
        <v>1</v>
      </c>
      <c r="H32" s="2">
        <v>6</v>
      </c>
      <c r="I32" s="2">
        <v>3</v>
      </c>
      <c r="J32" s="2">
        <v>6</v>
      </c>
      <c r="K32" s="2">
        <v>7</v>
      </c>
      <c r="L32" s="2">
        <v>7</v>
      </c>
      <c r="M32" s="2">
        <v>7</v>
      </c>
      <c r="N32" s="2">
        <v>12</v>
      </c>
      <c r="O32" s="2">
        <v>5</v>
      </c>
      <c r="P32" s="2">
        <v>5</v>
      </c>
      <c r="Q32" s="2">
        <v>5</v>
      </c>
      <c r="R32" s="2">
        <v>5</v>
      </c>
      <c r="U32" s="12">
        <v>0</v>
      </c>
      <c r="V32" s="12">
        <v>0</v>
      </c>
      <c r="W32" s="12">
        <v>0</v>
      </c>
      <c r="X32" s="12">
        <v>-10</v>
      </c>
      <c r="Y32" s="12">
        <v>-7</v>
      </c>
      <c r="Z32" s="12">
        <v>-2</v>
      </c>
      <c r="AA32" s="12">
        <v>0</v>
      </c>
      <c r="AB32" s="12">
        <v>5</v>
      </c>
      <c r="AC32" s="12">
        <v>6</v>
      </c>
      <c r="AD32" s="12">
        <f>SUM(C32:F32)</f>
        <v>14</v>
      </c>
      <c r="AE32" s="12">
        <f>SUM(G32:J32)</f>
        <v>16</v>
      </c>
      <c r="AF32" s="12">
        <f>SUM(K32:N32)</f>
        <v>33</v>
      </c>
      <c r="AG32" s="2">
        <f>SUM(O32:R32)</f>
        <v>20</v>
      </c>
      <c r="AH32" s="2">
        <v>20</v>
      </c>
      <c r="AI32" s="2">
        <v>20</v>
      </c>
      <c r="AJ32" s="2">
        <v>20</v>
      </c>
      <c r="AK32" s="2">
        <v>20</v>
      </c>
      <c r="AL32" s="2">
        <v>20</v>
      </c>
      <c r="AM32" s="2">
        <v>20</v>
      </c>
      <c r="AN32" s="2">
        <v>20</v>
      </c>
      <c r="AO32" s="2">
        <v>20</v>
      </c>
      <c r="AP32" s="2">
        <v>20</v>
      </c>
      <c r="AQ32" s="2">
        <v>20</v>
      </c>
    </row>
    <row r="33" spans="2:112">
      <c r="B33" t="s">
        <v>65</v>
      </c>
      <c r="C33" s="2">
        <f>+C30-C31+C32</f>
        <v>1265</v>
      </c>
      <c r="D33" s="2">
        <f>+D30-D31+D32</f>
        <v>1470</v>
      </c>
      <c r="E33" s="2">
        <f>+E30-E31+E32</f>
        <v>1068</v>
      </c>
      <c r="F33" s="2">
        <f>+F30-F31+F32</f>
        <v>959</v>
      </c>
      <c r="G33" s="2">
        <f>+G30-G31+G32</f>
        <v>684</v>
      </c>
      <c r="H33" s="2">
        <f>+H30-H31+H32</f>
        <v>720</v>
      </c>
      <c r="I33" s="2">
        <f>+I30-I31+I32</f>
        <v>959</v>
      </c>
      <c r="J33" s="2">
        <f>+J30-J31+J32</f>
        <v>1312</v>
      </c>
      <c r="K33" s="2">
        <f>+K30-K31+K32</f>
        <v>745</v>
      </c>
      <c r="L33" s="2">
        <f>+L30-L31+L32</f>
        <v>868</v>
      </c>
      <c r="M33" s="2">
        <f>+M30-M31+M32</f>
        <v>1356</v>
      </c>
      <c r="N33" s="2">
        <f>+N30-N31+N32</f>
        <v>1066</v>
      </c>
      <c r="O33" s="2">
        <f t="shared" ref="O33:R33" si="61">+O30-O31+O32</f>
        <v>1105.8660000000004</v>
      </c>
      <c r="P33" s="2">
        <f t="shared" si="61"/>
        <v>1233.3619999999999</v>
      </c>
      <c r="Q33" s="2">
        <f t="shared" si="61"/>
        <v>1812.786800000001</v>
      </c>
      <c r="R33" s="2">
        <f t="shared" si="61"/>
        <v>2161.3716000000004</v>
      </c>
      <c r="U33" s="2">
        <f>+U30-U31+U32</f>
        <v>-65</v>
      </c>
      <c r="V33" s="2">
        <f>+V30-V31+V32</f>
        <v>-156</v>
      </c>
      <c r="W33" s="2">
        <f>+W30-W31+W32</f>
        <v>-657</v>
      </c>
      <c r="X33" s="2">
        <f>+X30-X31+X32</f>
        <v>-498</v>
      </c>
      <c r="Y33" s="2">
        <f>+Y30-Y31+Y32</f>
        <v>-33</v>
      </c>
      <c r="Z33" s="2">
        <f>+Z30-Z31+Z32</f>
        <v>337</v>
      </c>
      <c r="AA33" s="2">
        <f>+AA30-AA31+AA32</f>
        <v>341</v>
      </c>
      <c r="AB33" s="2">
        <f>+AB30-AB31+AB32</f>
        <v>2490</v>
      </c>
      <c r="AC33" s="2">
        <f>+AC30-AC31+AC32</f>
        <v>3162</v>
      </c>
      <c r="AD33" s="2">
        <f>+AD30-AD31+AD32</f>
        <v>4762</v>
      </c>
      <c r="AE33" s="2">
        <f>+AE30-AE31+AE32</f>
        <v>3675</v>
      </c>
      <c r="AF33" s="2">
        <f>+AF30-AF31+AF32</f>
        <v>4035</v>
      </c>
      <c r="AG33" s="2">
        <f>+AG30-AG31+AG32</f>
        <v>5990.5864000000056</v>
      </c>
      <c r="AH33" s="2">
        <f t="shared" ref="AH33:AQ33" si="62">+AH30-AH31+AH32</f>
        <v>9776.5547408000002</v>
      </c>
      <c r="AI33" s="2">
        <f t="shared" si="62"/>
        <v>11984.8759160192</v>
      </c>
      <c r="AJ33" s="2">
        <f t="shared" si="62"/>
        <v>14770.79247893166</v>
      </c>
      <c r="AK33" s="2">
        <f t="shared" si="62"/>
        <v>15860.669620864419</v>
      </c>
      <c r="AL33" s="2">
        <f t="shared" si="62"/>
        <v>16403.366587469482</v>
      </c>
      <c r="AM33" s="2">
        <f t="shared" si="62"/>
        <v>16954.576302097488</v>
      </c>
      <c r="AN33" s="2">
        <f t="shared" si="62"/>
        <v>17508.528751603244</v>
      </c>
      <c r="AO33" s="2">
        <f t="shared" si="62"/>
        <v>18058.890586331578</v>
      </c>
      <c r="AP33" s="2">
        <f t="shared" si="62"/>
        <v>18598.67287002999</v>
      </c>
      <c r="AQ33" s="2">
        <f t="shared" si="62"/>
        <v>19120.131417856239</v>
      </c>
      <c r="AR33" s="2">
        <f>AQ33*(1+$AT$36)</f>
        <v>18546.527475320552</v>
      </c>
      <c r="AS33" s="2">
        <f t="shared" ref="AS33:DD33" si="63">AR33*(1+$AT$36)</f>
        <v>17990.131651060936</v>
      </c>
      <c r="AT33" s="2">
        <f t="shared" si="63"/>
        <v>17450.427701529108</v>
      </c>
      <c r="AU33" s="2">
        <f t="shared" si="63"/>
        <v>16926.914870483233</v>
      </c>
      <c r="AV33" s="2">
        <f t="shared" si="63"/>
        <v>16419.107424368736</v>
      </c>
      <c r="AW33" s="2">
        <f t="shared" si="63"/>
        <v>15926.534201637674</v>
      </c>
      <c r="AX33" s="2">
        <f t="shared" si="63"/>
        <v>15448.738175588544</v>
      </c>
      <c r="AY33" s="2">
        <f t="shared" si="63"/>
        <v>14985.276030320887</v>
      </c>
      <c r="AZ33" s="2">
        <f t="shared" si="63"/>
        <v>14535.71774941126</v>
      </c>
      <c r="BA33" s="2">
        <f t="shared" si="63"/>
        <v>14099.646216928923</v>
      </c>
      <c r="BB33" s="2">
        <f t="shared" si="63"/>
        <v>13676.656830421054</v>
      </c>
      <c r="BC33" s="2">
        <f t="shared" si="63"/>
        <v>13266.357125508423</v>
      </c>
      <c r="BD33" s="2">
        <f t="shared" si="63"/>
        <v>12868.366411743169</v>
      </c>
      <c r="BE33" s="2">
        <f t="shared" si="63"/>
        <v>12482.315419390874</v>
      </c>
      <c r="BF33" s="2">
        <f t="shared" si="63"/>
        <v>12107.845956809148</v>
      </c>
      <c r="BG33" s="2">
        <f t="shared" si="63"/>
        <v>11744.610578104874</v>
      </c>
      <c r="BH33" s="2">
        <f t="shared" si="63"/>
        <v>11392.272260761727</v>
      </c>
      <c r="BI33" s="2">
        <f t="shared" si="63"/>
        <v>11050.504092938874</v>
      </c>
      <c r="BJ33" s="2">
        <f t="shared" si="63"/>
        <v>10718.988970150707</v>
      </c>
      <c r="BK33" s="2">
        <f t="shared" si="63"/>
        <v>10397.419301046186</v>
      </c>
      <c r="BL33" s="2">
        <f t="shared" si="63"/>
        <v>10085.496722014799</v>
      </c>
      <c r="BM33" s="2">
        <f t="shared" si="63"/>
        <v>9782.9318203543553</v>
      </c>
      <c r="BN33" s="2">
        <f t="shared" si="63"/>
        <v>9489.443865743724</v>
      </c>
      <c r="BO33" s="2">
        <f t="shared" si="63"/>
        <v>9204.7605497714121</v>
      </c>
      <c r="BP33" s="2">
        <f t="shared" si="63"/>
        <v>8928.61773327827</v>
      </c>
      <c r="BQ33" s="2">
        <f t="shared" si="63"/>
        <v>8660.7592012799214</v>
      </c>
      <c r="BR33" s="2">
        <f t="shared" si="63"/>
        <v>8400.9364252415235</v>
      </c>
      <c r="BS33" s="2">
        <f t="shared" si="63"/>
        <v>8148.9083324842777</v>
      </c>
      <c r="BT33" s="2">
        <f t="shared" si="63"/>
        <v>7904.4410825097493</v>
      </c>
      <c r="BU33" s="2">
        <f t="shared" si="63"/>
        <v>7667.3078500344564</v>
      </c>
      <c r="BV33" s="2">
        <f t="shared" si="63"/>
        <v>7437.2886145334223</v>
      </c>
      <c r="BW33" s="2">
        <f t="shared" si="63"/>
        <v>7214.1699560974193</v>
      </c>
      <c r="BX33" s="2">
        <f t="shared" si="63"/>
        <v>6997.7448574144964</v>
      </c>
      <c r="BY33" s="2">
        <f t="shared" si="63"/>
        <v>6787.812511692061</v>
      </c>
      <c r="BZ33" s="2">
        <f t="shared" si="63"/>
        <v>6584.1781363412993</v>
      </c>
      <c r="CA33" s="2">
        <f t="shared" si="63"/>
        <v>6386.6527922510604</v>
      </c>
      <c r="CB33" s="2">
        <f t="shared" si="63"/>
        <v>6195.0532084835286</v>
      </c>
      <c r="CC33" s="2">
        <f t="shared" si="63"/>
        <v>6009.2016122290224</v>
      </c>
      <c r="CD33" s="2">
        <f t="shared" si="63"/>
        <v>5828.9255638621516</v>
      </c>
      <c r="CE33" s="2">
        <f t="shared" si="63"/>
        <v>5654.0577969462865</v>
      </c>
      <c r="CF33" s="2">
        <f t="shared" si="63"/>
        <v>5484.4360630378978</v>
      </c>
      <c r="CG33" s="2">
        <f t="shared" si="63"/>
        <v>5319.9029811467608</v>
      </c>
      <c r="CH33" s="2">
        <f t="shared" si="63"/>
        <v>5160.3058917123581</v>
      </c>
      <c r="CI33" s="2">
        <f t="shared" si="63"/>
        <v>5005.4967149609874</v>
      </c>
      <c r="CJ33" s="2">
        <f t="shared" si="63"/>
        <v>4855.3318135121581</v>
      </c>
      <c r="CK33" s="2">
        <f t="shared" si="63"/>
        <v>4709.6718591067929</v>
      </c>
      <c r="CL33" s="2">
        <f t="shared" si="63"/>
        <v>4568.381703333589</v>
      </c>
      <c r="CM33" s="2">
        <f t="shared" si="63"/>
        <v>4431.3302522335816</v>
      </c>
      <c r="CN33" s="2">
        <f t="shared" si="63"/>
        <v>4298.3903446665745</v>
      </c>
      <c r="CO33" s="2">
        <f t="shared" si="63"/>
        <v>4169.4386343265769</v>
      </c>
      <c r="CP33" s="2">
        <f t="shared" si="63"/>
        <v>4044.3554752967793</v>
      </c>
      <c r="CQ33" s="2">
        <f t="shared" si="63"/>
        <v>3923.0248110378757</v>
      </c>
      <c r="CR33" s="2">
        <f t="shared" si="63"/>
        <v>3805.3340667067391</v>
      </c>
      <c r="CS33" s="2">
        <f t="shared" si="63"/>
        <v>3691.1740447055367</v>
      </c>
      <c r="CT33" s="2">
        <f t="shared" si="63"/>
        <v>3580.4388233643704</v>
      </c>
      <c r="CU33" s="2">
        <f t="shared" si="63"/>
        <v>3473.0256586634391</v>
      </c>
      <c r="CV33" s="2">
        <f t="shared" si="63"/>
        <v>3368.834888903536</v>
      </c>
      <c r="CW33" s="2">
        <f t="shared" si="63"/>
        <v>3267.7698422364297</v>
      </c>
      <c r="CX33" s="2">
        <f t="shared" si="63"/>
        <v>3169.7367469693368</v>
      </c>
      <c r="CY33" s="2">
        <f t="shared" si="63"/>
        <v>3074.6446445602564</v>
      </c>
      <c r="CZ33" s="2">
        <f t="shared" si="63"/>
        <v>2982.4053052234485</v>
      </c>
      <c r="DA33" s="2">
        <f t="shared" si="63"/>
        <v>2892.9331460667449</v>
      </c>
      <c r="DB33" s="2">
        <f t="shared" si="63"/>
        <v>2806.1451516847424</v>
      </c>
      <c r="DC33" s="2">
        <f t="shared" si="63"/>
        <v>2721.9607971342002</v>
      </c>
      <c r="DD33" s="2">
        <f t="shared" si="63"/>
        <v>2640.3019732201742</v>
      </c>
      <c r="DE33" s="2">
        <f t="shared" ref="DE33:DH33" si="64">DD33*(1+$AT$36)</f>
        <v>2561.0929140235689</v>
      </c>
      <c r="DF33" s="2">
        <f t="shared" si="64"/>
        <v>2484.2601266028619</v>
      </c>
      <c r="DG33" s="2">
        <f t="shared" si="64"/>
        <v>2409.7323228047758</v>
      </c>
      <c r="DH33" s="2">
        <f t="shared" si="64"/>
        <v>2337.4403531206326</v>
      </c>
    </row>
    <row r="34" spans="2:112">
      <c r="B34" t="s">
        <v>10</v>
      </c>
      <c r="C34" s="2">
        <v>1410</v>
      </c>
      <c r="D34" s="2">
        <v>1632</v>
      </c>
      <c r="E34" s="2">
        <v>1625</v>
      </c>
      <c r="F34" s="2">
        <v>1629</v>
      </c>
      <c r="G34" s="2">
        <v>1611</v>
      </c>
      <c r="H34" s="2">
        <v>1627</v>
      </c>
      <c r="I34" s="2">
        <v>1629</v>
      </c>
      <c r="J34" s="2">
        <v>1628</v>
      </c>
      <c r="K34" s="2">
        <v>1639</v>
      </c>
      <c r="L34" s="2">
        <v>1637</v>
      </c>
      <c r="M34" s="2">
        <v>1636</v>
      </c>
      <c r="N34" s="2">
        <v>1634</v>
      </c>
      <c r="O34" s="2">
        <v>1634</v>
      </c>
      <c r="P34" s="2">
        <v>1634</v>
      </c>
      <c r="Q34" s="2">
        <v>1634</v>
      </c>
      <c r="R34" s="2">
        <v>1634</v>
      </c>
      <c r="U34" s="2">
        <v>754</v>
      </c>
      <c r="V34" s="2">
        <v>768</v>
      </c>
      <c r="W34" s="2">
        <v>783</v>
      </c>
      <c r="X34" s="2">
        <v>835</v>
      </c>
      <c r="Y34" s="2">
        <v>952</v>
      </c>
      <c r="Z34" s="2">
        <v>1064</v>
      </c>
      <c r="AA34" s="2">
        <v>1120</v>
      </c>
      <c r="AB34" s="2">
        <v>1207</v>
      </c>
      <c r="AC34" s="2">
        <v>1229</v>
      </c>
      <c r="AD34" s="2">
        <f>AVERAGE(C34:F34)</f>
        <v>1574</v>
      </c>
      <c r="AE34" s="2">
        <f>AVERAGE(G34:J34)</f>
        <v>1623.75</v>
      </c>
      <c r="AF34" s="2">
        <f>AVERAGE(K34:N34)</f>
        <v>1636.5</v>
      </c>
    </row>
    <row r="35" spans="2:112" s="7" customFormat="1">
      <c r="B35" s="7" t="s">
        <v>66</v>
      </c>
      <c r="C35" s="6">
        <f>+C33/C34</f>
        <v>0.8971631205673759</v>
      </c>
      <c r="D35" s="6">
        <f>+D33/D34</f>
        <v>0.90073529411764708</v>
      </c>
      <c r="E35" s="6">
        <f>+E33/E34</f>
        <v>0.65723076923076929</v>
      </c>
      <c r="F35" s="6">
        <f>+F33/F34</f>
        <v>0.58870472682627384</v>
      </c>
      <c r="G35" s="6">
        <f>+G33/G34</f>
        <v>0.42458100558659218</v>
      </c>
      <c r="H35" s="6">
        <f>+H33/H34</f>
        <v>0.44253226797787337</v>
      </c>
      <c r="I35" s="6">
        <f>+I33/I34</f>
        <v>0.58870472682627384</v>
      </c>
      <c r="J35" s="6">
        <f>+J33/J34</f>
        <v>0.8058968058968059</v>
      </c>
      <c r="K35" s="6">
        <f>+K33/K34</f>
        <v>0.45454545454545453</v>
      </c>
      <c r="L35" s="6">
        <f>+L33/L34</f>
        <v>0.53023824068417835</v>
      </c>
      <c r="M35" s="6">
        <f>+M33/M34</f>
        <v>0.82885085574572126</v>
      </c>
      <c r="N35" s="6">
        <f>+N33/N34</f>
        <v>0.65238678090575275</v>
      </c>
      <c r="O35" s="6">
        <f t="shared" ref="O35:R35" si="65">+O33/O34</f>
        <v>0.67678457772337852</v>
      </c>
      <c r="P35" s="6">
        <f t="shared" si="65"/>
        <v>0.75481150550795584</v>
      </c>
      <c r="Q35" s="6">
        <f t="shared" si="65"/>
        <v>1.1094166462668305</v>
      </c>
      <c r="R35" s="6">
        <f t="shared" si="65"/>
        <v>1.3227488372093026</v>
      </c>
      <c r="S35" s="6"/>
      <c r="T35" s="6"/>
      <c r="U35" s="6">
        <f>+U33/U34</f>
        <v>-8.6206896551724144E-2</v>
      </c>
      <c r="V35" s="6">
        <f>+V33/V34</f>
        <v>-0.203125</v>
      </c>
      <c r="W35" s="6">
        <f>+W33/W34</f>
        <v>-0.83908045977011492</v>
      </c>
      <c r="X35" s="6">
        <f>+X33/X34</f>
        <v>-0.59640718562874251</v>
      </c>
      <c r="Y35" s="6">
        <f>+Y33/Y34</f>
        <v>-3.4663865546218489E-2</v>
      </c>
      <c r="Z35" s="6">
        <f>+Z33/Z34</f>
        <v>0.31672932330827069</v>
      </c>
      <c r="AA35" s="6">
        <f>+AA33/AA34</f>
        <v>0.30446428571428569</v>
      </c>
      <c r="AB35" s="6">
        <f>+AB33/AB34</f>
        <v>2.0629660314830156</v>
      </c>
      <c r="AC35" s="6">
        <f>+AC33/AC34</f>
        <v>2.5728234336859237</v>
      </c>
      <c r="AD35" s="6">
        <f>+AD33/AD34</f>
        <v>3.0254129606099109</v>
      </c>
      <c r="AE35" s="6">
        <f>+AE33/AE34</f>
        <v>2.2632794457274827</v>
      </c>
      <c r="AF35" s="6">
        <f>+AF33/AF34</f>
        <v>2.4656278643446381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</row>
    <row r="36" spans="2:112">
      <c r="AS36" s="2" t="s">
        <v>67</v>
      </c>
      <c r="AT36" s="9">
        <v>-0.03</v>
      </c>
    </row>
    <row r="37" spans="2:112" s="8" customFormat="1">
      <c r="B37" s="8" t="s">
        <v>68</v>
      </c>
      <c r="C37" s="9"/>
      <c r="D37" s="9"/>
      <c r="E37" s="9"/>
      <c r="F37" s="9"/>
      <c r="G37" s="9">
        <f t="shared" ref="G37:M37" si="66">G20/C20-1</f>
        <v>-9.0708340411075228E-2</v>
      </c>
      <c r="H37" s="9">
        <f t="shared" si="66"/>
        <v>-0.18183206106870231</v>
      </c>
      <c r="I37" s="9">
        <f>I20/D20-1</f>
        <v>-0.1145038167938931</v>
      </c>
      <c r="J37" s="9">
        <f>J20/E20-1</f>
        <v>0.10835579514824789</v>
      </c>
      <c r="K37" s="9">
        <f t="shared" si="66"/>
        <v>2.2417336073230043E-2</v>
      </c>
      <c r="L37" s="9">
        <f t="shared" si="66"/>
        <v>8.882254151894009E-2</v>
      </c>
      <c r="M37" s="9">
        <f t="shared" si="66"/>
        <v>0.17568965517241386</v>
      </c>
      <c r="N37" s="9">
        <f>N20/J20-1</f>
        <v>0.24156939040207526</v>
      </c>
      <c r="O37" s="9">
        <f>O20/K20-1</f>
        <v>0.29727754430842324</v>
      </c>
      <c r="P37" s="9">
        <f>P20/L20-1</f>
        <v>0.30000000000000004</v>
      </c>
      <c r="Q37" s="9">
        <f>Q20/M20-1</f>
        <v>0.35000000000000031</v>
      </c>
      <c r="R37" s="9">
        <f>R20/N20-1</f>
        <v>0.35000000000000009</v>
      </c>
      <c r="S37" s="9"/>
      <c r="T37" s="9"/>
      <c r="U37" s="9"/>
      <c r="V37" s="9">
        <f t="shared" ref="V37" si="67">V20/U20-1</f>
        <v>3.9063974334780038E-2</v>
      </c>
      <c r="W37" s="9">
        <f t="shared" ref="W37:X37" si="68">W20/V20-1</f>
        <v>-0.27515437704322554</v>
      </c>
      <c r="X37" s="9">
        <f t="shared" si="68"/>
        <v>8.2184916061137647E-2</v>
      </c>
      <c r="Y37" s="9">
        <f t="shared" ref="Y37:AE37" si="69">Y20/X20-1</f>
        <v>0.21625376244501049</v>
      </c>
      <c r="Z37" s="9">
        <f t="shared" si="69"/>
        <v>0.23262897391966497</v>
      </c>
      <c r="AA37" s="9">
        <f t="shared" si="69"/>
        <v>3.9536679536679609E-2</v>
      </c>
      <c r="AB37" s="9">
        <f t="shared" si="69"/>
        <v>0.45045312732134901</v>
      </c>
      <c r="AC37" s="9">
        <f t="shared" si="69"/>
        <v>0.68329406944586712</v>
      </c>
      <c r="AD37" s="9">
        <f t="shared" si="69"/>
        <v>0.44833880978459284</v>
      </c>
      <c r="AE37" s="9">
        <f t="shared" ref="AE37:AF37" si="70">AE20/AD20-1</f>
        <v>-4.713889589110154E-2</v>
      </c>
      <c r="AF37" s="9">
        <f>AF20/AE20-1</f>
        <v>0.13690476190476186</v>
      </c>
      <c r="AG37" s="9">
        <f t="shared" ref="AG37:AQ37" si="71">AG20/AF20-1</f>
        <v>0.32749466744231159</v>
      </c>
      <c r="AH37" s="9">
        <f t="shared" si="71"/>
        <v>0.34133931745908841</v>
      </c>
      <c r="AI37" s="9">
        <f t="shared" si="71"/>
        <v>0.16896605603040959</v>
      </c>
      <c r="AJ37" s="9">
        <f t="shared" si="71"/>
        <v>0.17610662052285897</v>
      </c>
      <c r="AK37" s="9">
        <f t="shared" si="71"/>
        <v>7.5616734282982767E-2</v>
      </c>
      <c r="AL37" s="9">
        <f t="shared" si="71"/>
        <v>5.5276666453980328E-2</v>
      </c>
      <c r="AM37" s="9">
        <f t="shared" si="71"/>
        <v>5.6950041454275846E-2</v>
      </c>
      <c r="AN37" s="9">
        <f t="shared" si="71"/>
        <v>5.8467587822504052E-2</v>
      </c>
      <c r="AO37" s="9">
        <f t="shared" si="71"/>
        <v>5.9849492339492549E-2</v>
      </c>
      <c r="AP37" s="9">
        <f t="shared" si="71"/>
        <v>6.1113962647587172E-2</v>
      </c>
      <c r="AQ37" s="9">
        <f t="shared" si="71"/>
        <v>6.2277253191964865E-2</v>
      </c>
      <c r="AR37" s="9"/>
      <c r="AS37" s="9" t="s">
        <v>69</v>
      </c>
      <c r="AT37" s="9">
        <v>0.08</v>
      </c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</row>
    <row r="38" spans="2:112" s="8" customFormat="1">
      <c r="B38" s="8" t="s">
        <v>70</v>
      </c>
      <c r="C38" s="9"/>
      <c r="D38" s="9"/>
      <c r="E38" s="9"/>
      <c r="F38" s="9"/>
      <c r="G38" s="9">
        <f t="shared" ref="G38:M38" si="72">+G23/C23-1</f>
        <v>0.33113207547169821</v>
      </c>
      <c r="H38" s="9">
        <f t="shared" si="72"/>
        <v>0.1100000000000001</v>
      </c>
      <c r="I38" s="9">
        <f>+I23/D23-1</f>
        <v>0.15923076923076929</v>
      </c>
      <c r="J38" s="9">
        <f>+J23/E23-1</f>
        <v>0.18139171227521511</v>
      </c>
      <c r="K38" s="9">
        <f t="shared" si="72"/>
        <v>8.0793763288447895E-2</v>
      </c>
      <c r="L38" s="9">
        <f t="shared" si="72"/>
        <v>9.7020097020096951E-2</v>
      </c>
      <c r="M38" s="9">
        <f t="shared" si="72"/>
        <v>8.5600530856005275E-2</v>
      </c>
      <c r="N38" s="9">
        <f>+N23/J23-1</f>
        <v>0.13302448709463932</v>
      </c>
      <c r="O38" s="9">
        <f>+O23/K23-1</f>
        <v>0.10000000000000009</v>
      </c>
      <c r="P38" s="9">
        <f>+P23/L23-1</f>
        <v>0.10000000000000009</v>
      </c>
      <c r="Q38" s="9">
        <f>+Q23/M23-1</f>
        <v>0.10000000000000009</v>
      </c>
      <c r="R38" s="9">
        <f>+R23/N23-1</f>
        <v>0.10000000000000009</v>
      </c>
      <c r="S38" s="9"/>
      <c r="T38" s="9"/>
      <c r="U38" s="9"/>
      <c r="V38" s="9">
        <f t="shared" ref="V38" si="73">V23/U23-1</f>
        <v>-0.10741049125728563</v>
      </c>
      <c r="W38" s="9">
        <f t="shared" ref="W38:X38" si="74">W23/V23-1</f>
        <v>-0.11660447761194026</v>
      </c>
      <c r="X38" s="9">
        <f t="shared" si="74"/>
        <v>6.4413938753959954E-2</v>
      </c>
      <c r="Y38" s="9">
        <f t="shared" ref="Y38:AE38" si="75">Y23/X23-1</f>
        <v>0.18650793650793651</v>
      </c>
      <c r="Z38" s="9">
        <f t="shared" si="75"/>
        <v>0.19899665551839463</v>
      </c>
      <c r="AA38" s="9">
        <f t="shared" si="75"/>
        <v>7.8800557880055688E-2</v>
      </c>
      <c r="AB38" s="9">
        <f t="shared" si="75"/>
        <v>0.28183581124757606</v>
      </c>
      <c r="AC38" s="9">
        <f t="shared" si="75"/>
        <v>0.43469490670700961</v>
      </c>
      <c r="AD38" s="9">
        <f t="shared" si="75"/>
        <v>0.80878734622144122</v>
      </c>
      <c r="AE38" s="9">
        <f>AE23/AD23-1</f>
        <v>0.1410804508356005</v>
      </c>
      <c r="AF38" s="9">
        <f>AF23/AE23-1</f>
        <v>9.9455040871934575E-2</v>
      </c>
      <c r="AG38" s="9">
        <f t="shared" ref="AG38:AQ38" si="76">AG23/AF23-1</f>
        <v>0.14999999999999991</v>
      </c>
      <c r="AH38" s="9">
        <f t="shared" ref="AH38:AQ38" si="77">AH23/AG23-1</f>
        <v>0.14999999999999991</v>
      </c>
      <c r="AI38" s="9">
        <f t="shared" si="77"/>
        <v>0.10000000000000009</v>
      </c>
      <c r="AJ38" s="9">
        <f t="shared" si="77"/>
        <v>0.10000000000000009</v>
      </c>
      <c r="AK38" s="9">
        <f t="shared" si="77"/>
        <v>0.10000000000000009</v>
      </c>
      <c r="AL38" s="9">
        <f t="shared" si="77"/>
        <v>0.10000000000000009</v>
      </c>
      <c r="AM38" s="9">
        <f t="shared" si="77"/>
        <v>0.10000000000000009</v>
      </c>
      <c r="AN38" s="9">
        <f t="shared" si="77"/>
        <v>0.10000000000000009</v>
      </c>
      <c r="AO38" s="9">
        <f t="shared" si="77"/>
        <v>0.10000000000000009</v>
      </c>
      <c r="AP38" s="9">
        <f t="shared" si="77"/>
        <v>0.10000000000000009</v>
      </c>
      <c r="AQ38" s="9">
        <f t="shared" si="77"/>
        <v>0.10000000000000009</v>
      </c>
      <c r="AR38" s="9"/>
      <c r="AS38" s="9" t="s">
        <v>71</v>
      </c>
      <c r="AT38" s="9">
        <v>0.03</v>
      </c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</row>
    <row r="39" spans="2:112" s="8" customFormat="1">
      <c r="B39" s="8" t="s">
        <v>72</v>
      </c>
      <c r="C39" s="9"/>
      <c r="D39" s="9"/>
      <c r="E39" s="9"/>
      <c r="F39" s="9"/>
      <c r="G39" s="9">
        <f t="shared" ref="G39:M39" si="78">+G24/C24-1</f>
        <v>-2.010050251256279E-2</v>
      </c>
      <c r="H39" s="9">
        <f t="shared" si="78"/>
        <v>-7.6013513513513487E-2</v>
      </c>
      <c r="I39" s="9">
        <f>+I24/D24-1</f>
        <v>-2.7027027027026973E-2</v>
      </c>
      <c r="J39" s="9">
        <f>+J24/E24-1</f>
        <v>0.15619389587073607</v>
      </c>
      <c r="K39" s="9">
        <f t="shared" si="78"/>
        <v>5.9829059829059839E-2</v>
      </c>
      <c r="L39" s="9">
        <f t="shared" si="78"/>
        <v>0.1882998171846435</v>
      </c>
      <c r="M39" s="9">
        <f t="shared" si="78"/>
        <v>0.25173611111111116</v>
      </c>
      <c r="N39" s="9">
        <f>+N24/J24-1</f>
        <v>0.22981366459627339</v>
      </c>
      <c r="O39" s="9">
        <f>+O24/K24-1</f>
        <v>0.30000000000000004</v>
      </c>
      <c r="P39" s="9">
        <f>+P24/L24-1</f>
        <v>0.30000000000000004</v>
      </c>
      <c r="Q39" s="9">
        <f>+Q24/M24-1</f>
        <v>0.30000000000000004</v>
      </c>
      <c r="R39" s="9">
        <f>+R24/N24-1</f>
        <v>0.30000000000000027</v>
      </c>
      <c r="S39" s="9"/>
      <c r="T39" s="9"/>
      <c r="U39" s="9"/>
      <c r="V39" s="9">
        <f t="shared" ref="V39" si="79">V24/U24-1</f>
        <v>-0.10385756676557867</v>
      </c>
      <c r="W39" s="9">
        <f t="shared" ref="W39:X39" si="80">W24/V24-1</f>
        <v>-0.20198675496688745</v>
      </c>
      <c r="X39" s="9">
        <f t="shared" si="80"/>
        <v>-3.319502074688796E-2</v>
      </c>
      <c r="Y39" s="9">
        <f t="shared" ref="Y39:AE39" si="81">Y24/X24-1</f>
        <v>0.10729613733905574</v>
      </c>
      <c r="Z39" s="9">
        <f t="shared" si="81"/>
        <v>8.9147286821705363E-2</v>
      </c>
      <c r="AA39" s="9">
        <f t="shared" si="81"/>
        <v>0.33451957295373669</v>
      </c>
      <c r="AB39" s="9">
        <f t="shared" si="81"/>
        <v>0.32666666666666666</v>
      </c>
      <c r="AC39" s="9">
        <f t="shared" si="81"/>
        <v>0.45527638190954778</v>
      </c>
      <c r="AD39" s="9">
        <f t="shared" si="81"/>
        <v>0.60359116022099446</v>
      </c>
      <c r="AE39" s="9">
        <f>AE24/AD24-1</f>
        <v>1.2919896640826822E-2</v>
      </c>
      <c r="AF39" s="9">
        <f>AF24/AE24-1</f>
        <v>0.18324829931972797</v>
      </c>
      <c r="AG39" s="9">
        <f t="shared" ref="AG39:AQ39" si="82">AG24/AF24-1</f>
        <v>0.30000000000000027</v>
      </c>
      <c r="AH39" s="9">
        <f t="shared" ref="AH39:AQ39" si="83">AH24/AG24-1</f>
        <v>0.19999999999999996</v>
      </c>
      <c r="AI39" s="9">
        <f t="shared" si="83"/>
        <v>0.19999999999999996</v>
      </c>
      <c r="AJ39" s="9">
        <f t="shared" si="83"/>
        <v>0.19999999999999996</v>
      </c>
      <c r="AK39" s="9">
        <f t="shared" si="83"/>
        <v>0.10000000000000009</v>
      </c>
      <c r="AL39" s="9">
        <f t="shared" si="83"/>
        <v>0.10000000000000009</v>
      </c>
      <c r="AM39" s="9">
        <f t="shared" si="83"/>
        <v>0.10000000000000009</v>
      </c>
      <c r="AN39" s="9">
        <f t="shared" si="83"/>
        <v>0.10000000000000009</v>
      </c>
      <c r="AO39" s="9">
        <f t="shared" si="83"/>
        <v>0.10000000000000009</v>
      </c>
      <c r="AP39" s="9">
        <f t="shared" si="83"/>
        <v>0.10000000000000009</v>
      </c>
      <c r="AQ39" s="9">
        <f t="shared" si="83"/>
        <v>0.10000000000000009</v>
      </c>
      <c r="AR39" s="9"/>
      <c r="AS39" s="9" t="s">
        <v>73</v>
      </c>
      <c r="AT39" s="13">
        <f>NPV(AT37,AG33:DH33)</f>
        <v>172900.2230791316</v>
      </c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</row>
    <row r="40" spans="2:112">
      <c r="AS40" s="2" t="s">
        <v>10</v>
      </c>
      <c r="AT40" s="2">
        <f>Main!P4</f>
        <v>1620.4770000000001</v>
      </c>
    </row>
    <row r="41" spans="2:112" s="8" customFormat="1">
      <c r="B41" s="8" t="s">
        <v>74</v>
      </c>
      <c r="C41" s="9">
        <f t="shared" ref="C41" si="84">+C22/C20</f>
        <v>0.51027688126380155</v>
      </c>
      <c r="D41" s="9">
        <f t="shared" ref="D41:N41" si="85">+D22/D20</f>
        <v>0.52442748091603053</v>
      </c>
      <c r="E41" s="9">
        <f t="shared" si="85"/>
        <v>0.49703504043126684</v>
      </c>
      <c r="F41" s="9">
        <f t="shared" si="85"/>
        <v>0.5098275862068965</v>
      </c>
      <c r="G41" s="9">
        <f t="shared" si="85"/>
        <v>0.49766486082570521</v>
      </c>
      <c r="H41" s="9">
        <f t="shared" si="85"/>
        <v>0.49542825153946629</v>
      </c>
      <c r="I41" s="9">
        <f t="shared" si="85"/>
        <v>0.5098275862068965</v>
      </c>
      <c r="J41" s="9">
        <f t="shared" si="85"/>
        <v>0.50680933852140075</v>
      </c>
      <c r="K41" s="9">
        <f t="shared" si="85"/>
        <v>0.5097752603690846</v>
      </c>
      <c r="L41" s="9">
        <f t="shared" si="85"/>
        <v>0.53041988003427587</v>
      </c>
      <c r="M41" s="9">
        <f t="shared" si="85"/>
        <v>0.53556239917876525</v>
      </c>
      <c r="N41" s="9">
        <f t="shared" si="85"/>
        <v>0.53982763123530952</v>
      </c>
      <c r="O41" s="9">
        <f t="shared" ref="O41:R41" si="86">+O22/O20</f>
        <v>0.54</v>
      </c>
      <c r="P41" s="9">
        <f t="shared" si="86"/>
        <v>0.54</v>
      </c>
      <c r="Q41" s="9">
        <f t="shared" si="86"/>
        <v>0.54</v>
      </c>
      <c r="R41" s="9">
        <f t="shared" ref="R41" si="87">+R22/R20</f>
        <v>0.54</v>
      </c>
      <c r="S41" s="9"/>
      <c r="T41" s="9"/>
      <c r="U41" s="9">
        <f t="shared" ref="U41" si="88">+U22/U20</f>
        <v>0.37327797697678805</v>
      </c>
      <c r="V41" s="9">
        <f t="shared" ref="V41" si="89">+V22/V20</f>
        <v>0.33399927351979658</v>
      </c>
      <c r="W41" s="9">
        <f t="shared" ref="V41:W41" si="90">+W22/W20</f>
        <v>0.27060886995740419</v>
      </c>
      <c r="X41" s="9">
        <f t="shared" ref="X41:AD41" si="91">+X22/X20</f>
        <v>0.23222968279694373</v>
      </c>
      <c r="Y41" s="9">
        <f t="shared" si="91"/>
        <v>0.34018656006091758</v>
      </c>
      <c r="Z41" s="9">
        <f t="shared" si="91"/>
        <v>0.37791505791505792</v>
      </c>
      <c r="AA41" s="9">
        <f t="shared" si="91"/>
        <v>0.42608824840291187</v>
      </c>
      <c r="AB41" s="9">
        <f t="shared" si="91"/>
        <v>0.44525248386766364</v>
      </c>
      <c r="AC41" s="9">
        <f t="shared" si="91"/>
        <v>0.48247535596933189</v>
      </c>
      <c r="AD41" s="9">
        <f t="shared" ref="AD41" si="92">+AD22/AD20</f>
        <v>0.5109654650869675</v>
      </c>
      <c r="AE41" s="9">
        <f t="shared" ref="AE41" si="93">+AE22/AE20</f>
        <v>0.5027336860670194</v>
      </c>
      <c r="AF41" s="9">
        <f t="shared" ref="AF41:AQ41" si="94">+AF22/AF20</f>
        <v>0.53019197207678881</v>
      </c>
      <c r="AG41" s="9">
        <f t="shared" si="94"/>
        <v>0.54000000000000015</v>
      </c>
      <c r="AH41" s="9">
        <f t="shared" si="94"/>
        <v>0.54</v>
      </c>
      <c r="AI41" s="9">
        <f t="shared" si="94"/>
        <v>0.54</v>
      </c>
      <c r="AJ41" s="9">
        <f t="shared" si="94"/>
        <v>0.54</v>
      </c>
      <c r="AK41" s="9">
        <f t="shared" si="94"/>
        <v>0.54</v>
      </c>
      <c r="AL41" s="9">
        <f t="shared" si="94"/>
        <v>0.54</v>
      </c>
      <c r="AM41" s="9">
        <f t="shared" si="94"/>
        <v>0.54</v>
      </c>
      <c r="AN41" s="9">
        <f t="shared" si="94"/>
        <v>0.54</v>
      </c>
      <c r="AO41" s="9">
        <f t="shared" si="94"/>
        <v>0.54</v>
      </c>
      <c r="AP41" s="9">
        <f t="shared" si="94"/>
        <v>0.54</v>
      </c>
      <c r="AQ41" s="9">
        <f t="shared" si="94"/>
        <v>0.54</v>
      </c>
      <c r="AR41" s="9"/>
      <c r="AS41" s="9" t="s">
        <v>7</v>
      </c>
      <c r="AT41" s="6">
        <f>+AT39/AT40</f>
        <v>106.69711639173626</v>
      </c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</row>
    <row r="42" spans="2:112" s="8" customFormat="1">
      <c r="B42" s="8" t="s">
        <v>75</v>
      </c>
      <c r="C42" s="9">
        <f t="shared" ref="C42" si="95">+C28/C20</f>
        <v>0.24290810259894682</v>
      </c>
      <c r="D42" s="9">
        <f t="shared" ref="D42:N42" si="96">+D28/D20</f>
        <v>0.23648854961832061</v>
      </c>
      <c r="E42" s="9">
        <f t="shared" si="96"/>
        <v>0.16855345911949685</v>
      </c>
      <c r="F42" s="9">
        <f t="shared" si="96"/>
        <v>0.15241379310344827</v>
      </c>
      <c r="G42" s="9">
        <f t="shared" si="96"/>
        <v>0.12665794881374931</v>
      </c>
      <c r="H42" s="9">
        <f t="shared" si="96"/>
        <v>0.12558313118119052</v>
      </c>
      <c r="I42" s="9">
        <f t="shared" si="96"/>
        <v>0.15241379310344827</v>
      </c>
      <c r="J42" s="9">
        <f t="shared" si="96"/>
        <v>0.15839818417639429</v>
      </c>
      <c r="K42" s="9">
        <f t="shared" si="96"/>
        <v>0.12022656678238626</v>
      </c>
      <c r="L42" s="9">
        <f t="shared" si="96"/>
        <v>0.14944301628106255</v>
      </c>
      <c r="M42" s="9">
        <f t="shared" si="96"/>
        <v>0.19196363103094297</v>
      </c>
      <c r="N42" s="9">
        <f t="shared" si="96"/>
        <v>0.18999738835205016</v>
      </c>
      <c r="O42" s="9">
        <f t="shared" ref="O42:R42" si="97">+O28/O20</f>
        <v>0.19021126760563387</v>
      </c>
      <c r="P42" s="9">
        <f t="shared" si="97"/>
        <v>0.19904686573067035</v>
      </c>
      <c r="Q42" s="9">
        <f t="shared" si="97"/>
        <v>0.24269345456323027</v>
      </c>
      <c r="R42" s="9">
        <f t="shared" ref="R42" si="98">+R28/R20</f>
        <v>0.25825155006142209</v>
      </c>
      <c r="S42" s="9"/>
      <c r="T42" s="9"/>
      <c r="U42" s="9">
        <f t="shared" ref="U42" si="99">+U28/U20</f>
        <v>2.2834497074919795E-2</v>
      </c>
      <c r="V42" s="9">
        <f t="shared" ref="V42" si="100">+V28/V20</f>
        <v>1.6709044678532511E-2</v>
      </c>
      <c r="W42" s="9">
        <f t="shared" ref="V42:W42" si="101">+W28/W20</f>
        <v>-0.11976948133299925</v>
      </c>
      <c r="X42" s="9">
        <f t="shared" ref="X42:AD42" si="102">+X28/X20</f>
        <v>-8.636258393146562E-2</v>
      </c>
      <c r="Y42" s="9">
        <f t="shared" si="102"/>
        <v>2.4176660955644393E-2</v>
      </c>
      <c r="Z42" s="9">
        <f t="shared" si="102"/>
        <v>6.9652509652509659E-2</v>
      </c>
      <c r="AA42" s="9">
        <f t="shared" si="102"/>
        <v>9.3745357302035356E-2</v>
      </c>
      <c r="AB42" s="9">
        <f t="shared" si="102"/>
        <v>0.14022329202089523</v>
      </c>
      <c r="AC42" s="9">
        <f t="shared" si="102"/>
        <v>0.22197882438846295</v>
      </c>
      <c r="AD42" s="9">
        <f t="shared" ref="AD42" si="103">+AD28/AD20</f>
        <v>0.20170573901352828</v>
      </c>
      <c r="AE42" s="9">
        <f t="shared" ref="AE42" si="104">+AE28/AE20</f>
        <v>0.1416225749559083</v>
      </c>
      <c r="AF42" s="9">
        <f t="shared" ref="AF42:AQ42" si="105">+AF28/AF20</f>
        <v>0.16653092883459375</v>
      </c>
      <c r="AG42" s="9">
        <f t="shared" si="105"/>
        <v>0.21740352240541422</v>
      </c>
      <c r="AH42" s="9">
        <f t="shared" si="105"/>
        <v>0.25948132658037171</v>
      </c>
      <c r="AI42" s="9">
        <f t="shared" si="105"/>
        <v>0.26794217605557924</v>
      </c>
      <c r="AJ42" s="9">
        <f t="shared" si="105"/>
        <v>0.2772938331711482</v>
      </c>
      <c r="AK42" s="9">
        <f t="shared" si="105"/>
        <v>0.27133852021708094</v>
      </c>
      <c r="AL42" s="9">
        <f t="shared" si="105"/>
        <v>0.25995246634774449</v>
      </c>
      <c r="AM42" s="9">
        <f t="shared" si="105"/>
        <v>0.24854602872844725</v>
      </c>
      <c r="AN42" s="9">
        <f t="shared" si="105"/>
        <v>0.2371098859453504</v>
      </c>
      <c r="AO42" s="9">
        <f t="shared" si="105"/>
        <v>0.2256354342118323</v>
      </c>
      <c r="AP42" s="9">
        <f t="shared" si="105"/>
        <v>0.21411509551323232</v>
      </c>
      <c r="AQ42" s="9">
        <f t="shared" si="105"/>
        <v>0.20254252940247744</v>
      </c>
      <c r="AR42" s="9"/>
      <c r="AS42" s="9" t="s">
        <v>76</v>
      </c>
      <c r="AT42" s="6">
        <f>Main!P3</f>
        <v>100.16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</row>
    <row r="43" spans="2:112" s="8" customFormat="1">
      <c r="B43" s="8" t="s">
        <v>63</v>
      </c>
      <c r="C43" s="9">
        <f t="shared" ref="C43" si="106">+C31/C30</f>
        <v>8.2181818181818175E-2</v>
      </c>
      <c r="D43" s="9">
        <f t="shared" ref="D43:N43" si="107">+D31/D30</f>
        <v>3.5526315789473684E-2</v>
      </c>
      <c r="E43" s="9">
        <f t="shared" si="107"/>
        <v>-0.14531754574811626</v>
      </c>
      <c r="F43" s="9">
        <f t="shared" si="107"/>
        <v>-4.2529989094874592E-2</v>
      </c>
      <c r="G43" s="9">
        <f t="shared" si="107"/>
        <v>1.8678160919540231E-2</v>
      </c>
      <c r="H43" s="9">
        <f t="shared" si="107"/>
        <v>-3.3285094066570188E-2</v>
      </c>
      <c r="I43" s="9">
        <f t="shared" si="107"/>
        <v>-4.2529989094874592E-2</v>
      </c>
      <c r="J43" s="9">
        <f t="shared" si="107"/>
        <v>-0.29306930693069305</v>
      </c>
      <c r="K43" s="9">
        <f t="shared" si="107"/>
        <v>-7.5801749271137031E-2</v>
      </c>
      <c r="L43" s="9">
        <f t="shared" si="107"/>
        <v>4.5454545454545456E-2</v>
      </c>
      <c r="M43" s="9">
        <f t="shared" si="107"/>
        <v>-2.042360060514372E-2</v>
      </c>
      <c r="N43" s="9">
        <f t="shared" si="107"/>
        <v>0.28445349626612354</v>
      </c>
      <c r="O43" s="9">
        <f t="shared" ref="O43:R43" si="108">+O31/O30</f>
        <v>0.2</v>
      </c>
      <c r="P43" s="9">
        <f t="shared" si="108"/>
        <v>0.20000000000000004</v>
      </c>
      <c r="Q43" s="9">
        <f t="shared" si="108"/>
        <v>0.2</v>
      </c>
      <c r="R43" s="9">
        <f t="shared" ref="R43" si="109">+R31/R30</f>
        <v>0.2</v>
      </c>
      <c r="S43" s="9"/>
      <c r="T43" s="9"/>
      <c r="U43" s="9">
        <f t="shared" ref="U43" si="110">+U31/U30</f>
        <v>-0.16071428571428573</v>
      </c>
      <c r="V43" s="9">
        <f t="shared" ref="V43" si="111">+V31/V30</f>
        <v>-3.3112582781456956E-2</v>
      </c>
      <c r="W43" s="9">
        <f t="shared" ref="V43:W43" si="112">+W31/W30</f>
        <v>-2.177293934681182E-2</v>
      </c>
      <c r="X43" s="9">
        <f t="shared" ref="X43:AD43" si="113">+X31/X30</f>
        <v>-8.6859688195991089E-2</v>
      </c>
      <c r="Y43" s="9">
        <f t="shared" si="113"/>
        <v>-2.25</v>
      </c>
      <c r="Z43" s="9">
        <f t="shared" si="113"/>
        <v>-2.7272727272727271E-2</v>
      </c>
      <c r="AA43" s="9">
        <f t="shared" si="113"/>
        <v>8.3333333333333329E-2</v>
      </c>
      <c r="AB43" s="9">
        <f t="shared" si="113"/>
        <v>-0.94901960784313721</v>
      </c>
      <c r="AC43" s="9">
        <f t="shared" si="113"/>
        <v>0.13982011447260834</v>
      </c>
      <c r="AD43" s="9">
        <f t="shared" ref="AD43" si="114">+AD31/AD30</f>
        <v>-1.4764817549040286E-3</v>
      </c>
      <c r="AE43" s="9">
        <f t="shared" ref="AE43" si="115">+AE31/AE30</f>
        <v>-0.10410380205190102</v>
      </c>
      <c r="AF43" s="9">
        <f t="shared" ref="AF43:AQ43" si="116">+AF31/AF30</f>
        <v>8.6926762491444209E-2</v>
      </c>
      <c r="AG43" s="9">
        <f t="shared" si="116"/>
        <v>0.20855787027801007</v>
      </c>
      <c r="AH43" s="9">
        <f t="shared" si="116"/>
        <v>0.2</v>
      </c>
      <c r="AI43" s="9">
        <f t="shared" si="116"/>
        <v>0.2</v>
      </c>
      <c r="AJ43" s="9">
        <f t="shared" si="116"/>
        <v>0.2</v>
      </c>
      <c r="AK43" s="9">
        <f t="shared" si="116"/>
        <v>0.2</v>
      </c>
      <c r="AL43" s="9">
        <f t="shared" si="116"/>
        <v>0.2</v>
      </c>
      <c r="AM43" s="9">
        <f t="shared" si="116"/>
        <v>0.2</v>
      </c>
      <c r="AN43" s="9">
        <f t="shared" si="116"/>
        <v>0.2</v>
      </c>
      <c r="AO43" s="9">
        <f t="shared" si="116"/>
        <v>0.2</v>
      </c>
      <c r="AP43" s="9">
        <f t="shared" si="116"/>
        <v>0.2</v>
      </c>
      <c r="AQ43" s="9">
        <f t="shared" si="116"/>
        <v>0.2</v>
      </c>
      <c r="AR43" s="9"/>
      <c r="AS43" s="9" t="s">
        <v>77</v>
      </c>
      <c r="AT43" s="9">
        <f>AT41/AT42-1</f>
        <v>6.5266737137941844E-2</v>
      </c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</row>
    <row r="45" spans="2:112">
      <c r="B45" s="8" t="s">
        <v>22</v>
      </c>
      <c r="J45" s="2">
        <f>3933+1840-751-1717</f>
        <v>3305</v>
      </c>
      <c r="N45" s="2">
        <v>3411</v>
      </c>
      <c r="AF45" s="2">
        <v>3411</v>
      </c>
      <c r="AG45" s="2">
        <f>+AF45+AG33</f>
        <v>9401.5864000000056</v>
      </c>
      <c r="AH45" s="2">
        <f t="shared" ref="AH45:AQ45" si="117">+AG45+AH33</f>
        <v>19178.141140800006</v>
      </c>
      <c r="AI45" s="2">
        <f t="shared" si="117"/>
        <v>31163.017056819204</v>
      </c>
      <c r="AJ45" s="2">
        <f t="shared" si="117"/>
        <v>45933.809535750865</v>
      </c>
      <c r="AK45" s="2">
        <f t="shared" si="117"/>
        <v>61794.479156615285</v>
      </c>
      <c r="AL45" s="2">
        <f t="shared" si="117"/>
        <v>78197.845744084771</v>
      </c>
      <c r="AM45" s="2">
        <f t="shared" si="117"/>
        <v>95152.422046182255</v>
      </c>
      <c r="AN45" s="2">
        <f t="shared" si="117"/>
        <v>112660.9507977855</v>
      </c>
      <c r="AO45" s="2">
        <f t="shared" si="117"/>
        <v>130719.84138411707</v>
      </c>
      <c r="AP45" s="2">
        <f t="shared" si="117"/>
        <v>149318.51425414707</v>
      </c>
      <c r="AQ45" s="2">
        <f t="shared" si="117"/>
        <v>168438.6456720033</v>
      </c>
    </row>
    <row r="47" spans="2:112">
      <c r="B47" t="s">
        <v>78</v>
      </c>
      <c r="F47" s="2">
        <f>SUM(C33:F33)</f>
        <v>4762</v>
      </c>
      <c r="J47" s="2">
        <f>SUM(G33:J33)</f>
        <v>3675</v>
      </c>
      <c r="N47" s="2">
        <f>SUM(K33:N33)</f>
        <v>4035</v>
      </c>
    </row>
    <row r="48" spans="2:112">
      <c r="B48" t="s">
        <v>79</v>
      </c>
      <c r="F48" s="2">
        <v>1320</v>
      </c>
      <c r="J48" s="2">
        <v>854</v>
      </c>
      <c r="N48" s="2">
        <v>1641</v>
      </c>
    </row>
    <row r="49" spans="2:14">
      <c r="B49" t="s">
        <v>80</v>
      </c>
      <c r="F49" s="2">
        <v>4174</v>
      </c>
      <c r="J49" s="2">
        <v>3453</v>
      </c>
      <c r="N49" s="2">
        <f>671+2393</f>
        <v>3064</v>
      </c>
    </row>
    <row r="50" spans="2:14">
      <c r="B50" t="s">
        <v>81</v>
      </c>
      <c r="F50" s="2">
        <v>1081</v>
      </c>
      <c r="J50" s="2">
        <v>1384</v>
      </c>
      <c r="N50" s="2">
        <v>1407</v>
      </c>
    </row>
    <row r="51" spans="2:14">
      <c r="B51" t="s">
        <v>82</v>
      </c>
      <c r="F51" s="2">
        <v>88</v>
      </c>
      <c r="J51" s="2">
        <v>98</v>
      </c>
      <c r="N51" s="2">
        <v>113</v>
      </c>
    </row>
    <row r="52" spans="2:14">
      <c r="B52" t="s">
        <v>83</v>
      </c>
      <c r="F52" s="2">
        <v>189</v>
      </c>
      <c r="J52" s="2">
        <v>3</v>
      </c>
      <c r="N52" s="2">
        <v>65</v>
      </c>
    </row>
    <row r="53" spans="2:14">
      <c r="B53" t="s">
        <v>84</v>
      </c>
      <c r="F53" s="2">
        <v>0</v>
      </c>
      <c r="J53" s="2">
        <v>0</v>
      </c>
      <c r="N53" s="2">
        <v>0</v>
      </c>
    </row>
    <row r="54" spans="2:14">
      <c r="B54" t="s">
        <v>85</v>
      </c>
      <c r="F54" s="2">
        <v>16</v>
      </c>
      <c r="J54" s="2">
        <v>11</v>
      </c>
      <c r="N54" s="2">
        <v>0</v>
      </c>
    </row>
    <row r="55" spans="2:14">
      <c r="B55" t="s">
        <v>86</v>
      </c>
      <c r="F55" s="2">
        <v>-1505</v>
      </c>
      <c r="J55" s="2">
        <v>-1019</v>
      </c>
      <c r="N55" s="2">
        <v>-1163</v>
      </c>
    </row>
    <row r="56" spans="2:14">
      <c r="B56" t="s">
        <v>87</v>
      </c>
      <c r="F56" s="2">
        <v>62</v>
      </c>
      <c r="J56" s="2">
        <v>-1</v>
      </c>
      <c r="N56" s="2">
        <v>0</v>
      </c>
    </row>
    <row r="57" spans="2:14">
      <c r="B57" t="s">
        <v>88</v>
      </c>
      <c r="F57" s="2">
        <v>-14</v>
      </c>
      <c r="J57" s="2">
        <v>-67</v>
      </c>
      <c r="N57" s="2">
        <v>12</v>
      </c>
    </row>
    <row r="58" spans="2:14">
      <c r="B58" t="s">
        <v>89</v>
      </c>
      <c r="F58" s="2">
        <v>-1091</v>
      </c>
      <c r="J58" s="2">
        <v>-1250</v>
      </c>
      <c r="N58" s="2">
        <v>-1865</v>
      </c>
    </row>
    <row r="59" spans="2:14">
      <c r="B59" t="s">
        <v>90</v>
      </c>
      <c r="F59" s="2">
        <v>-1401</v>
      </c>
      <c r="J59" s="2">
        <v>-580</v>
      </c>
      <c r="N59" s="2">
        <v>-1458</v>
      </c>
    </row>
    <row r="60" spans="2:14">
      <c r="B60" t="s">
        <v>91</v>
      </c>
      <c r="F60" s="2">
        <v>-13</v>
      </c>
      <c r="J60" s="2">
        <v>-7</v>
      </c>
      <c r="N60" s="2">
        <v>108</v>
      </c>
    </row>
    <row r="61" spans="2:14">
      <c r="B61" t="s">
        <v>92</v>
      </c>
      <c r="F61" s="2">
        <v>-1197</v>
      </c>
      <c r="J61" s="2">
        <v>-472</v>
      </c>
      <c r="N61" s="2">
        <v>343</v>
      </c>
    </row>
    <row r="62" spans="2:14">
      <c r="B62" t="s">
        <v>93</v>
      </c>
      <c r="F62" s="2">
        <v>379</v>
      </c>
      <c r="J62" s="2">
        <v>-100</v>
      </c>
      <c r="N62" s="2">
        <v>0</v>
      </c>
    </row>
    <row r="63" spans="2:14">
      <c r="B63" t="s">
        <v>94</v>
      </c>
      <c r="F63" s="2">
        <v>931</v>
      </c>
      <c r="J63" s="2">
        <v>-419</v>
      </c>
      <c r="N63" s="2">
        <v>-109</v>
      </c>
    </row>
    <row r="64" spans="2:14">
      <c r="B64" t="s">
        <v>95</v>
      </c>
      <c r="F64" s="2">
        <v>546</v>
      </c>
      <c r="J64" s="2">
        <v>-221</v>
      </c>
      <c r="N64" s="2">
        <v>883</v>
      </c>
    </row>
    <row r="65" spans="2:71">
      <c r="B65" t="s">
        <v>96</v>
      </c>
      <c r="F65" s="2">
        <f>SUM(F48:F64)</f>
        <v>3565</v>
      </c>
      <c r="J65" s="2">
        <f>SUM(J48:J64)</f>
        <v>1667</v>
      </c>
      <c r="N65" s="2">
        <f>SUM(N48:N64)</f>
        <v>3041</v>
      </c>
    </row>
    <row r="66" spans="2:71">
      <c r="B66" t="s">
        <v>97</v>
      </c>
      <c r="F66" s="2">
        <v>450</v>
      </c>
      <c r="J66" s="2">
        <v>546</v>
      </c>
      <c r="N66" s="2">
        <v>636</v>
      </c>
    </row>
    <row r="67" spans="2:71" s="4" customFormat="1">
      <c r="B67" s="4" t="s">
        <v>98</v>
      </c>
      <c r="C67" s="5"/>
      <c r="D67" s="5"/>
      <c r="E67" s="5"/>
      <c r="F67" s="5">
        <f>+F65-F66</f>
        <v>3115</v>
      </c>
      <c r="G67" s="5"/>
      <c r="H67" s="5"/>
      <c r="I67" s="5"/>
      <c r="J67" s="5">
        <f>+J65-J66</f>
        <v>1121</v>
      </c>
      <c r="K67" s="5"/>
      <c r="L67" s="5"/>
      <c r="M67" s="5"/>
      <c r="N67" s="5">
        <f>+N65-N66</f>
        <v>2405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</row>
    <row r="68" spans="2:71">
      <c r="B68" t="s">
        <v>99</v>
      </c>
      <c r="F68" s="2">
        <v>1999</v>
      </c>
      <c r="J68" s="2">
        <v>-1423</v>
      </c>
      <c r="N68" s="2">
        <v>-1101</v>
      </c>
    </row>
    <row r="69" spans="2:71">
      <c r="B69" t="s">
        <v>96</v>
      </c>
      <c r="F69" s="2">
        <v>-3264</v>
      </c>
      <c r="J69" s="2">
        <v>-1146</v>
      </c>
      <c r="N69" s="2">
        <v>-2062</v>
      </c>
    </row>
    <row r="70" spans="2:71" s="4" customFormat="1">
      <c r="B70" s="4" t="s">
        <v>100</v>
      </c>
      <c r="C70" s="5"/>
      <c r="D70" s="5"/>
      <c r="E70" s="5"/>
      <c r="F70" s="5">
        <f>+F69+F68+F65</f>
        <v>2300</v>
      </c>
      <c r="G70" s="5"/>
      <c r="H70" s="5"/>
      <c r="I70" s="5"/>
      <c r="J70" s="5">
        <f>+J69+J68+J65</f>
        <v>-902</v>
      </c>
      <c r="K70" s="5"/>
      <c r="L70" s="5"/>
      <c r="M70" s="5"/>
      <c r="N70" s="5">
        <f>+N69+N68+N65</f>
        <v>-122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</row>
    <row r="75" spans="2:71">
      <c r="AG75" s="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Bobby S</dc:creator>
  <cp:keywords/>
  <dc:description/>
  <cp:lastModifiedBy>Bobby S</cp:lastModifiedBy>
  <cp:revision/>
  <dcterms:created xsi:type="dcterms:W3CDTF">2025-02-28T14:59:45Z</dcterms:created>
  <dcterms:modified xsi:type="dcterms:W3CDTF">2025-03-17T15:41:32Z</dcterms:modified>
  <cp:category/>
  <cp:contentStatus/>
</cp:coreProperties>
</file>