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9907474b3756498a/Value Investing/"/>
    </mc:Choice>
  </mc:AlternateContent>
  <xr:revisionPtr revIDLastSave="588" documentId="8_{9498CF0E-6CAB-4816-B626-E55A3C9E1AB5}" xr6:coauthVersionLast="47" xr6:coauthVersionMax="47" xr10:uidLastSave="{F51A2292-D8FF-4D05-9AFA-9D900A8505C7}"/>
  <bookViews>
    <workbookView xWindow="22478" yWindow="0" windowWidth="22725" windowHeight="22687" activeTab="1" xr2:uid="{4796DF68-C02C-4C4F-88EB-D6D196F9A5B7}"/>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2" l="1"/>
  <c r="AD5" i="2" s="1"/>
  <c r="AE5" i="2" s="1"/>
  <c r="AF5" i="2" s="1"/>
  <c r="AG5" i="2" s="1"/>
  <c r="AH5" i="2" s="1"/>
  <c r="AP33" i="2"/>
  <c r="AP31" i="2"/>
  <c r="X13" i="2"/>
  <c r="W32" i="2"/>
  <c r="X15" i="2"/>
  <c r="X16" i="2" s="1"/>
  <c r="X30" i="2" s="1"/>
  <c r="AJ14" i="2"/>
  <c r="AI14" i="2"/>
  <c r="AH14" i="2"/>
  <c r="AG14" i="2"/>
  <c r="AF14" i="2"/>
  <c r="AE14" i="2"/>
  <c r="AK14" i="2" s="1"/>
  <c r="AD14" i="2"/>
  <c r="AC14" i="2"/>
  <c r="AB14" i="2"/>
  <c r="AA14" i="2"/>
  <c r="Z14" i="2"/>
  <c r="Y14" i="2"/>
  <c r="X14" i="2"/>
  <c r="AA12" i="2"/>
  <c r="Z12" i="2"/>
  <c r="Y12" i="2"/>
  <c r="X12" i="2"/>
  <c r="AL11" i="2"/>
  <c r="AK11" i="2"/>
  <c r="AJ11" i="2"/>
  <c r="AI11" i="2"/>
  <c r="AH11" i="2"/>
  <c r="AG11" i="2"/>
  <c r="AF11" i="2"/>
  <c r="AE11" i="2"/>
  <c r="AD11" i="2"/>
  <c r="AC11" i="2"/>
  <c r="AB11" i="2"/>
  <c r="AA11" i="2"/>
  <c r="Z11" i="2"/>
  <c r="Y11" i="2"/>
  <c r="X11" i="2"/>
  <c r="AE10" i="2"/>
  <c r="AC10" i="2"/>
  <c r="AB10" i="2"/>
  <c r="AA10" i="2"/>
  <c r="Z10" i="2"/>
  <c r="Y10" i="2"/>
  <c r="AH10" i="2" s="1"/>
  <c r="X10" i="2"/>
  <c r="AD10" i="2" s="1"/>
  <c r="AF8" i="2"/>
  <c r="AG8" i="2" s="1"/>
  <c r="AH8" i="2" s="1"/>
  <c r="AI8" i="2" s="1"/>
  <c r="AJ8" i="2" s="1"/>
  <c r="AK8" i="2" s="1"/>
  <c r="AL8" i="2" s="1"/>
  <c r="AE8" i="2"/>
  <c r="AD8" i="2"/>
  <c r="AC8" i="2"/>
  <c r="AE9" i="2"/>
  <c r="AF9" i="2" s="1"/>
  <c r="AD9" i="2"/>
  <c r="AC9" i="2"/>
  <c r="Y9" i="2"/>
  <c r="Z9" i="2" s="1"/>
  <c r="X9" i="2"/>
  <c r="AF25" i="2"/>
  <c r="Z8" i="2"/>
  <c r="AA8" i="2" s="1"/>
  <c r="Y8" i="2"/>
  <c r="X8" i="2"/>
  <c r="AA29" i="2"/>
  <c r="Z29" i="2"/>
  <c r="Y29" i="2"/>
  <c r="X29" i="2"/>
  <c r="AA28" i="2"/>
  <c r="Z28" i="2"/>
  <c r="Y28" i="2"/>
  <c r="X28" i="2"/>
  <c r="W28" i="2"/>
  <c r="AD26" i="2"/>
  <c r="X26" i="2"/>
  <c r="W26" i="2"/>
  <c r="AE25" i="2"/>
  <c r="AD25" i="2"/>
  <c r="Y25" i="2"/>
  <c r="X25" i="2"/>
  <c r="W25" i="2"/>
  <c r="W13" i="2"/>
  <c r="W11" i="2"/>
  <c r="W12" i="2" s="1"/>
  <c r="W15" i="2" s="1"/>
  <c r="W17" i="2" s="1"/>
  <c r="W16" i="2"/>
  <c r="W14" i="2"/>
  <c r="W10" i="2"/>
  <c r="W9" i="2"/>
  <c r="W8" i="2"/>
  <c r="AA6" i="2"/>
  <c r="Z6" i="2"/>
  <c r="Y6" i="2"/>
  <c r="X6" i="2"/>
  <c r="W6" i="2"/>
  <c r="AC7" i="2"/>
  <c r="AC6" i="2" s="1"/>
  <c r="AB7" i="2"/>
  <c r="AB12" i="2" s="1"/>
  <c r="AB29" i="2" s="1"/>
  <c r="AA7" i="2"/>
  <c r="Z7" i="2"/>
  <c r="Y7" i="2"/>
  <c r="X7" i="2"/>
  <c r="W7" i="2"/>
  <c r="AB22" i="2"/>
  <c r="AA22" i="2"/>
  <c r="Z22" i="2"/>
  <c r="Y22" i="2"/>
  <c r="X22" i="2"/>
  <c r="Z5" i="2"/>
  <c r="AA5" i="2" s="1"/>
  <c r="AB5" i="2" s="1"/>
  <c r="Y5" i="2"/>
  <c r="X5" i="2"/>
  <c r="Q5" i="2"/>
  <c r="P5" i="2"/>
  <c r="W5" i="2" s="1"/>
  <c r="W22" i="2" s="1"/>
  <c r="O5" i="2"/>
  <c r="N5" i="2"/>
  <c r="Q11" i="2"/>
  <c r="Q12" i="2" s="1"/>
  <c r="P11" i="2"/>
  <c r="O11" i="2"/>
  <c r="O12" i="2" s="1"/>
  <c r="O15" i="2" s="1"/>
  <c r="N11" i="2"/>
  <c r="Q9" i="2"/>
  <c r="Q26" i="2" s="1"/>
  <c r="P9" i="2"/>
  <c r="O9" i="2"/>
  <c r="N9" i="2"/>
  <c r="N26" i="2"/>
  <c r="Q8" i="2"/>
  <c r="P8" i="2"/>
  <c r="O8" i="2"/>
  <c r="O25" i="2" s="1"/>
  <c r="N8" i="2"/>
  <c r="N25" i="2" s="1"/>
  <c r="Q7" i="2"/>
  <c r="O7" i="2"/>
  <c r="N7" i="2"/>
  <c r="N28" i="2" s="1"/>
  <c r="Q6" i="2"/>
  <c r="O6" i="2"/>
  <c r="N6" i="2"/>
  <c r="Q28" i="2"/>
  <c r="P26" i="2"/>
  <c r="O26" i="2"/>
  <c r="Q25" i="2"/>
  <c r="P25" i="2"/>
  <c r="P23" i="2"/>
  <c r="Q22" i="2"/>
  <c r="P22" i="2"/>
  <c r="O22" i="2"/>
  <c r="N23" i="2"/>
  <c r="N22" i="2"/>
  <c r="U22" i="2"/>
  <c r="U25" i="2"/>
  <c r="U26" i="2"/>
  <c r="U28" i="2"/>
  <c r="U29" i="2"/>
  <c r="U30" i="2"/>
  <c r="M28" i="2"/>
  <c r="M26" i="2"/>
  <c r="M25" i="2"/>
  <c r="M23" i="2"/>
  <c r="M22" i="2"/>
  <c r="M12" i="2"/>
  <c r="M29" i="2" s="1"/>
  <c r="M11" i="2"/>
  <c r="M9" i="2"/>
  <c r="M8" i="2"/>
  <c r="M6" i="2"/>
  <c r="M7" i="2"/>
  <c r="V30" i="2"/>
  <c r="T30" i="2"/>
  <c r="T29" i="2"/>
  <c r="V29" i="2"/>
  <c r="T28" i="2"/>
  <c r="V28" i="2"/>
  <c r="V26" i="2"/>
  <c r="V25" i="2"/>
  <c r="V22" i="2"/>
  <c r="T11" i="2"/>
  <c r="T5" i="2"/>
  <c r="T7" i="2" s="1"/>
  <c r="U13" i="2"/>
  <c r="U11" i="2"/>
  <c r="U5" i="2"/>
  <c r="U7" i="2" s="1"/>
  <c r="V13" i="2"/>
  <c r="V11" i="2"/>
  <c r="V5" i="2"/>
  <c r="V7" i="2" s="1"/>
  <c r="K26" i="2"/>
  <c r="J26" i="2"/>
  <c r="I26" i="2"/>
  <c r="H26" i="2"/>
  <c r="G26" i="2"/>
  <c r="L26" i="2"/>
  <c r="K25" i="2"/>
  <c r="J25" i="2"/>
  <c r="I25" i="2"/>
  <c r="H25" i="2"/>
  <c r="G25" i="2"/>
  <c r="L25" i="2"/>
  <c r="E29" i="2"/>
  <c r="K28" i="2"/>
  <c r="H28" i="2"/>
  <c r="C28" i="2"/>
  <c r="F23" i="2"/>
  <c r="C13" i="2"/>
  <c r="C5" i="2"/>
  <c r="C7" i="2" s="1"/>
  <c r="C11" i="2"/>
  <c r="D11" i="2"/>
  <c r="D5" i="2"/>
  <c r="D7" i="2" s="1"/>
  <c r="D12" i="2" s="1"/>
  <c r="D15" i="2" s="1"/>
  <c r="D17" i="2" s="1"/>
  <c r="D19" i="2" s="1"/>
  <c r="E13" i="2"/>
  <c r="E11" i="2"/>
  <c r="E5" i="2"/>
  <c r="E7" i="2" s="1"/>
  <c r="E12" i="2" s="1"/>
  <c r="F13" i="2"/>
  <c r="F11" i="2"/>
  <c r="F5" i="2"/>
  <c r="F7" i="2" s="1"/>
  <c r="F28" i="2" s="1"/>
  <c r="G11" i="2"/>
  <c r="G5" i="2"/>
  <c r="G7" i="2" s="1"/>
  <c r="G28" i="2" s="1"/>
  <c r="H11" i="2"/>
  <c r="H5" i="2"/>
  <c r="H7" i="2" s="1"/>
  <c r="I11" i="2"/>
  <c r="I5" i="2"/>
  <c r="I7" i="2" s="1"/>
  <c r="I12" i="2" s="1"/>
  <c r="I15" i="2" s="1"/>
  <c r="I17" i="2" s="1"/>
  <c r="I19" i="2" s="1"/>
  <c r="J13" i="2"/>
  <c r="J11" i="2"/>
  <c r="J5" i="2"/>
  <c r="J7" i="2" s="1"/>
  <c r="J28" i="2" s="1"/>
  <c r="K13" i="2"/>
  <c r="K11" i="2"/>
  <c r="K5" i="2"/>
  <c r="K7" i="2" s="1"/>
  <c r="L5" i="2"/>
  <c r="L7" i="2" s="1"/>
  <c r="L28" i="2" s="1"/>
  <c r="L11" i="2"/>
  <c r="L13" i="2"/>
  <c r="W2" i="2"/>
  <c r="X2" i="2" s="1"/>
  <c r="Y2" i="2" s="1"/>
  <c r="Z2" i="2" s="1"/>
  <c r="AA2" i="2" s="1"/>
  <c r="AB2" i="2" s="1"/>
  <c r="AC2" i="2" s="1"/>
  <c r="AD2" i="2" s="1"/>
  <c r="AE2" i="2" s="1"/>
  <c r="AF2" i="2" s="1"/>
  <c r="AG2" i="2" s="1"/>
  <c r="AH2" i="2" s="1"/>
  <c r="AI2" i="2" s="1"/>
  <c r="AJ2" i="2" s="1"/>
  <c r="AK2" i="2" s="1"/>
  <c r="AL2" i="2" s="1"/>
  <c r="U2" i="2"/>
  <c r="T2" i="2" s="1"/>
  <c r="J6" i="1"/>
  <c r="J10" i="1" s="1"/>
  <c r="J5" i="1"/>
  <c r="AC22" i="2" l="1"/>
  <c r="AC28" i="2"/>
  <c r="AC12" i="2"/>
  <c r="AC29" i="2" s="1"/>
  <c r="AD7" i="2"/>
  <c r="AD6" i="2" s="1"/>
  <c r="AD22" i="2"/>
  <c r="AB6" i="2"/>
  <c r="AB28" i="2"/>
  <c r="X17" i="2"/>
  <c r="X32" i="2" s="1"/>
  <c r="AL14" i="2"/>
  <c r="AJ10" i="2"/>
  <c r="AK10" i="2"/>
  <c r="AL10" i="2"/>
  <c r="AI10" i="2"/>
  <c r="AF10" i="2"/>
  <c r="W29" i="2"/>
  <c r="W30" i="2"/>
  <c r="AG10" i="2"/>
  <c r="AG9" i="2"/>
  <c r="AF26" i="2"/>
  <c r="AE26" i="2"/>
  <c r="Z26" i="2"/>
  <c r="AA9" i="2"/>
  <c r="Y26" i="2"/>
  <c r="AB8" i="2"/>
  <c r="AA25" i="2"/>
  <c r="Z25" i="2"/>
  <c r="P7" i="2"/>
  <c r="P12" i="2"/>
  <c r="Q23" i="2"/>
  <c r="N12" i="2"/>
  <c r="N15" i="2" s="1"/>
  <c r="Q29" i="2"/>
  <c r="Q15" i="2"/>
  <c r="N29" i="2"/>
  <c r="O16" i="2"/>
  <c r="O30" i="2" s="1"/>
  <c r="P15" i="2"/>
  <c r="P29" i="2"/>
  <c r="M15" i="2"/>
  <c r="M16" i="2" s="1"/>
  <c r="M30" i="2" s="1"/>
  <c r="O29" i="2"/>
  <c r="O23" i="2"/>
  <c r="O28" i="2"/>
  <c r="J8" i="1"/>
  <c r="T12" i="2"/>
  <c r="T15" i="2" s="1"/>
  <c r="T17" i="2" s="1"/>
  <c r="U12" i="2"/>
  <c r="U15" i="2" s="1"/>
  <c r="U17" i="2" s="1"/>
  <c r="V12" i="2"/>
  <c r="V15" i="2" s="1"/>
  <c r="V17" i="2" s="1"/>
  <c r="H22" i="2"/>
  <c r="I29" i="2"/>
  <c r="L23" i="2"/>
  <c r="K23" i="2"/>
  <c r="D28" i="2"/>
  <c r="D30" i="2"/>
  <c r="D23" i="2"/>
  <c r="H23" i="2"/>
  <c r="L22" i="2"/>
  <c r="J22" i="2"/>
  <c r="E28" i="2"/>
  <c r="I28" i="2"/>
  <c r="I30" i="2"/>
  <c r="J23" i="2"/>
  <c r="G23" i="2"/>
  <c r="I22" i="2"/>
  <c r="E23" i="2"/>
  <c r="I23" i="2"/>
  <c r="G22" i="2"/>
  <c r="K22" i="2"/>
  <c r="D29" i="2"/>
  <c r="C12" i="2"/>
  <c r="E15" i="2"/>
  <c r="F12" i="2"/>
  <c r="G12" i="2"/>
  <c r="L12" i="2"/>
  <c r="K12" i="2"/>
  <c r="H12" i="2"/>
  <c r="J12" i="2"/>
  <c r="AE7" i="2" l="1"/>
  <c r="AE22" i="2"/>
  <c r="AD12" i="2"/>
  <c r="AD29" i="2" s="1"/>
  <c r="AD28" i="2"/>
  <c r="Y13" i="2"/>
  <c r="Y15" i="2" s="1"/>
  <c r="AH9" i="2"/>
  <c r="AG26" i="2"/>
  <c r="AB9" i="2"/>
  <c r="AA26" i="2"/>
  <c r="AG25" i="2"/>
  <c r="AC25" i="2"/>
  <c r="AB25" i="2"/>
  <c r="O17" i="2"/>
  <c r="O19" i="2" s="1"/>
  <c r="P6" i="2"/>
  <c r="P28" i="2"/>
  <c r="P17" i="2"/>
  <c r="P19" i="2" s="1"/>
  <c r="P16" i="2"/>
  <c r="P30" i="2" s="1"/>
  <c r="N16" i="2"/>
  <c r="N30" i="2" s="1"/>
  <c r="Q16" i="2"/>
  <c r="Q30" i="2" s="1"/>
  <c r="M17" i="2"/>
  <c r="M19" i="2" s="1"/>
  <c r="E17" i="2"/>
  <c r="E19" i="2" s="1"/>
  <c r="E30" i="2"/>
  <c r="L15" i="2"/>
  <c r="L29" i="2"/>
  <c r="C15" i="2"/>
  <c r="C29" i="2"/>
  <c r="H15" i="2"/>
  <c r="H29" i="2"/>
  <c r="F15" i="2"/>
  <c r="F29" i="2"/>
  <c r="K15" i="2"/>
  <c r="K29" i="2"/>
  <c r="J15" i="2"/>
  <c r="J29" i="2"/>
  <c r="G15" i="2"/>
  <c r="G29" i="2"/>
  <c r="AE12" i="2" l="1"/>
  <c r="AE29" i="2" s="1"/>
  <c r="AE28" i="2"/>
  <c r="AF7" i="2"/>
  <c r="AF6" i="2" s="1"/>
  <c r="AF22" i="2"/>
  <c r="AE6" i="2"/>
  <c r="Y16" i="2"/>
  <c r="Y30" i="2" s="1"/>
  <c r="Y17" i="2"/>
  <c r="Y32" i="2" s="1"/>
  <c r="AI9" i="2"/>
  <c r="AH26" i="2"/>
  <c r="AC26" i="2"/>
  <c r="AB26" i="2"/>
  <c r="AH25" i="2"/>
  <c r="Q17" i="2"/>
  <c r="Q19" i="2" s="1"/>
  <c r="N17" i="2"/>
  <c r="N19" i="2" s="1"/>
  <c r="K17" i="2"/>
  <c r="K19" i="2" s="1"/>
  <c r="K30" i="2"/>
  <c r="H17" i="2"/>
  <c r="H19" i="2" s="1"/>
  <c r="H30" i="2"/>
  <c r="L17" i="2"/>
  <c r="L19" i="2" s="1"/>
  <c r="L30" i="2"/>
  <c r="G17" i="2"/>
  <c r="G19" i="2" s="1"/>
  <c r="G30" i="2"/>
  <c r="J17" i="2"/>
  <c r="J19" i="2" s="1"/>
  <c r="J30" i="2"/>
  <c r="F17" i="2"/>
  <c r="F19" i="2" s="1"/>
  <c r="F30" i="2"/>
  <c r="C17" i="2"/>
  <c r="C19" i="2" s="1"/>
  <c r="C30" i="2"/>
  <c r="AG7" i="2" l="1"/>
  <c r="AG6" i="2" s="1"/>
  <c r="AG22" i="2"/>
  <c r="AF12" i="2"/>
  <c r="AF29" i="2" s="1"/>
  <c r="AF28" i="2"/>
  <c r="Z13" i="2"/>
  <c r="Z15" i="2" s="1"/>
  <c r="AJ9" i="2"/>
  <c r="AI26" i="2"/>
  <c r="AI25" i="2"/>
  <c r="AI5" i="2" l="1"/>
  <c r="AH7" i="2"/>
  <c r="AH6" i="2" s="1"/>
  <c r="AH22" i="2"/>
  <c r="AG12" i="2"/>
  <c r="AG29" i="2" s="1"/>
  <c r="AG28" i="2"/>
  <c r="Z16" i="2"/>
  <c r="Z30" i="2" s="1"/>
  <c r="Z17" i="2"/>
  <c r="Z32" i="2" s="1"/>
  <c r="AK9" i="2"/>
  <c r="AJ26" i="2"/>
  <c r="AJ25" i="2"/>
  <c r="AJ5" i="2" l="1"/>
  <c r="AI7" i="2"/>
  <c r="AI22" i="2"/>
  <c r="AH12" i="2"/>
  <c r="AH29" i="2" s="1"/>
  <c r="AH28" i="2"/>
  <c r="AA13" i="2"/>
  <c r="AA15" i="2" s="1"/>
  <c r="AL9" i="2"/>
  <c r="AL26" i="2" s="1"/>
  <c r="AK26" i="2"/>
  <c r="AL25" i="2"/>
  <c r="AK25" i="2"/>
  <c r="AI12" i="2" l="1"/>
  <c r="AI29" i="2" s="1"/>
  <c r="AI28" i="2"/>
  <c r="AI6" i="2"/>
  <c r="AK5" i="2"/>
  <c r="AJ7" i="2"/>
  <c r="AJ6" i="2" s="1"/>
  <c r="AJ22" i="2"/>
  <c r="AA16" i="2"/>
  <c r="AA30" i="2" s="1"/>
  <c r="AL5" i="2" l="1"/>
  <c r="AK7" i="2"/>
  <c r="AK22" i="2"/>
  <c r="AJ12" i="2"/>
  <c r="AJ29" i="2" s="1"/>
  <c r="AJ28" i="2"/>
  <c r="AA17" i="2"/>
  <c r="AA32" i="2" s="1"/>
  <c r="AK12" i="2" l="1"/>
  <c r="AK29" i="2" s="1"/>
  <c r="AK28" i="2"/>
  <c r="AK6" i="2"/>
  <c r="AL7" i="2"/>
  <c r="AL6" i="2" s="1"/>
  <c r="AL22" i="2"/>
  <c r="AB13" i="2"/>
  <c r="AB15" i="2" s="1"/>
  <c r="AL12" i="2" l="1"/>
  <c r="AL29" i="2" s="1"/>
  <c r="AL28" i="2"/>
  <c r="AB16" i="2"/>
  <c r="AB30" i="2" s="1"/>
  <c r="AB17" i="2" l="1"/>
  <c r="AB32" i="2" l="1"/>
  <c r="AC13" i="2" s="1"/>
  <c r="AC15" i="2" s="1"/>
  <c r="AC16" i="2" l="1"/>
  <c r="AC30" i="2" s="1"/>
  <c r="AC17" i="2" l="1"/>
  <c r="AC32" i="2" l="1"/>
  <c r="AD13" i="2" s="1"/>
  <c r="AD15" i="2" s="1"/>
  <c r="AD16" i="2" l="1"/>
  <c r="AD30" i="2" s="1"/>
  <c r="AD17" i="2"/>
  <c r="AD32" i="2" l="1"/>
  <c r="AE13" i="2"/>
  <c r="AE15" i="2" s="1"/>
  <c r="AE16" i="2" l="1"/>
  <c r="AE17" i="2" s="1"/>
  <c r="AE32" i="2" l="1"/>
  <c r="AF13" i="2" s="1"/>
  <c r="AF15" i="2" s="1"/>
  <c r="AF16" i="2" s="1"/>
  <c r="AE30" i="2"/>
  <c r="AF17" i="2" l="1"/>
  <c r="AF30" i="2"/>
  <c r="AF32" i="2" l="1"/>
  <c r="AG13" i="2" s="1"/>
  <c r="AG15" i="2" s="1"/>
  <c r="AG16" i="2" l="1"/>
  <c r="AG30" i="2" s="1"/>
  <c r="AG17" i="2" l="1"/>
  <c r="AG32" i="2" s="1"/>
  <c r="AH13" i="2" s="1"/>
  <c r="AH15" i="2" s="1"/>
  <c r="AH16" i="2" l="1"/>
  <c r="AH30" i="2" s="1"/>
  <c r="AH17" i="2" l="1"/>
  <c r="AH32" i="2" s="1"/>
  <c r="AI13" i="2" l="1"/>
  <c r="AI15" i="2" s="1"/>
  <c r="AI16" i="2" s="1"/>
  <c r="AI17" i="2" l="1"/>
  <c r="AI32" i="2" s="1"/>
  <c r="AI30" i="2"/>
  <c r="AJ13" i="2" l="1"/>
  <c r="AJ15" i="2" s="1"/>
  <c r="AJ16" i="2" s="1"/>
  <c r="AJ17" i="2" l="1"/>
  <c r="AJ32" i="2" s="1"/>
  <c r="AJ30" i="2"/>
  <c r="AK13" i="2" l="1"/>
  <c r="AK15" i="2" s="1"/>
  <c r="AK16" i="2" l="1"/>
  <c r="AK30" i="2" s="1"/>
  <c r="AK17" i="2" l="1"/>
  <c r="AK32" i="2" s="1"/>
  <c r="AL13" i="2" l="1"/>
  <c r="AL15" i="2" s="1"/>
  <c r="AL16" i="2" l="1"/>
  <c r="AL30" i="2" s="1"/>
  <c r="AL17" i="2" l="1"/>
  <c r="AL32" i="2" l="1"/>
  <c r="AM17" i="2"/>
  <c r="AN17" i="2" s="1"/>
  <c r="AO17" i="2" s="1"/>
  <c r="AP17" i="2" s="1"/>
  <c r="AQ17" i="2" s="1"/>
  <c r="AR17" i="2" s="1"/>
  <c r="AS17" i="2" s="1"/>
  <c r="AT17" i="2" s="1"/>
  <c r="AU17" i="2" s="1"/>
  <c r="AV17" i="2" s="1"/>
  <c r="AW17" i="2" s="1"/>
  <c r="AX17" i="2" s="1"/>
  <c r="AY17" i="2" s="1"/>
  <c r="AZ17" i="2" s="1"/>
  <c r="BA17" i="2" s="1"/>
  <c r="BB17" i="2" s="1"/>
  <c r="BC17" i="2" s="1"/>
  <c r="BD17" i="2" s="1"/>
  <c r="BE17" i="2" s="1"/>
  <c r="BF17" i="2" s="1"/>
  <c r="BG17" i="2" s="1"/>
  <c r="BH17" i="2" s="1"/>
  <c r="BI17" i="2" s="1"/>
  <c r="BJ17" i="2" s="1"/>
  <c r="BK17" i="2" s="1"/>
  <c r="BL17" i="2" s="1"/>
  <c r="BM17" i="2" s="1"/>
  <c r="BN17" i="2" s="1"/>
  <c r="BO17" i="2" s="1"/>
  <c r="BP17" i="2" s="1"/>
  <c r="BQ17" i="2" s="1"/>
  <c r="BR17" i="2" s="1"/>
  <c r="BS17" i="2" s="1"/>
  <c r="BT17" i="2" s="1"/>
  <c r="BU17" i="2" s="1"/>
  <c r="BV17" i="2" s="1"/>
  <c r="BW17" i="2" s="1"/>
  <c r="BX17" i="2" s="1"/>
  <c r="BY17" i="2" s="1"/>
  <c r="BZ17" i="2" s="1"/>
  <c r="CA17" i="2" s="1"/>
  <c r="CB17" i="2" s="1"/>
  <c r="CC17" i="2" s="1"/>
  <c r="CD17" i="2" s="1"/>
  <c r="CE17" i="2" s="1"/>
  <c r="CF17" i="2" s="1"/>
  <c r="CG17" i="2" s="1"/>
  <c r="CH17" i="2" s="1"/>
  <c r="CI17" i="2" s="1"/>
  <c r="CJ17" i="2" s="1"/>
  <c r="CK17" i="2" s="1"/>
  <c r="CL17" i="2" s="1"/>
  <c r="CM17" i="2" s="1"/>
  <c r="CN17" i="2" s="1"/>
  <c r="CO17" i="2" s="1"/>
  <c r="CP17" i="2" s="1"/>
  <c r="CQ17" i="2" s="1"/>
  <c r="CR17" i="2" s="1"/>
  <c r="CS17" i="2" s="1"/>
  <c r="CT17" i="2" s="1"/>
  <c r="CU17" i="2" s="1"/>
  <c r="CV17" i="2" s="1"/>
  <c r="CW17" i="2" s="1"/>
  <c r="CX17" i="2" s="1"/>
  <c r="CY17" i="2" s="1"/>
  <c r="CZ17" i="2" s="1"/>
  <c r="DA17" i="2" s="1"/>
  <c r="DB17" i="2" s="1"/>
  <c r="DC17" i="2" s="1"/>
  <c r="DD17" i="2" s="1"/>
  <c r="DE17" i="2" s="1"/>
  <c r="DF17" i="2" s="1"/>
  <c r="DG17" i="2" s="1"/>
  <c r="DH17" i="2" s="1"/>
  <c r="DI17" i="2" s="1"/>
  <c r="DJ17" i="2" s="1"/>
  <c r="DK17" i="2" s="1"/>
  <c r="DL17" i="2" s="1"/>
  <c r="DM17" i="2" s="1"/>
  <c r="DN17" i="2" s="1"/>
  <c r="DO17" i="2" s="1"/>
  <c r="DP17" i="2" s="1"/>
  <c r="DQ17" i="2" s="1"/>
  <c r="AP30" i="2" s="1"/>
  <c r="AP32" i="2" s="1"/>
  <c r="AP3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Bobby S</author>
  </authors>
  <commentList>
    <comment ref="K2" authorId="0" shapeId="0" xr:uid="{46F12D18-F210-44EA-845C-BA4AC27CD469}">
      <text>
        <r>
          <rPr>
            <b/>
            <sz val="9"/>
            <color indexed="81"/>
            <rFont val="Tahoma"/>
            <charset val="1"/>
          </rPr>
          <t>Bobby S:</t>
        </r>
        <r>
          <rPr>
            <sz val="9"/>
            <color indexed="81"/>
            <rFont val="Tahoma"/>
            <charset val="1"/>
          </rPr>
          <t xml:space="preserve">
growth expectation &gt;&gt;25% going forward</t>
        </r>
      </text>
    </comment>
    <comment ref="L2" authorId="0" shapeId="0" xr:uid="{160AD61F-0517-4358-99E1-BD930F3AB9FD}">
      <text>
        <r>
          <rPr>
            <b/>
            <sz val="9"/>
            <color indexed="81"/>
            <rFont val="Tahoma"/>
            <charset val="1"/>
          </rPr>
          <t>Bobby S:</t>
        </r>
        <r>
          <rPr>
            <sz val="9"/>
            <color indexed="81"/>
            <rFont val="Tahoma"/>
            <charset val="1"/>
          </rPr>
          <t xml:space="preserve">
v9 adoption stuck at 25% 3 quarters. They say this is a good thing because ramp up is slower. Total mkt growing so stuck at 25% is still overall growth.</t>
        </r>
      </text>
    </comment>
    <comment ref="U2" authorId="0" shapeId="0" xr:uid="{FD0DF4F6-FBC2-4C24-A5BD-842D7DA45AC9}">
      <text>
        <r>
          <rPr>
            <b/>
            <sz val="9"/>
            <color indexed="81"/>
            <rFont val="Tahoma"/>
            <family val="2"/>
          </rPr>
          <t>Bobby S:</t>
        </r>
        <r>
          <rPr>
            <sz val="9"/>
            <color indexed="81"/>
            <rFont val="Tahoma"/>
            <family val="2"/>
          </rPr>
          <t xml:space="preserve">
RPO about 1.7bn</t>
        </r>
      </text>
    </comment>
    <comment ref="V2" authorId="0" shapeId="0" xr:uid="{F9674E62-1A51-4EDA-8209-30BAD584ED8A}">
      <text>
        <r>
          <rPr>
            <b/>
            <sz val="9"/>
            <color indexed="81"/>
            <rFont val="Tahoma"/>
            <family val="2"/>
          </rPr>
          <t>Bobby S:</t>
        </r>
        <r>
          <rPr>
            <sz val="9"/>
            <color indexed="81"/>
            <rFont val="Tahoma"/>
            <family val="2"/>
          </rPr>
          <t xml:space="preserve">
RPO about 2.5bn, takes about 4y to rev rec all</t>
        </r>
      </text>
    </comment>
    <comment ref="Y2" authorId="0" shapeId="0" xr:uid="{022FC57C-7DB9-4AD2-BF36-9AC82DA642F7}">
      <text>
        <r>
          <rPr>
            <b/>
            <sz val="9"/>
            <color indexed="81"/>
            <rFont val="Tahoma"/>
            <charset val="1"/>
          </rPr>
          <t>v7 and v8 had a peak run rate of 10y. But they think it'll keep growing cuz of many ai advances. And not peak nearly as fast as v7/8</t>
        </r>
      </text>
    </comment>
    <comment ref="M5" authorId="0" shapeId="0" xr:uid="{CCCFB377-0048-4DDA-9191-E21E484ADE98}">
      <text>
        <r>
          <rPr>
            <b/>
            <sz val="9"/>
            <color indexed="81"/>
            <rFont val="Tahoma"/>
            <charset val="1"/>
          </rPr>
          <t>1.175-1.275 guidance</t>
        </r>
      </text>
    </comment>
    <comment ref="V5" authorId="0" shapeId="0" xr:uid="{4577118A-4D50-41CD-B550-945FA7B8EFAE}">
      <text>
        <r>
          <rPr>
            <b/>
            <sz val="9"/>
            <color indexed="81"/>
            <rFont val="Tahoma"/>
            <family val="2"/>
          </rPr>
          <t>armv9 came out q1 2021. v9 should 2x or more v8. 3 years to about 70-80% penetration. But 3y to start getting any revenue. So maybe 2027 will be end of most of v9 juice.</t>
        </r>
      </text>
    </comment>
    <comment ref="B8" authorId="0" shapeId="0" xr:uid="{29B4AD3E-8AA5-4915-9ECC-E69E0DDFF0E7}">
      <text>
        <r>
          <rPr>
            <b/>
            <sz val="9"/>
            <color indexed="81"/>
            <rFont val="Tahoma"/>
            <family val="2"/>
          </rPr>
          <t>includes salries, sbc, bonsuses and benefits (engineers probably)</t>
        </r>
      </text>
    </comment>
    <comment ref="B9" authorId="0" shapeId="0" xr:uid="{0999375A-AA56-46B2-8531-60C0F4B694DD}">
      <text>
        <r>
          <rPr>
            <b/>
            <sz val="9"/>
            <color indexed="81"/>
            <rFont val="Tahoma"/>
            <family val="2"/>
          </rPr>
          <t>includes salaries, bonus, sbc also (in s&amp;m department)</t>
        </r>
      </text>
    </comment>
    <comment ref="G11" authorId="0" shapeId="0" xr:uid="{FB1910B1-F776-40F2-9C26-479368D55BE8}">
      <text>
        <r>
          <rPr>
            <b/>
            <sz val="9"/>
            <color indexed="81"/>
            <rFont val="Tahoma"/>
            <family val="2"/>
          </rPr>
          <t>Bobby S:</t>
        </r>
        <r>
          <rPr>
            <sz val="9"/>
            <color indexed="81"/>
            <rFont val="Tahoma"/>
            <family val="2"/>
          </rPr>
          <t xml:space="preserve">
big one time social security expense</t>
        </r>
      </text>
    </comment>
    <comment ref="X16" authorId="0" shapeId="0" xr:uid="{B206AAC8-8228-4099-8477-A514B6B924EB}">
      <text>
        <r>
          <rPr>
            <b/>
            <sz val="9"/>
            <color indexed="81"/>
            <rFont val="Tahoma"/>
            <family val="2"/>
          </rPr>
          <t>Bobby S:</t>
        </r>
        <r>
          <rPr>
            <sz val="9"/>
            <color indexed="81"/>
            <rFont val="Tahoma"/>
            <family val="2"/>
          </rPr>
          <t xml:space="preserve">
uk corp tax rate 25%</t>
        </r>
      </text>
    </comment>
    <comment ref="B29" authorId="0" shapeId="0" xr:uid="{2111FC0D-383C-4B15-8564-00752D7EC28B}">
      <text>
        <r>
          <rPr>
            <b/>
            <sz val="9"/>
            <color indexed="81"/>
            <rFont val="Tahoma"/>
            <family val="2"/>
          </rPr>
          <t>Bobby S:</t>
        </r>
        <r>
          <rPr>
            <sz val="9"/>
            <color indexed="81"/>
            <rFont val="Tahoma"/>
            <family val="2"/>
          </rPr>
          <t xml:space="preserve">
Long term op target, 60%</t>
        </r>
      </text>
    </comment>
  </commentList>
</comments>
</file>

<file path=xl/sharedStrings.xml><?xml version="1.0" encoding="utf-8"?>
<sst xmlns="http://schemas.openxmlformats.org/spreadsheetml/2006/main" count="100" uniqueCount="89">
  <si>
    <t>Price</t>
  </si>
  <si>
    <t>Shares</t>
  </si>
  <si>
    <t>MC</t>
  </si>
  <si>
    <t>Cash</t>
  </si>
  <si>
    <t>Debt</t>
  </si>
  <si>
    <t>EV</t>
  </si>
  <si>
    <t>Q424</t>
  </si>
  <si>
    <t>Q324</t>
  </si>
  <si>
    <t>Net cash</t>
  </si>
  <si>
    <t>Revenue</t>
  </si>
  <si>
    <t>Q223</t>
  </si>
  <si>
    <t>Q323</t>
  </si>
  <si>
    <t>Q423</t>
  </si>
  <si>
    <t>Q124</t>
  </si>
  <si>
    <t>Q224</t>
  </si>
  <si>
    <t>Q125</t>
  </si>
  <si>
    <t>Q225</t>
  </si>
  <si>
    <t>Q325</t>
  </si>
  <si>
    <t>Q425</t>
  </si>
  <si>
    <t>Business</t>
  </si>
  <si>
    <t>Architects, develops, and licenses high-perf, low-cost, and energy-efficient chips</t>
  </si>
  <si>
    <t>They don't build chips, they design architectures and license it out.</t>
  </si>
  <si>
    <t>Primary Markets</t>
  </si>
  <si>
    <t>Mobile app processor</t>
  </si>
  <si>
    <t>Other mobile chipes like modem, wifi, bluetooth</t>
  </si>
  <si>
    <t>Consumer electronics</t>
  </si>
  <si>
    <t>IOT and embedded</t>
  </si>
  <si>
    <t>Networking equipment</t>
  </si>
  <si>
    <t>Cloud compute</t>
  </si>
  <si>
    <t>Other Infra</t>
  </si>
  <si>
    <t>Auto</t>
  </si>
  <si>
    <t>Competition</t>
  </si>
  <si>
    <t>x86</t>
  </si>
  <si>
    <t>will always be around as long as there are windows, or at least for foreseeable future</t>
  </si>
  <si>
    <t>RISC-V</t>
  </si>
  <si>
    <t>Strengths</t>
  </si>
  <si>
    <t>Momentum and most ppl already familiar with ARM</t>
  </si>
  <si>
    <t>open source so why would anyone pay for ARM? Basically vert integrated vs. open-source like aapl vs linux</t>
  </si>
  <si>
    <t>"Revenue from related parties"</t>
  </si>
  <si>
    <t>From ARM china, customers where they have equity method investment, and other entities related to ARM holdings by common control of SoftBank group</t>
  </si>
  <si>
    <t>Revenue from external customers</t>
  </si>
  <si>
    <t>Revenue from related parties</t>
  </si>
  <si>
    <t>COGs</t>
  </si>
  <si>
    <t>Gross Profit</t>
  </si>
  <si>
    <t>R&amp;D</t>
  </si>
  <si>
    <t>SG&amp;A</t>
  </si>
  <si>
    <t>Restructure</t>
  </si>
  <si>
    <t>OpEx</t>
  </si>
  <si>
    <t>Operating Income</t>
  </si>
  <si>
    <t>Interest Income</t>
  </si>
  <si>
    <t>Other Income</t>
  </si>
  <si>
    <t>Pretax Income</t>
  </si>
  <si>
    <t>Taxes</t>
  </si>
  <si>
    <t>Net Income</t>
  </si>
  <si>
    <t>EPS</t>
  </si>
  <si>
    <t>3/3/123</t>
  </si>
  <si>
    <t>Gross Margin</t>
  </si>
  <si>
    <t>Operating Margin</t>
  </si>
  <si>
    <t>Revenue YoY</t>
  </si>
  <si>
    <t>Revenue QoQ</t>
  </si>
  <si>
    <t>R&amp;D Growth</t>
  </si>
  <si>
    <t>SG&amp;A Growth</t>
  </si>
  <si>
    <t>Will their R&amp;D outpace revenue growth long term?</t>
  </si>
  <si>
    <t>RISC-V switching? How many customers are going to RISC-V?</t>
  </si>
  <si>
    <t>Growth Factors</t>
  </si>
  <si>
    <t>AI R&amp;D supercycle, up 100% yoy in Q224</t>
  </si>
  <si>
    <t>Expects AI to ramp up significantly next few years. "Table stakes all edge devices will have AI"</t>
  </si>
  <si>
    <t>ARMv9 pivot = gave more money. V9 apparently has more vector and security fencing ("Realms") (AI/cloud applications)</t>
  </si>
  <si>
    <t>Down Factors</t>
  </si>
  <si>
    <t>Need a lot of R&amp;D to get good enough compute and continue to do arch with good enough compute to sustain growth</t>
  </si>
  <si>
    <t>AAPL moved over, will continue growth with M chips. Windows is moving over.</t>
  </si>
  <si>
    <t>Mean Reversion between</t>
  </si>
  <si>
    <t>ARM and some linear combination of their major partners?</t>
  </si>
  <si>
    <t>If partners come under attack with policies (entity watch list), they won't be able to collect royalties</t>
  </si>
  <si>
    <t>New infrastructure business - tech solutions for data center, 5G networks, and HPC.</t>
  </si>
  <si>
    <t>Cycle Time</t>
  </si>
  <si>
    <t>2-3 years auto, 2.5 years for chips. So maybe 2.5 years from opex increase to rev rec</t>
  </si>
  <si>
    <t>Customers sticky (many been with ARM 15-20 years)</t>
  </si>
  <si>
    <t>Already 70-80% penetration for ARMv9 in 2024. How much more juice from v9? And how long does it take to revrec? Also, even if penetration stagnates, TAM can increase for high content chips</t>
  </si>
  <si>
    <t>NVIDIA and other big companies pulling and accelerating ARM to data center</t>
  </si>
  <si>
    <t>Compute subsystem: new Ips rolling out for AI data centers to speed up custom accelerator development.</t>
  </si>
  <si>
    <t>QCOM/ARM dispute</t>
  </si>
  <si>
    <t>Net Cash</t>
  </si>
  <si>
    <t>ROIC</t>
  </si>
  <si>
    <t>Maturity</t>
  </si>
  <si>
    <t>Discount Rate</t>
  </si>
  <si>
    <t>NPV</t>
  </si>
  <si>
    <t>Difference</t>
  </si>
  <si>
    <t>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</si>
</sst>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u/>
      <sz val="11"/>
      <color theme="1"/>
      <name val="Aptos Narrow"/>
      <family val="2"/>
      <scheme val="minor"/>
    </font>
    <font>
      <sz val="9"/>
      <color indexed="81"/>
      <name val="Tahoma"/>
      <family val="2"/>
    </font>
    <font>
      <b/>
      <sz val="9"/>
      <color indexed="81"/>
      <name val="Tahoma"/>
      <family val="2"/>
    </font>
    <font>
      <u/>
      <sz val="11"/>
      <color theme="10"/>
      <name val="Aptos Narrow"/>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3" fontId="0" fillId="0" borderId="0" xfId="0" applyNumberFormat="1"/>
    <xf numFmtId="14" fontId="0" fillId="0" borderId="0" xfId="0" applyNumberFormat="1"/>
    <xf numFmtId="0" fontId="0" fillId="0" borderId="0" xfId="0" applyAlignment="1">
      <alignment horizontal="right"/>
    </xf>
    <xf numFmtId="0" fontId="2" fillId="0" borderId="0" xfId="0" applyFont="1"/>
    <xf numFmtId="0" fontId="0" fillId="0" borderId="0" xfId="0" applyFont="1"/>
    <xf numFmtId="3" fontId="1" fillId="0" borderId="0" xfId="0" applyNumberFormat="1" applyFont="1"/>
    <xf numFmtId="4" fontId="0" fillId="0" borderId="0" xfId="0" applyNumberFormat="1"/>
    <xf numFmtId="9" fontId="0" fillId="0" borderId="0" xfId="0" applyNumberFormat="1"/>
    <xf numFmtId="0" fontId="5" fillId="0" borderId="0" xfId="1" applyAlignment="1">
      <alignment horizontal="right"/>
    </xf>
    <xf numFmtId="3" fontId="0" fillId="0" borderId="0" xfId="0" applyNumberFormat="1" applyFont="1"/>
    <xf numFmtId="38"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23814</xdr:colOff>
      <xdr:row>0</xdr:row>
      <xdr:rowOff>42863</xdr:rowOff>
    </xdr:from>
    <xdr:to>
      <xdr:col>13</xdr:col>
      <xdr:colOff>23814</xdr:colOff>
      <xdr:row>51</xdr:row>
      <xdr:rowOff>61913</xdr:rowOff>
    </xdr:to>
    <xdr:cxnSp macro="">
      <xdr:nvCxnSpPr>
        <xdr:cNvPr id="3" name="Straight Connector 2">
          <a:extLst>
            <a:ext uri="{FF2B5EF4-FFF2-40B4-BE49-F238E27FC236}">
              <a16:creationId xmlns:a16="http://schemas.microsoft.com/office/drawing/2014/main" id="{63E6A831-2146-DF67-06A8-4FFFBBEFFDB8}"/>
            </a:ext>
          </a:extLst>
        </xdr:cNvPr>
        <xdr:cNvCxnSpPr/>
      </xdr:nvCxnSpPr>
      <xdr:spPr>
        <a:xfrm>
          <a:off x="9091614" y="42863"/>
          <a:ext cx="0" cy="7981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22</xdr:col>
      <xdr:colOff>71438</xdr:colOff>
      <xdr:row>0</xdr:row>
      <xdr:rowOff>38100</xdr:rowOff>
    </xdr:from>
    <xdr:to>
      <xdr:col>22</xdr:col>
      <xdr:colOff>71438</xdr:colOff>
      <xdr:row>51</xdr:row>
      <xdr:rowOff>57150</xdr:rowOff>
    </xdr:to>
    <xdr:cxnSp macro="">
      <xdr:nvCxnSpPr>
        <xdr:cNvPr id="4" name="Straight Connector 3">
          <a:extLst>
            <a:ext uri="{FF2B5EF4-FFF2-40B4-BE49-F238E27FC236}">
              <a16:creationId xmlns:a16="http://schemas.microsoft.com/office/drawing/2014/main" id="{060460BE-BA36-44FD-AA47-0470EF0E0075}"/>
            </a:ext>
          </a:extLst>
        </xdr:cNvPr>
        <xdr:cNvCxnSpPr/>
      </xdr:nvCxnSpPr>
      <xdr:spPr>
        <a:xfrm>
          <a:off x="16911638" y="38100"/>
          <a:ext cx="0" cy="7981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investors.arm.com/static-files/32aa4e9a-0432-4db8-be1a-b2b9483134fe" TargetMode="External"/><Relationship Id="rId7" Type="http://schemas.openxmlformats.org/officeDocument/2006/relationships/drawing" Target="../drawings/drawing1.xml"/><Relationship Id="rId2" Type="http://schemas.openxmlformats.org/officeDocument/2006/relationships/hyperlink" Target="https://investors.arm.com/static-files/c383780b-44f8-42c0-a125-4f6db0b8eb06" TargetMode="External"/><Relationship Id="rId1" Type="http://schemas.openxmlformats.org/officeDocument/2006/relationships/hyperlink" Target="https://investors.arm.com/static-files/04e0fd13-9243-49ba-927f-288765598926" TargetMode="External"/><Relationship Id="rId6" Type="http://schemas.openxmlformats.org/officeDocument/2006/relationships/printerSettings" Target="../printerSettings/printerSettings2.bin"/><Relationship Id="rId5" Type="http://schemas.openxmlformats.org/officeDocument/2006/relationships/hyperlink" Target="https://investors.arm.com/static-files/f1190d81-408d-4276-a30c-b27c1ce5a30a" TargetMode="External"/><Relationship Id="rId4" Type="http://schemas.openxmlformats.org/officeDocument/2006/relationships/hyperlink" Target="https://investors.arm.com/static-files/623fece0-c947-4d93-94eb-e08e8dfad61b"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DC9D-FA17-448A-A85A-FAB3CE90D41D}">
  <dimension ref="B3:L53"/>
  <sheetViews>
    <sheetView workbookViewId="0">
      <selection activeCell="J4" sqref="J4"/>
    </sheetView>
  </sheetViews>
  <sheetFormatPr defaultRowHeight="14.25" x14ac:dyDescent="0.45"/>
  <cols>
    <col min="12" max="12" width="9.9296875" bestFit="1" customWidth="1"/>
  </cols>
  <sheetData>
    <row r="3" spans="2:12" x14ac:dyDescent="0.45">
      <c r="I3" t="s">
        <v>0</v>
      </c>
      <c r="J3">
        <v>118.63</v>
      </c>
    </row>
    <row r="4" spans="2:12" x14ac:dyDescent="0.45">
      <c r="B4" t="s">
        <v>62</v>
      </c>
      <c r="I4" t="s">
        <v>1</v>
      </c>
      <c r="J4" s="1">
        <v>1064</v>
      </c>
      <c r="K4" t="s">
        <v>7</v>
      </c>
      <c r="L4" s="2">
        <v>45657</v>
      </c>
    </row>
    <row r="5" spans="2:12" x14ac:dyDescent="0.45">
      <c r="B5" t="s">
        <v>63</v>
      </c>
      <c r="I5" t="s">
        <v>2</v>
      </c>
      <c r="J5" s="1">
        <f>+J3*J4</f>
        <v>126222.31999999999</v>
      </c>
    </row>
    <row r="6" spans="2:12" x14ac:dyDescent="0.45">
      <c r="I6" t="s">
        <v>3</v>
      </c>
      <c r="J6" s="1">
        <f>2036+635</f>
        <v>2671</v>
      </c>
      <c r="K6" t="s">
        <v>7</v>
      </c>
    </row>
    <row r="7" spans="2:12" x14ac:dyDescent="0.45">
      <c r="B7" s="4" t="s">
        <v>71</v>
      </c>
      <c r="I7" t="s">
        <v>4</v>
      </c>
      <c r="J7" s="1">
        <v>0</v>
      </c>
      <c r="K7" t="s">
        <v>7</v>
      </c>
    </row>
    <row r="8" spans="2:12" x14ac:dyDescent="0.45">
      <c r="B8" t="s">
        <v>72</v>
      </c>
      <c r="I8" t="s">
        <v>5</v>
      </c>
      <c r="J8" s="1">
        <f>+J5-J6</f>
        <v>123551.31999999999</v>
      </c>
    </row>
    <row r="10" spans="2:12" x14ac:dyDescent="0.45">
      <c r="I10" t="s">
        <v>8</v>
      </c>
      <c r="J10" s="1">
        <f>+J6-J7</f>
        <v>2671</v>
      </c>
    </row>
    <row r="15" spans="2:12" x14ac:dyDescent="0.45">
      <c r="B15" s="4" t="s">
        <v>19</v>
      </c>
    </row>
    <row r="16" spans="2:12" x14ac:dyDescent="0.45">
      <c r="B16" t="s">
        <v>20</v>
      </c>
    </row>
    <row r="17" spans="2:2" x14ac:dyDescent="0.45">
      <c r="B17" t="s">
        <v>21</v>
      </c>
    </row>
    <row r="21" spans="2:2" x14ac:dyDescent="0.45">
      <c r="B21" s="4" t="s">
        <v>22</v>
      </c>
    </row>
    <row r="22" spans="2:2" x14ac:dyDescent="0.45">
      <c r="B22" t="s">
        <v>23</v>
      </c>
    </row>
    <row r="23" spans="2:2" x14ac:dyDescent="0.45">
      <c r="B23" t="s">
        <v>24</v>
      </c>
    </row>
    <row r="24" spans="2:2" x14ac:dyDescent="0.45">
      <c r="B24" t="s">
        <v>25</v>
      </c>
    </row>
    <row r="25" spans="2:2" x14ac:dyDescent="0.45">
      <c r="B25" t="s">
        <v>26</v>
      </c>
    </row>
    <row r="26" spans="2:2" x14ac:dyDescent="0.45">
      <c r="B26" t="s">
        <v>27</v>
      </c>
    </row>
    <row r="27" spans="2:2" x14ac:dyDescent="0.45">
      <c r="B27" t="s">
        <v>28</v>
      </c>
    </row>
    <row r="28" spans="2:2" x14ac:dyDescent="0.45">
      <c r="B28" t="s">
        <v>29</v>
      </c>
    </row>
    <row r="29" spans="2:2" x14ac:dyDescent="0.45">
      <c r="B29" t="s">
        <v>30</v>
      </c>
    </row>
    <row r="32" spans="2:2" x14ac:dyDescent="0.45">
      <c r="B32" s="4" t="s">
        <v>31</v>
      </c>
    </row>
    <row r="33" spans="2:8" x14ac:dyDescent="0.45">
      <c r="B33" t="s">
        <v>32</v>
      </c>
      <c r="C33" t="s">
        <v>33</v>
      </c>
    </row>
    <row r="34" spans="2:8" x14ac:dyDescent="0.45">
      <c r="B34" t="s">
        <v>34</v>
      </c>
      <c r="C34" t="s">
        <v>37</v>
      </c>
    </row>
    <row r="36" spans="2:8" x14ac:dyDescent="0.45">
      <c r="B36" s="4" t="s">
        <v>35</v>
      </c>
      <c r="H36" s="5"/>
    </row>
    <row r="37" spans="2:8" x14ac:dyDescent="0.45">
      <c r="B37" t="s">
        <v>36</v>
      </c>
    </row>
    <row r="38" spans="2:8" x14ac:dyDescent="0.45">
      <c r="B38" t="s">
        <v>38</v>
      </c>
      <c r="C38" t="s">
        <v>39</v>
      </c>
    </row>
    <row r="40" spans="2:8" x14ac:dyDescent="0.45">
      <c r="B40" s="5"/>
    </row>
    <row r="41" spans="2:8" x14ac:dyDescent="0.45">
      <c r="B41" s="4" t="s">
        <v>64</v>
      </c>
      <c r="H41" s="4" t="s">
        <v>68</v>
      </c>
    </row>
    <row r="42" spans="2:8" x14ac:dyDescent="0.45">
      <c r="B42" s="5" t="s">
        <v>65</v>
      </c>
      <c r="H42" t="s">
        <v>69</v>
      </c>
    </row>
    <row r="43" spans="2:8" x14ac:dyDescent="0.45">
      <c r="B43" s="5" t="s">
        <v>66</v>
      </c>
      <c r="H43" t="s">
        <v>73</v>
      </c>
    </row>
    <row r="44" spans="2:8" x14ac:dyDescent="0.45">
      <c r="B44" s="5" t="s">
        <v>67</v>
      </c>
      <c r="H44" t="s">
        <v>78</v>
      </c>
    </row>
    <row r="45" spans="2:8" x14ac:dyDescent="0.45">
      <c r="B45" s="5" t="s">
        <v>70</v>
      </c>
      <c r="H45" t="s">
        <v>81</v>
      </c>
    </row>
    <row r="46" spans="2:8" x14ac:dyDescent="0.45">
      <c r="B46" s="5" t="s">
        <v>74</v>
      </c>
    </row>
    <row r="47" spans="2:8" x14ac:dyDescent="0.45">
      <c r="B47" s="5" t="s">
        <v>77</v>
      </c>
    </row>
    <row r="48" spans="2:8" x14ac:dyDescent="0.45">
      <c r="B48" s="5" t="s">
        <v>79</v>
      </c>
    </row>
    <row r="49" spans="2:2" x14ac:dyDescent="0.45">
      <c r="B49" s="5" t="s">
        <v>80</v>
      </c>
    </row>
    <row r="50" spans="2:2" x14ac:dyDescent="0.45">
      <c r="B50" s="5"/>
    </row>
    <row r="51" spans="2:2" x14ac:dyDescent="0.45">
      <c r="B51" s="5"/>
    </row>
    <row r="52" spans="2:2" x14ac:dyDescent="0.45">
      <c r="B52" s="4" t="s">
        <v>75</v>
      </c>
    </row>
    <row r="53" spans="2:2" x14ac:dyDescent="0.45">
      <c r="B53"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7415D-21A8-4383-8C2A-59A489E4EA19}">
  <dimension ref="B1:DQ40"/>
  <sheetViews>
    <sheetView tabSelected="1" workbookViewId="0">
      <pane xSplit="2" ySplit="2" topLeftCell="C3" activePane="bottomRight" state="frozen"/>
      <selection pane="topRight" activeCell="C1" sqref="C1"/>
      <selection pane="bottomLeft" activeCell="A3" sqref="A3"/>
      <selection pane="bottomRight" activeCell="E31" sqref="E31"/>
    </sheetView>
  </sheetViews>
  <sheetFormatPr defaultRowHeight="14.25" x14ac:dyDescent="0.45"/>
  <cols>
    <col min="2" max="2" width="26.9296875" bestFit="1" customWidth="1"/>
    <col min="3" max="5" width="9.796875" customWidth="1"/>
    <col min="6" max="6" width="8.9296875" bestFit="1" customWidth="1"/>
    <col min="8" max="8" width="9.9296875" bestFit="1" customWidth="1"/>
    <col min="12" max="12" width="9.9296875" bestFit="1" customWidth="1"/>
    <col min="42" max="42" width="10.3984375" bestFit="1" customWidth="1"/>
  </cols>
  <sheetData>
    <row r="1" spans="2:38" x14ac:dyDescent="0.45">
      <c r="C1" s="2">
        <v>44834</v>
      </c>
      <c r="D1" s="2">
        <v>44926</v>
      </c>
      <c r="E1" t="s">
        <v>55</v>
      </c>
      <c r="F1" s="2">
        <v>45107</v>
      </c>
      <c r="G1" s="2">
        <v>45199</v>
      </c>
      <c r="H1" s="2">
        <v>45291</v>
      </c>
      <c r="I1" s="2">
        <v>45382</v>
      </c>
      <c r="J1" s="2">
        <v>45473</v>
      </c>
      <c r="K1" s="2">
        <v>45565</v>
      </c>
      <c r="L1" s="2">
        <v>45657</v>
      </c>
    </row>
    <row r="2" spans="2:38" s="3" customFormat="1" x14ac:dyDescent="0.45">
      <c r="C2" s="3" t="s">
        <v>10</v>
      </c>
      <c r="D2" s="3" t="s">
        <v>11</v>
      </c>
      <c r="E2" s="3" t="s">
        <v>12</v>
      </c>
      <c r="F2" s="3" t="s">
        <v>13</v>
      </c>
      <c r="G2" s="9" t="s">
        <v>14</v>
      </c>
      <c r="H2" s="9" t="s">
        <v>7</v>
      </c>
      <c r="I2" s="9" t="s">
        <v>6</v>
      </c>
      <c r="J2" s="3" t="s">
        <v>15</v>
      </c>
      <c r="K2" s="9" t="s">
        <v>16</v>
      </c>
      <c r="L2" s="9" t="s">
        <v>17</v>
      </c>
      <c r="M2" s="3" t="s">
        <v>6</v>
      </c>
      <c r="N2" s="3" t="s">
        <v>15</v>
      </c>
      <c r="O2" s="3" t="s">
        <v>16</v>
      </c>
      <c r="P2" s="3" t="s">
        <v>17</v>
      </c>
      <c r="Q2" s="3" t="s">
        <v>18</v>
      </c>
      <c r="T2" s="3">
        <f t="shared" ref="T2" si="0">+U2-1</f>
        <v>2022</v>
      </c>
      <c r="U2" s="3">
        <f>+V2-1</f>
        <v>2023</v>
      </c>
      <c r="V2" s="3">
        <v>2024</v>
      </c>
      <c r="W2" s="3">
        <f>+V2+1</f>
        <v>2025</v>
      </c>
      <c r="X2" s="3">
        <f t="shared" ref="X2:AL2" si="1">+W2+1</f>
        <v>2026</v>
      </c>
      <c r="Y2" s="3">
        <f t="shared" si="1"/>
        <v>2027</v>
      </c>
      <c r="Z2" s="3">
        <f t="shared" si="1"/>
        <v>2028</v>
      </c>
      <c r="AA2" s="3">
        <f t="shared" si="1"/>
        <v>2029</v>
      </c>
      <c r="AB2" s="3">
        <f t="shared" si="1"/>
        <v>2030</v>
      </c>
      <c r="AC2" s="3">
        <f t="shared" si="1"/>
        <v>2031</v>
      </c>
      <c r="AD2" s="3">
        <f t="shared" si="1"/>
        <v>2032</v>
      </c>
      <c r="AE2" s="3">
        <f t="shared" si="1"/>
        <v>2033</v>
      </c>
      <c r="AF2" s="3">
        <f t="shared" si="1"/>
        <v>2034</v>
      </c>
      <c r="AG2" s="3">
        <f t="shared" si="1"/>
        <v>2035</v>
      </c>
      <c r="AH2" s="3">
        <f t="shared" si="1"/>
        <v>2036</v>
      </c>
      <c r="AI2" s="3">
        <f t="shared" si="1"/>
        <v>2037</v>
      </c>
      <c r="AJ2" s="3">
        <f t="shared" si="1"/>
        <v>2038</v>
      </c>
      <c r="AK2" s="3">
        <f t="shared" si="1"/>
        <v>2039</v>
      </c>
      <c r="AL2" s="3">
        <f t="shared" si="1"/>
        <v>2040</v>
      </c>
    </row>
    <row r="3" spans="2:38" s="1" customFormat="1" x14ac:dyDescent="0.45">
      <c r="B3" s="1" t="s">
        <v>40</v>
      </c>
      <c r="C3" s="1">
        <v>469</v>
      </c>
      <c r="D3" s="1">
        <v>533</v>
      </c>
      <c r="E3" s="1">
        <v>499</v>
      </c>
      <c r="F3" s="1">
        <v>535</v>
      </c>
      <c r="G3" s="1">
        <v>644</v>
      </c>
      <c r="H3" s="1">
        <v>576</v>
      </c>
      <c r="I3" s="1">
        <v>754</v>
      </c>
      <c r="J3" s="1">
        <v>815</v>
      </c>
      <c r="K3" s="1">
        <v>652</v>
      </c>
      <c r="L3" s="1">
        <v>698</v>
      </c>
      <c r="T3" s="1">
        <v>2219</v>
      </c>
      <c r="U3" s="1">
        <v>2025</v>
      </c>
      <c r="V3" s="1">
        <v>2509</v>
      </c>
    </row>
    <row r="4" spans="2:38" s="1" customFormat="1" x14ac:dyDescent="0.45">
      <c r="B4" s="1" t="s">
        <v>41</v>
      </c>
      <c r="C4" s="1">
        <v>161</v>
      </c>
      <c r="D4" s="1">
        <v>191</v>
      </c>
      <c r="E4" s="1">
        <v>134</v>
      </c>
      <c r="F4" s="1">
        <v>140</v>
      </c>
      <c r="G4" s="1">
        <v>162</v>
      </c>
      <c r="H4" s="1">
        <v>248</v>
      </c>
      <c r="I4" s="1">
        <v>174</v>
      </c>
      <c r="J4" s="1">
        <v>124</v>
      </c>
      <c r="K4" s="1">
        <v>192</v>
      </c>
      <c r="L4" s="1">
        <v>285</v>
      </c>
      <c r="T4" s="1">
        <v>484</v>
      </c>
      <c r="U4" s="1">
        <v>654</v>
      </c>
      <c r="V4" s="1">
        <v>724</v>
      </c>
    </row>
    <row r="5" spans="2:38" s="6" customFormat="1" x14ac:dyDescent="0.45">
      <c r="B5" s="6" t="s">
        <v>9</v>
      </c>
      <c r="C5" s="6">
        <f>+C3+C4</f>
        <v>630</v>
      </c>
      <c r="D5" s="6">
        <f>+D3+D4</f>
        <v>724</v>
      </c>
      <c r="E5" s="6">
        <f>+E3+E4</f>
        <v>633</v>
      </c>
      <c r="F5" s="6">
        <f>+F3+F4</f>
        <v>675</v>
      </c>
      <c r="G5" s="6">
        <f>+G3+G4</f>
        <v>806</v>
      </c>
      <c r="H5" s="6">
        <f>+H3+H4</f>
        <v>824</v>
      </c>
      <c r="I5" s="6">
        <f>+I3+I4</f>
        <v>928</v>
      </c>
      <c r="J5" s="6">
        <f>+J3+J4</f>
        <v>939</v>
      </c>
      <c r="K5" s="6">
        <f>+K3+K4</f>
        <v>844</v>
      </c>
      <c r="L5" s="6">
        <f>+L3+L4</f>
        <v>983</v>
      </c>
      <c r="M5" s="6">
        <v>1200</v>
      </c>
      <c r="N5" s="6">
        <f>+J5*1.25</f>
        <v>1173.75</v>
      </c>
      <c r="O5" s="6">
        <f t="shared" ref="O5:Q5" si="2">+K5*1.25</f>
        <v>1055</v>
      </c>
      <c r="P5" s="6">
        <f t="shared" si="2"/>
        <v>1228.75</v>
      </c>
      <c r="Q5" s="6">
        <f t="shared" si="2"/>
        <v>1500</v>
      </c>
      <c r="T5" s="6">
        <f>+T3+T4</f>
        <v>2703</v>
      </c>
      <c r="U5" s="6">
        <f>+U3+U4</f>
        <v>2679</v>
      </c>
      <c r="V5" s="6">
        <f>+V3+V4</f>
        <v>3233</v>
      </c>
      <c r="W5" s="6">
        <f>SUM(N5:Q5)</f>
        <v>4957.5</v>
      </c>
      <c r="X5" s="6">
        <f>+W5*1.3</f>
        <v>6444.75</v>
      </c>
      <c r="Y5" s="6">
        <f>+X5*1.2</f>
        <v>7733.7</v>
      </c>
      <c r="Z5" s="6">
        <f t="shared" ref="Z5:AH5" si="3">+Y5*1.2</f>
        <v>9280.4399999999987</v>
      </c>
      <c r="AA5" s="6">
        <f t="shared" si="3"/>
        <v>11136.527999999998</v>
      </c>
      <c r="AB5" s="6">
        <f t="shared" si="3"/>
        <v>13363.833599999998</v>
      </c>
      <c r="AC5" s="6">
        <f>+AB5*1.01</f>
        <v>13497.471935999998</v>
      </c>
      <c r="AD5" s="6">
        <f t="shared" ref="AD5:AL5" si="4">+AC5*1.01</f>
        <v>13632.446655359998</v>
      </c>
      <c r="AE5" s="6">
        <f t="shared" si="4"/>
        <v>13768.771121913598</v>
      </c>
      <c r="AF5" s="6">
        <f t="shared" si="4"/>
        <v>13906.458833132734</v>
      </c>
      <c r="AG5" s="6">
        <f t="shared" si="4"/>
        <v>14045.523421464062</v>
      </c>
      <c r="AH5" s="6">
        <f t="shared" si="4"/>
        <v>14185.978655678702</v>
      </c>
      <c r="AI5" s="6">
        <f t="shared" si="4"/>
        <v>14327.838442235488</v>
      </c>
      <c r="AJ5" s="6">
        <f t="shared" si="4"/>
        <v>14471.116826657844</v>
      </c>
      <c r="AK5" s="6">
        <f t="shared" si="4"/>
        <v>14615.827994924422</v>
      </c>
      <c r="AL5" s="6">
        <f t="shared" si="4"/>
        <v>14761.986274873667</v>
      </c>
    </row>
    <row r="6" spans="2:38" s="1" customFormat="1" x14ac:dyDescent="0.45">
      <c r="B6" s="1" t="s">
        <v>42</v>
      </c>
      <c r="C6" s="1">
        <v>25</v>
      </c>
      <c r="D6" s="1">
        <v>29</v>
      </c>
      <c r="E6" s="1">
        <v>27</v>
      </c>
      <c r="F6" s="1">
        <v>31</v>
      </c>
      <c r="G6" s="1">
        <v>46</v>
      </c>
      <c r="H6" s="1">
        <v>36</v>
      </c>
      <c r="I6" s="1">
        <v>41</v>
      </c>
      <c r="J6" s="1">
        <v>33</v>
      </c>
      <c r="K6" s="1">
        <v>32</v>
      </c>
      <c r="L6" s="1">
        <v>28</v>
      </c>
      <c r="M6" s="1">
        <f>+M5-M7</f>
        <v>36</v>
      </c>
      <c r="N6" s="1">
        <f t="shared" ref="N6:Q6" si="5">+N5-N7</f>
        <v>35.212500000000091</v>
      </c>
      <c r="O6" s="1">
        <f t="shared" si="5"/>
        <v>31.649999999999977</v>
      </c>
      <c r="P6" s="1">
        <f t="shared" si="5"/>
        <v>36.862499999999955</v>
      </c>
      <c r="Q6" s="1">
        <f t="shared" si="5"/>
        <v>45</v>
      </c>
      <c r="T6" s="1">
        <v>131</v>
      </c>
      <c r="U6" s="1">
        <v>106</v>
      </c>
      <c r="V6" s="1">
        <v>154</v>
      </c>
      <c r="W6" s="1">
        <f>+W5-W7</f>
        <v>148.72500000000036</v>
      </c>
      <c r="X6" s="1">
        <f t="shared" ref="X6:AL6" si="6">+X5-X7</f>
        <v>193.34249999999975</v>
      </c>
      <c r="Y6" s="1">
        <f t="shared" si="6"/>
        <v>232.01100000000042</v>
      </c>
      <c r="Z6" s="1">
        <f t="shared" si="6"/>
        <v>278.41320000000087</v>
      </c>
      <c r="AA6" s="1">
        <f t="shared" si="6"/>
        <v>334.09583999999995</v>
      </c>
      <c r="AB6" s="1">
        <f t="shared" si="6"/>
        <v>400.91500799999994</v>
      </c>
      <c r="AC6" s="1">
        <f t="shared" si="6"/>
        <v>404.92415808000078</v>
      </c>
      <c r="AD6" s="1">
        <f t="shared" si="6"/>
        <v>408.97339966080108</v>
      </c>
      <c r="AE6" s="1">
        <f t="shared" si="6"/>
        <v>413.06313365740789</v>
      </c>
      <c r="AF6" s="1">
        <f t="shared" si="6"/>
        <v>417.19376499398277</v>
      </c>
      <c r="AG6" s="1">
        <f t="shared" si="6"/>
        <v>421.3657026439214</v>
      </c>
      <c r="AH6" s="1">
        <f t="shared" si="6"/>
        <v>425.57935967036065</v>
      </c>
      <c r="AI6" s="1">
        <f t="shared" si="6"/>
        <v>429.83515326706583</v>
      </c>
      <c r="AJ6" s="1">
        <f t="shared" si="6"/>
        <v>434.13350479973633</v>
      </c>
      <c r="AK6" s="1">
        <f t="shared" si="6"/>
        <v>438.47483984773316</v>
      </c>
      <c r="AL6" s="1">
        <f t="shared" si="6"/>
        <v>442.85958824621048</v>
      </c>
    </row>
    <row r="7" spans="2:38" s="1" customFormat="1" x14ac:dyDescent="0.45">
      <c r="B7" s="1" t="s">
        <v>43</v>
      </c>
      <c r="C7" s="1">
        <f>+C5-C6</f>
        <v>605</v>
      </c>
      <c r="D7" s="1">
        <f>+D5-D6</f>
        <v>695</v>
      </c>
      <c r="E7" s="1">
        <f>+E5-E6</f>
        <v>606</v>
      </c>
      <c r="F7" s="1">
        <f>+F5-F6</f>
        <v>644</v>
      </c>
      <c r="G7" s="1">
        <f>+G5-G6</f>
        <v>760</v>
      </c>
      <c r="H7" s="1">
        <f>+H5-H6</f>
        <v>788</v>
      </c>
      <c r="I7" s="1">
        <f>+I5-I6</f>
        <v>887</v>
      </c>
      <c r="J7" s="1">
        <f>+J5-J6</f>
        <v>906</v>
      </c>
      <c r="K7" s="1">
        <f>+K5-K6</f>
        <v>812</v>
      </c>
      <c r="L7" s="1">
        <f>+L5-L6</f>
        <v>955</v>
      </c>
      <c r="M7" s="1">
        <f>+M5*0.97</f>
        <v>1164</v>
      </c>
      <c r="N7" s="1">
        <f t="shared" ref="N7:Q7" si="7">+N5*0.97</f>
        <v>1138.5374999999999</v>
      </c>
      <c r="O7" s="1">
        <f t="shared" si="7"/>
        <v>1023.35</v>
      </c>
      <c r="P7" s="1">
        <f t="shared" si="7"/>
        <v>1191.8875</v>
      </c>
      <c r="Q7" s="1">
        <f t="shared" si="7"/>
        <v>1455</v>
      </c>
      <c r="T7" s="1">
        <f>+T5-T6</f>
        <v>2572</v>
      </c>
      <c r="U7" s="1">
        <f>+U5-U6</f>
        <v>2573</v>
      </c>
      <c r="V7" s="1">
        <f>+V5-V6</f>
        <v>3079</v>
      </c>
      <c r="W7" s="1">
        <f t="shared" ref="W7:AL7" si="8">+W5*0.97</f>
        <v>4808.7749999999996</v>
      </c>
      <c r="X7" s="1">
        <f t="shared" si="8"/>
        <v>6251.4075000000003</v>
      </c>
      <c r="Y7" s="1">
        <f t="shared" si="8"/>
        <v>7501.6889999999994</v>
      </c>
      <c r="Z7" s="1">
        <f t="shared" si="8"/>
        <v>9002.0267999999978</v>
      </c>
      <c r="AA7" s="1">
        <f t="shared" si="8"/>
        <v>10802.432159999998</v>
      </c>
      <c r="AB7" s="1">
        <f t="shared" si="8"/>
        <v>12962.918591999998</v>
      </c>
      <c r="AC7" s="1">
        <f t="shared" si="8"/>
        <v>13092.547777919997</v>
      </c>
      <c r="AD7" s="1">
        <f t="shared" si="8"/>
        <v>13223.473255699197</v>
      </c>
      <c r="AE7" s="1">
        <f t="shared" si="8"/>
        <v>13355.70798825619</v>
      </c>
      <c r="AF7" s="1">
        <f t="shared" si="8"/>
        <v>13489.265068138751</v>
      </c>
      <c r="AG7" s="1">
        <f t="shared" si="8"/>
        <v>13624.157718820141</v>
      </c>
      <c r="AH7" s="1">
        <f t="shared" si="8"/>
        <v>13760.399296008341</v>
      </c>
      <c r="AI7" s="1">
        <f t="shared" si="8"/>
        <v>13898.003288968423</v>
      </c>
      <c r="AJ7" s="1">
        <f t="shared" si="8"/>
        <v>14036.983321858108</v>
      </c>
      <c r="AK7" s="1">
        <f t="shared" si="8"/>
        <v>14177.353155076689</v>
      </c>
      <c r="AL7" s="1">
        <f t="shared" si="8"/>
        <v>14319.126686627456</v>
      </c>
    </row>
    <row r="8" spans="2:38" s="1" customFormat="1" x14ac:dyDescent="0.45">
      <c r="B8" s="1" t="s">
        <v>44</v>
      </c>
      <c r="C8" s="1">
        <v>248</v>
      </c>
      <c r="D8" s="1">
        <v>286</v>
      </c>
      <c r="E8" s="1">
        <v>381</v>
      </c>
      <c r="F8" s="1">
        <v>337</v>
      </c>
      <c r="G8" s="1">
        <v>626</v>
      </c>
      <c r="H8" s="1">
        <v>432</v>
      </c>
      <c r="I8" s="1">
        <v>584</v>
      </c>
      <c r="J8" s="1">
        <v>485</v>
      </c>
      <c r="K8" s="1">
        <v>507</v>
      </c>
      <c r="L8" s="1">
        <v>533</v>
      </c>
      <c r="M8" s="1">
        <f>+I8*1.3</f>
        <v>759.2</v>
      </c>
      <c r="N8" s="1">
        <f>+J8*1.2</f>
        <v>582</v>
      </c>
      <c r="O8" s="1">
        <f t="shared" ref="O8:Q8" si="9">+K8*1.2</f>
        <v>608.4</v>
      </c>
      <c r="P8" s="1">
        <f t="shared" si="9"/>
        <v>639.6</v>
      </c>
      <c r="Q8" s="1">
        <f t="shared" si="9"/>
        <v>911.04000000000008</v>
      </c>
      <c r="T8" s="1">
        <v>995</v>
      </c>
      <c r="U8" s="1">
        <v>1133</v>
      </c>
      <c r="V8" s="1">
        <v>1979</v>
      </c>
      <c r="W8" s="10">
        <f>SUM(N8:Q8)</f>
        <v>2741.04</v>
      </c>
      <c r="X8" s="1">
        <f>+W8*1.15</f>
        <v>3152.1959999999999</v>
      </c>
      <c r="Y8" s="1">
        <f t="shared" ref="Y8:AB8" si="10">+X8*1.15</f>
        <v>3625.0253999999995</v>
      </c>
      <c r="Z8" s="1">
        <f t="shared" si="10"/>
        <v>4168.7792099999988</v>
      </c>
      <c r="AA8" s="1">
        <f t="shared" si="10"/>
        <v>4794.0960914999978</v>
      </c>
      <c r="AB8" s="1">
        <f t="shared" si="10"/>
        <v>5513.2105052249972</v>
      </c>
      <c r="AC8" s="1">
        <f>+AB8*0.95</f>
        <v>5237.5499799637473</v>
      </c>
      <c r="AD8" s="1">
        <f t="shared" ref="AD8:AL8" si="11">+AC8*0.95</f>
        <v>4975.6724809655598</v>
      </c>
      <c r="AE8" s="1">
        <f t="shared" si="11"/>
        <v>4726.8888569172814</v>
      </c>
      <c r="AF8" s="1">
        <f t="shared" si="11"/>
        <v>4490.5444140714171</v>
      </c>
      <c r="AG8" s="1">
        <f t="shared" si="11"/>
        <v>4266.0171933678457</v>
      </c>
      <c r="AH8" s="1">
        <f t="shared" si="11"/>
        <v>4052.7163336994531</v>
      </c>
      <c r="AI8" s="1">
        <f t="shared" si="11"/>
        <v>3850.0805170144804</v>
      </c>
      <c r="AJ8" s="1">
        <f t="shared" si="11"/>
        <v>3657.5764911637561</v>
      </c>
      <c r="AK8" s="1">
        <f t="shared" si="11"/>
        <v>3474.697666605568</v>
      </c>
      <c r="AL8" s="1">
        <f t="shared" si="11"/>
        <v>3300.9627832752894</v>
      </c>
    </row>
    <row r="9" spans="2:38" s="1" customFormat="1" x14ac:dyDescent="0.45">
      <c r="B9" s="1" t="s">
        <v>45</v>
      </c>
      <c r="C9" s="1">
        <v>172</v>
      </c>
      <c r="D9" s="1">
        <v>163</v>
      </c>
      <c r="E9" s="1">
        <v>274</v>
      </c>
      <c r="F9" s="1">
        <v>196</v>
      </c>
      <c r="G9" s="1">
        <v>290</v>
      </c>
      <c r="H9" s="1">
        <v>216</v>
      </c>
      <c r="I9" s="1">
        <v>281</v>
      </c>
      <c r="J9" s="1">
        <v>239</v>
      </c>
      <c r="K9" s="1">
        <v>241</v>
      </c>
      <c r="L9" s="1">
        <v>247</v>
      </c>
      <c r="M9" s="1">
        <f>+I9*1.08</f>
        <v>303.48</v>
      </c>
      <c r="N9" s="1">
        <f>+J9*1.15</f>
        <v>274.84999999999997</v>
      </c>
      <c r="O9" s="1">
        <f t="shared" ref="O9:Q9" si="12">+K9*1.15</f>
        <v>277.14999999999998</v>
      </c>
      <c r="P9" s="1">
        <f t="shared" si="12"/>
        <v>284.04999999999995</v>
      </c>
      <c r="Q9" s="1">
        <f t="shared" si="12"/>
        <v>349.00200000000001</v>
      </c>
      <c r="T9" s="1">
        <v>897</v>
      </c>
      <c r="U9" s="1">
        <v>762</v>
      </c>
      <c r="V9" s="1">
        <v>983</v>
      </c>
      <c r="W9" s="10">
        <f>SUM(N9:Q9)</f>
        <v>1185.0519999999999</v>
      </c>
      <c r="X9" s="1">
        <f>+W9*1.15</f>
        <v>1362.8097999999998</v>
      </c>
      <c r="Y9" s="1">
        <f t="shared" ref="Y9:AB9" si="13">+X9*1.15</f>
        <v>1567.2312699999995</v>
      </c>
      <c r="Z9" s="1">
        <f t="shared" si="13"/>
        <v>1802.3159604999994</v>
      </c>
      <c r="AA9" s="1">
        <f t="shared" si="13"/>
        <v>2072.6633545749992</v>
      </c>
      <c r="AB9" s="1">
        <f t="shared" si="13"/>
        <v>2383.5628577612488</v>
      </c>
      <c r="AC9" s="1">
        <f>+AB9*0.97</f>
        <v>2312.0559720284114</v>
      </c>
      <c r="AD9" s="1">
        <f t="shared" ref="AD9:AL9" si="14">+AC9*0.97</f>
        <v>2242.6942928675589</v>
      </c>
      <c r="AE9" s="1">
        <f t="shared" si="14"/>
        <v>2175.4134640815323</v>
      </c>
      <c r="AF9" s="1">
        <f t="shared" si="14"/>
        <v>2110.1510601590862</v>
      </c>
      <c r="AG9" s="1">
        <f t="shared" si="14"/>
        <v>2046.8465283543135</v>
      </c>
      <c r="AH9" s="1">
        <f t="shared" si="14"/>
        <v>1985.441132503684</v>
      </c>
      <c r="AI9" s="1">
        <f t="shared" si="14"/>
        <v>1925.8778985285735</v>
      </c>
      <c r="AJ9" s="1">
        <f t="shared" si="14"/>
        <v>1868.1015615727163</v>
      </c>
      <c r="AK9" s="1">
        <f t="shared" si="14"/>
        <v>1812.0585147255347</v>
      </c>
      <c r="AL9" s="1">
        <f t="shared" si="14"/>
        <v>1757.6967592837686</v>
      </c>
    </row>
    <row r="10" spans="2:38" s="1" customFormat="1" x14ac:dyDescent="0.45">
      <c r="B10" s="1" t="s">
        <v>46</v>
      </c>
      <c r="C10" s="1">
        <v>2</v>
      </c>
      <c r="D10" s="1">
        <v>2</v>
      </c>
      <c r="E10" s="1">
        <v>1</v>
      </c>
      <c r="F10" s="1">
        <v>0</v>
      </c>
      <c r="G10" s="1">
        <v>0</v>
      </c>
      <c r="H10" s="1">
        <v>6</v>
      </c>
      <c r="I10" s="1">
        <v>0</v>
      </c>
      <c r="J10" s="1">
        <v>0</v>
      </c>
      <c r="K10" s="1">
        <v>0</v>
      </c>
      <c r="L10" s="1">
        <v>0</v>
      </c>
      <c r="M10" s="1">
        <v>0</v>
      </c>
      <c r="N10" s="1">
        <v>0</v>
      </c>
      <c r="O10" s="1">
        <v>0</v>
      </c>
      <c r="P10" s="1">
        <v>0</v>
      </c>
      <c r="Q10" s="1">
        <v>0</v>
      </c>
      <c r="T10" s="1">
        <v>26</v>
      </c>
      <c r="U10" s="1">
        <v>7</v>
      </c>
      <c r="V10" s="1">
        <v>6</v>
      </c>
      <c r="W10" s="10">
        <f>SUM(N10:Q10)</f>
        <v>0</v>
      </c>
      <c r="X10" s="10">
        <f t="shared" ref="X10:AL10" si="15">SUM(O10:R10)</f>
        <v>0</v>
      </c>
      <c r="Y10" s="10">
        <f t="shared" si="15"/>
        <v>0</v>
      </c>
      <c r="Z10" s="10">
        <f t="shared" si="15"/>
        <v>26</v>
      </c>
      <c r="AA10" s="10">
        <f t="shared" si="15"/>
        <v>33</v>
      </c>
      <c r="AB10" s="10">
        <f t="shared" si="15"/>
        <v>39</v>
      </c>
      <c r="AC10" s="10">
        <f t="shared" si="15"/>
        <v>39</v>
      </c>
      <c r="AD10" s="10">
        <f t="shared" si="15"/>
        <v>13</v>
      </c>
      <c r="AE10" s="10">
        <f t="shared" si="15"/>
        <v>6</v>
      </c>
      <c r="AF10" s="10">
        <f t="shared" si="15"/>
        <v>26</v>
      </c>
      <c r="AG10" s="10">
        <f t="shared" si="15"/>
        <v>59</v>
      </c>
      <c r="AH10" s="10">
        <f t="shared" si="15"/>
        <v>98</v>
      </c>
      <c r="AI10" s="10">
        <f t="shared" si="15"/>
        <v>137</v>
      </c>
      <c r="AJ10" s="10">
        <f t="shared" si="15"/>
        <v>124</v>
      </c>
      <c r="AK10" s="10">
        <f t="shared" si="15"/>
        <v>97</v>
      </c>
      <c r="AL10" s="10">
        <f t="shared" si="15"/>
        <v>84</v>
      </c>
    </row>
    <row r="11" spans="2:38" s="1" customFormat="1" x14ac:dyDescent="0.45">
      <c r="B11" s="1" t="s">
        <v>47</v>
      </c>
      <c r="C11" s="1">
        <f>SUM(C8:C10)</f>
        <v>422</v>
      </c>
      <c r="D11" s="1">
        <f>SUM(D8:D10)</f>
        <v>451</v>
      </c>
      <c r="E11" s="1">
        <f>SUM(E8:E10)</f>
        <v>656</v>
      </c>
      <c r="F11" s="1">
        <f>SUM(F8:F10)</f>
        <v>533</v>
      </c>
      <c r="G11" s="1">
        <f>SUM(G8:G10)</f>
        <v>916</v>
      </c>
      <c r="H11" s="1">
        <f>SUM(H8:H10)</f>
        <v>654</v>
      </c>
      <c r="I11" s="1">
        <f>SUM(I8:I10)</f>
        <v>865</v>
      </c>
      <c r="J11" s="1">
        <f>SUM(J8:J10)</f>
        <v>724</v>
      </c>
      <c r="K11" s="1">
        <f>SUM(K8:K10)</f>
        <v>748</v>
      </c>
      <c r="L11" s="1">
        <f>SUM(L8:L10)</f>
        <v>780</v>
      </c>
      <c r="M11" s="1">
        <f>SUM(M8:M10)</f>
        <v>1062.68</v>
      </c>
      <c r="N11" s="1">
        <f t="shared" ref="N11:Q11" si="16">SUM(N8:N10)</f>
        <v>856.84999999999991</v>
      </c>
      <c r="O11" s="1">
        <f t="shared" si="16"/>
        <v>885.55</v>
      </c>
      <c r="P11" s="1">
        <f t="shared" si="16"/>
        <v>923.65</v>
      </c>
      <c r="Q11" s="1">
        <f t="shared" si="16"/>
        <v>1260.0420000000001</v>
      </c>
      <c r="T11" s="1">
        <f>SUM(T8:T10)</f>
        <v>1918</v>
      </c>
      <c r="U11" s="1">
        <f>SUM(U8:U10)</f>
        <v>1902</v>
      </c>
      <c r="V11" s="1">
        <f>SUM(V8:V10)</f>
        <v>2968</v>
      </c>
      <c r="W11" s="1">
        <f>SUM(W8:W10)</f>
        <v>3926.0919999999996</v>
      </c>
      <c r="X11" s="1">
        <f t="shared" ref="X11:AL11" si="17">SUM(X8:X10)</f>
        <v>4515.0057999999999</v>
      </c>
      <c r="Y11" s="1">
        <f t="shared" si="17"/>
        <v>5192.2566699999988</v>
      </c>
      <c r="Z11" s="1">
        <f t="shared" si="17"/>
        <v>5997.0951704999979</v>
      </c>
      <c r="AA11" s="1">
        <f t="shared" si="17"/>
        <v>6899.759446074997</v>
      </c>
      <c r="AB11" s="1">
        <f t="shared" si="17"/>
        <v>7935.773362986246</v>
      </c>
      <c r="AC11" s="1">
        <f t="shared" si="17"/>
        <v>7588.6059519921582</v>
      </c>
      <c r="AD11" s="1">
        <f t="shared" si="17"/>
        <v>7231.3667738331187</v>
      </c>
      <c r="AE11" s="1">
        <f t="shared" si="17"/>
        <v>6908.3023209988132</v>
      </c>
      <c r="AF11" s="1">
        <f t="shared" si="17"/>
        <v>6626.6954742305034</v>
      </c>
      <c r="AG11" s="1">
        <f t="shared" si="17"/>
        <v>6371.8637217221594</v>
      </c>
      <c r="AH11" s="1">
        <f t="shared" si="17"/>
        <v>6136.1574662031371</v>
      </c>
      <c r="AI11" s="1">
        <f t="shared" si="17"/>
        <v>5912.9584155430539</v>
      </c>
      <c r="AJ11" s="1">
        <f t="shared" si="17"/>
        <v>5649.6780527364726</v>
      </c>
      <c r="AK11" s="1">
        <f t="shared" si="17"/>
        <v>5383.7561813311022</v>
      </c>
      <c r="AL11" s="1">
        <f t="shared" si="17"/>
        <v>5142.6595425590585</v>
      </c>
    </row>
    <row r="12" spans="2:38" s="1" customFormat="1" x14ac:dyDescent="0.45">
      <c r="B12" s="1" t="s">
        <v>48</v>
      </c>
      <c r="C12" s="1">
        <f>+C7-C11</f>
        <v>183</v>
      </c>
      <c r="D12" s="1">
        <f>+D7-D11</f>
        <v>244</v>
      </c>
      <c r="E12" s="1">
        <f>+E7-E11</f>
        <v>-50</v>
      </c>
      <c r="F12" s="1">
        <f>+F7-F11</f>
        <v>111</v>
      </c>
      <c r="G12" s="1">
        <f>+G7-G11</f>
        <v>-156</v>
      </c>
      <c r="H12" s="1">
        <f>+H7-H11</f>
        <v>134</v>
      </c>
      <c r="I12" s="1">
        <f>+I7-I11</f>
        <v>22</v>
      </c>
      <c r="J12" s="1">
        <f>+J7-J11</f>
        <v>182</v>
      </c>
      <c r="K12" s="1">
        <f>+K7-K11</f>
        <v>64</v>
      </c>
      <c r="L12" s="1">
        <f>+L7-L11</f>
        <v>175</v>
      </c>
      <c r="M12" s="1">
        <f>+M7-M11</f>
        <v>101.31999999999994</v>
      </c>
      <c r="N12" s="1">
        <f t="shared" ref="N12:Q12" si="18">+N7-N11</f>
        <v>281.6875</v>
      </c>
      <c r="O12" s="1">
        <f t="shared" si="18"/>
        <v>137.80000000000007</v>
      </c>
      <c r="P12" s="1">
        <f t="shared" si="18"/>
        <v>268.23750000000007</v>
      </c>
      <c r="Q12" s="1">
        <f t="shared" si="18"/>
        <v>194.95799999999986</v>
      </c>
      <c r="T12" s="1">
        <f>+T7-T11</f>
        <v>654</v>
      </c>
      <c r="U12" s="1">
        <f>+U7-U11</f>
        <v>671</v>
      </c>
      <c r="V12" s="1">
        <f>+V7-V11</f>
        <v>111</v>
      </c>
      <c r="W12" s="1">
        <f>+W7-W11</f>
        <v>882.68299999999999</v>
      </c>
      <c r="X12" s="1">
        <f t="shared" ref="X12:AL12" si="19">+X7-X11</f>
        <v>1736.4017000000003</v>
      </c>
      <c r="Y12" s="1">
        <f t="shared" si="19"/>
        <v>2309.4323300000005</v>
      </c>
      <c r="Z12" s="1">
        <f t="shared" si="19"/>
        <v>3004.9316294999999</v>
      </c>
      <c r="AA12" s="1">
        <f t="shared" si="19"/>
        <v>3902.6727139250015</v>
      </c>
      <c r="AB12" s="1">
        <f t="shared" si="19"/>
        <v>5027.1452290137522</v>
      </c>
      <c r="AC12" s="1">
        <f t="shared" si="19"/>
        <v>5503.9418259278391</v>
      </c>
      <c r="AD12" s="1">
        <f t="shared" si="19"/>
        <v>5992.106481866078</v>
      </c>
      <c r="AE12" s="1">
        <f t="shared" si="19"/>
        <v>6447.405667257377</v>
      </c>
      <c r="AF12" s="1">
        <f t="shared" si="19"/>
        <v>6862.569593908248</v>
      </c>
      <c r="AG12" s="1">
        <f t="shared" si="19"/>
        <v>7252.2939970979814</v>
      </c>
      <c r="AH12" s="1">
        <f t="shared" si="19"/>
        <v>7624.2418298052044</v>
      </c>
      <c r="AI12" s="1">
        <f t="shared" si="19"/>
        <v>7985.0448734253687</v>
      </c>
      <c r="AJ12" s="1">
        <f t="shared" si="19"/>
        <v>8387.3052691216362</v>
      </c>
      <c r="AK12" s="1">
        <f t="shared" si="19"/>
        <v>8793.5969737455871</v>
      </c>
      <c r="AL12" s="1">
        <f t="shared" si="19"/>
        <v>9176.4671440683978</v>
      </c>
    </row>
    <row r="13" spans="2:38" s="1" customFormat="1" x14ac:dyDescent="0.45">
      <c r="B13" s="1" t="s">
        <v>49</v>
      </c>
      <c r="C13" s="1">
        <f>-60+6</f>
        <v>-54</v>
      </c>
      <c r="D13" s="1">
        <v>7</v>
      </c>
      <c r="E13" s="1">
        <f>35+21</f>
        <v>56</v>
      </c>
      <c r="F13" s="1">
        <f>-7+24</f>
        <v>17</v>
      </c>
      <c r="G13" s="1">
        <v>23</v>
      </c>
      <c r="H13" s="1">
        <v>27</v>
      </c>
      <c r="I13" s="1">
        <v>23</v>
      </c>
      <c r="J13" s="1">
        <f>24+32</f>
        <v>56</v>
      </c>
      <c r="K13" s="1">
        <f>-10+29</f>
        <v>19</v>
      </c>
      <c r="L13" s="1">
        <f>39+28</f>
        <v>67</v>
      </c>
      <c r="M13" s="1">
        <v>25</v>
      </c>
      <c r="N13" s="1">
        <v>25</v>
      </c>
      <c r="O13" s="1">
        <v>25</v>
      </c>
      <c r="P13" s="1">
        <v>25</v>
      </c>
      <c r="Q13" s="1">
        <v>25</v>
      </c>
      <c r="T13" s="1">
        <v>143</v>
      </c>
      <c r="U13" s="1">
        <f>-45+42</f>
        <v>-3</v>
      </c>
      <c r="V13" s="1">
        <f>-20+110</f>
        <v>90</v>
      </c>
      <c r="W13" s="1">
        <f>-20+110</f>
        <v>90</v>
      </c>
      <c r="X13" s="1">
        <f>+W32*$AP$28</f>
        <v>33.9801225</v>
      </c>
      <c r="Y13" s="1">
        <f t="shared" ref="Y13:AL13" si="20">+X32*$AP$28</f>
        <v>47.257986168750001</v>
      </c>
      <c r="Z13" s="1">
        <f t="shared" si="20"/>
        <v>64.933163540015627</v>
      </c>
      <c r="AA13" s="1">
        <f t="shared" si="20"/>
        <v>88.032149487815758</v>
      </c>
      <c r="AB13" s="1">
        <f t="shared" si="20"/>
        <v>118.05993596341189</v>
      </c>
      <c r="AC13" s="1">
        <f t="shared" si="20"/>
        <v>156.82897470074062</v>
      </c>
      <c r="AD13" s="1">
        <f t="shared" si="20"/>
        <v>199.46475570545496</v>
      </c>
      <c r="AE13" s="1">
        <f t="shared" si="20"/>
        <v>246.00653998724147</v>
      </c>
      <c r="AF13" s="1">
        <f t="shared" si="20"/>
        <v>296.28963154157611</v>
      </c>
      <c r="AG13" s="1">
        <f t="shared" si="20"/>
        <v>350.05607573244976</v>
      </c>
      <c r="AH13" s="1">
        <f t="shared" si="20"/>
        <v>407.24620127867797</v>
      </c>
      <c r="AI13" s="1">
        <f t="shared" si="20"/>
        <v>467.83486151180711</v>
      </c>
      <c r="AJ13" s="1">
        <f t="shared" si="20"/>
        <v>531.76395952383598</v>
      </c>
      <c r="AK13" s="1">
        <f t="shared" si="20"/>
        <v>599.21947873867703</v>
      </c>
      <c r="AL13" s="1">
        <f t="shared" si="20"/>
        <v>670.21310213230902</v>
      </c>
    </row>
    <row r="14" spans="2:38" s="1" customFormat="1" x14ac:dyDescent="0.45">
      <c r="B14" s="1" t="s">
        <v>50</v>
      </c>
      <c r="C14" s="1">
        <v>23</v>
      </c>
      <c r="D14" s="1">
        <v>-23</v>
      </c>
      <c r="E14" s="1">
        <v>-1</v>
      </c>
      <c r="F14" s="1">
        <v>-1</v>
      </c>
      <c r="G14" s="1">
        <v>14</v>
      </c>
      <c r="H14" s="1">
        <v>-15</v>
      </c>
      <c r="I14" s="1">
        <v>13</v>
      </c>
      <c r="J14" s="1">
        <v>6</v>
      </c>
      <c r="K14" s="1">
        <v>-19</v>
      </c>
      <c r="L14" s="1">
        <v>26</v>
      </c>
      <c r="M14" s="1">
        <v>0</v>
      </c>
      <c r="N14" s="1">
        <v>0</v>
      </c>
      <c r="O14" s="1">
        <v>0</v>
      </c>
      <c r="P14" s="1">
        <v>0</v>
      </c>
      <c r="Q14" s="1">
        <v>0</v>
      </c>
      <c r="T14" s="1">
        <v>10</v>
      </c>
      <c r="U14" s="1">
        <v>3</v>
      </c>
      <c r="V14" s="1">
        <v>11</v>
      </c>
      <c r="W14" s="10">
        <f>SUM(N14:Q14)</f>
        <v>0</v>
      </c>
      <c r="X14" s="10">
        <f t="shared" ref="X14:AL14" si="21">SUM(O14:R14)</f>
        <v>0</v>
      </c>
      <c r="Y14" s="10">
        <f t="shared" si="21"/>
        <v>0</v>
      </c>
      <c r="Z14" s="10">
        <f t="shared" si="21"/>
        <v>10</v>
      </c>
      <c r="AA14" s="10">
        <f t="shared" si="21"/>
        <v>13</v>
      </c>
      <c r="AB14" s="10">
        <f t="shared" si="21"/>
        <v>24</v>
      </c>
      <c r="AC14" s="10">
        <f t="shared" si="21"/>
        <v>24</v>
      </c>
      <c r="AD14" s="10">
        <f t="shared" si="21"/>
        <v>14</v>
      </c>
      <c r="AE14" s="10">
        <f t="shared" si="21"/>
        <v>11</v>
      </c>
      <c r="AF14" s="10">
        <f t="shared" si="21"/>
        <v>10</v>
      </c>
      <c r="AG14" s="10">
        <f t="shared" si="21"/>
        <v>23</v>
      </c>
      <c r="AH14" s="10">
        <f t="shared" si="21"/>
        <v>47</v>
      </c>
      <c r="AI14" s="10">
        <f t="shared" si="21"/>
        <v>71</v>
      </c>
      <c r="AJ14" s="10">
        <f t="shared" si="21"/>
        <v>75</v>
      </c>
      <c r="AK14" s="10">
        <f t="shared" si="21"/>
        <v>73</v>
      </c>
      <c r="AL14" s="10">
        <f t="shared" si="21"/>
        <v>59</v>
      </c>
    </row>
    <row r="15" spans="2:38" s="1" customFormat="1" x14ac:dyDescent="0.45">
      <c r="B15" s="1" t="s">
        <v>51</v>
      </c>
      <c r="C15" s="1">
        <f>+SUM(C12:C14)</f>
        <v>152</v>
      </c>
      <c r="D15" s="1">
        <f>+SUM(D12:D14)</f>
        <v>228</v>
      </c>
      <c r="E15" s="1">
        <f>+SUM(E12:E14)</f>
        <v>5</v>
      </c>
      <c r="F15" s="1">
        <f>+SUM(F12:F14)</f>
        <v>127</v>
      </c>
      <c r="G15" s="1">
        <f>+SUM(G12:G14)</f>
        <v>-119</v>
      </c>
      <c r="H15" s="1">
        <f>+SUM(H12:H14)</f>
        <v>146</v>
      </c>
      <c r="I15" s="1">
        <f>+SUM(I12:I14)</f>
        <v>58</v>
      </c>
      <c r="J15" s="1">
        <f>+SUM(J12:J14)</f>
        <v>244</v>
      </c>
      <c r="K15" s="1">
        <f>+SUM(K12:K14)</f>
        <v>64</v>
      </c>
      <c r="L15" s="1">
        <f>+SUM(L12:L14)</f>
        <v>268</v>
      </c>
      <c r="M15" s="1">
        <f t="shared" ref="M15:Q15" si="22">+SUM(M12:M14)</f>
        <v>126.31999999999994</v>
      </c>
      <c r="N15" s="1">
        <f t="shared" si="22"/>
        <v>306.6875</v>
      </c>
      <c r="O15" s="1">
        <f t="shared" si="22"/>
        <v>162.80000000000007</v>
      </c>
      <c r="P15" s="1">
        <f t="shared" si="22"/>
        <v>293.23750000000007</v>
      </c>
      <c r="Q15" s="1">
        <f t="shared" si="22"/>
        <v>219.95799999999986</v>
      </c>
      <c r="T15" s="1">
        <f>+SUM(T12:T14)</f>
        <v>807</v>
      </c>
      <c r="U15" s="1">
        <f>+SUM(U12:U14)</f>
        <v>671</v>
      </c>
      <c r="V15" s="1">
        <f>+SUM(V12:V14)</f>
        <v>212</v>
      </c>
      <c r="W15" s="1">
        <f>+SUM(W12:W14)</f>
        <v>972.68299999999999</v>
      </c>
      <c r="X15" s="1">
        <f t="shared" ref="X15:AL15" si="23">+SUM(X12:X14)</f>
        <v>1770.3818225000005</v>
      </c>
      <c r="Y15" s="1">
        <f t="shared" si="23"/>
        <v>2356.6903161687505</v>
      </c>
      <c r="Z15" s="1">
        <f t="shared" si="23"/>
        <v>3079.8647930400157</v>
      </c>
      <c r="AA15" s="1">
        <f t="shared" si="23"/>
        <v>4003.7048634128173</v>
      </c>
      <c r="AB15" s="1">
        <f t="shared" si="23"/>
        <v>5169.2051649771638</v>
      </c>
      <c r="AC15" s="1">
        <f t="shared" si="23"/>
        <v>5684.7708006285793</v>
      </c>
      <c r="AD15" s="1">
        <f t="shared" si="23"/>
        <v>6205.5712375715329</v>
      </c>
      <c r="AE15" s="1">
        <f t="shared" si="23"/>
        <v>6704.4122072446189</v>
      </c>
      <c r="AF15" s="1">
        <f t="shared" si="23"/>
        <v>7168.8592254498244</v>
      </c>
      <c r="AG15" s="1">
        <f t="shared" si="23"/>
        <v>7625.3500728304316</v>
      </c>
      <c r="AH15" s="1">
        <f t="shared" si="23"/>
        <v>8078.4880310838826</v>
      </c>
      <c r="AI15" s="1">
        <f t="shared" si="23"/>
        <v>8523.8797349371762</v>
      </c>
      <c r="AJ15" s="1">
        <f t="shared" si="23"/>
        <v>8994.0692286454723</v>
      </c>
      <c r="AK15" s="1">
        <f t="shared" si="23"/>
        <v>9465.816452484265</v>
      </c>
      <c r="AL15" s="1">
        <f t="shared" si="23"/>
        <v>9905.6802462007072</v>
      </c>
    </row>
    <row r="16" spans="2:38" s="1" customFormat="1" x14ac:dyDescent="0.45">
      <c r="B16" s="1" t="s">
        <v>52</v>
      </c>
      <c r="C16" s="1">
        <v>38</v>
      </c>
      <c r="D16" s="1">
        <v>46</v>
      </c>
      <c r="E16" s="1">
        <v>2</v>
      </c>
      <c r="F16" s="1">
        <v>22</v>
      </c>
      <c r="G16" s="1">
        <v>-9</v>
      </c>
      <c r="H16" s="1">
        <v>59</v>
      </c>
      <c r="I16" s="1">
        <v>-166</v>
      </c>
      <c r="J16" s="1">
        <v>21</v>
      </c>
      <c r="K16" s="1">
        <v>-43</v>
      </c>
      <c r="L16" s="1">
        <v>16</v>
      </c>
      <c r="M16" s="1">
        <f>+M15*0.25</f>
        <v>31.579999999999984</v>
      </c>
      <c r="N16" s="1">
        <f t="shared" ref="N16:Q16" si="24">+N15*0.25</f>
        <v>76.671875</v>
      </c>
      <c r="O16" s="1">
        <f t="shared" si="24"/>
        <v>40.700000000000017</v>
      </c>
      <c r="P16" s="1">
        <f t="shared" si="24"/>
        <v>73.309375000000017</v>
      </c>
      <c r="Q16" s="1">
        <f t="shared" si="24"/>
        <v>54.989499999999964</v>
      </c>
      <c r="T16" s="1">
        <v>110</v>
      </c>
      <c r="U16" s="1">
        <v>147</v>
      </c>
      <c r="V16" s="1">
        <v>-94</v>
      </c>
      <c r="W16" s="10">
        <f>SUM(N16:Q16)</f>
        <v>245.67075</v>
      </c>
      <c r="X16" s="1">
        <f>+X15*0.25</f>
        <v>442.59545562500011</v>
      </c>
      <c r="Y16" s="1">
        <f t="shared" ref="Y16:AL16" si="25">+Y15*0.25</f>
        <v>589.17257904218764</v>
      </c>
      <c r="Z16" s="1">
        <f t="shared" si="25"/>
        <v>769.96619826000392</v>
      </c>
      <c r="AA16" s="1">
        <f t="shared" si="25"/>
        <v>1000.9262158532043</v>
      </c>
      <c r="AB16" s="1">
        <f t="shared" si="25"/>
        <v>1292.301291244291</v>
      </c>
      <c r="AC16" s="1">
        <f t="shared" si="25"/>
        <v>1421.1927001571448</v>
      </c>
      <c r="AD16" s="1">
        <f t="shared" si="25"/>
        <v>1551.3928093928832</v>
      </c>
      <c r="AE16" s="1">
        <f t="shared" si="25"/>
        <v>1676.1030518111547</v>
      </c>
      <c r="AF16" s="1">
        <f t="shared" si="25"/>
        <v>1792.2148063624561</v>
      </c>
      <c r="AG16" s="1">
        <f t="shared" si="25"/>
        <v>1906.3375182076079</v>
      </c>
      <c r="AH16" s="1">
        <f t="shared" si="25"/>
        <v>2019.6220077709706</v>
      </c>
      <c r="AI16" s="1">
        <f t="shared" si="25"/>
        <v>2130.969933734294</v>
      </c>
      <c r="AJ16" s="1">
        <f t="shared" si="25"/>
        <v>2248.5173071613681</v>
      </c>
      <c r="AK16" s="1">
        <f t="shared" si="25"/>
        <v>2366.4541131210663</v>
      </c>
      <c r="AL16" s="1">
        <f t="shared" si="25"/>
        <v>2476.4200615501768</v>
      </c>
    </row>
    <row r="17" spans="2:121" s="1" customFormat="1" x14ac:dyDescent="0.45">
      <c r="B17" s="1" t="s">
        <v>53</v>
      </c>
      <c r="C17" s="1">
        <f>+C15-C16</f>
        <v>114</v>
      </c>
      <c r="D17" s="1">
        <f>+D15-D16</f>
        <v>182</v>
      </c>
      <c r="E17" s="1">
        <f>+E15-E16</f>
        <v>3</v>
      </c>
      <c r="F17" s="1">
        <f>+F15-F16</f>
        <v>105</v>
      </c>
      <c r="G17" s="1">
        <f>+G15-G16</f>
        <v>-110</v>
      </c>
      <c r="H17" s="1">
        <f>+H15-H16</f>
        <v>87</v>
      </c>
      <c r="I17" s="1">
        <f>+I15-I16</f>
        <v>224</v>
      </c>
      <c r="J17" s="1">
        <f>+J15-J16</f>
        <v>223</v>
      </c>
      <c r="K17" s="1">
        <f>+K15-K16</f>
        <v>107</v>
      </c>
      <c r="L17" s="1">
        <f>+L15-L16</f>
        <v>252</v>
      </c>
      <c r="M17" s="1">
        <f t="shared" ref="M17:Q17" si="26">+M15-M16</f>
        <v>94.739999999999952</v>
      </c>
      <c r="N17" s="1">
        <f t="shared" si="26"/>
        <v>230.015625</v>
      </c>
      <c r="O17" s="1">
        <f t="shared" si="26"/>
        <v>122.10000000000005</v>
      </c>
      <c r="P17" s="1">
        <f t="shared" si="26"/>
        <v>219.92812500000005</v>
      </c>
      <c r="Q17" s="1">
        <f t="shared" si="26"/>
        <v>164.96849999999989</v>
      </c>
      <c r="T17" s="1">
        <f>+T15-T16</f>
        <v>697</v>
      </c>
      <c r="U17" s="1">
        <f>+U15-U16</f>
        <v>524</v>
      </c>
      <c r="V17" s="1">
        <f>+V15-V16</f>
        <v>306</v>
      </c>
      <c r="W17" s="1">
        <f>+W15-W16</f>
        <v>727.01224999999999</v>
      </c>
      <c r="X17" s="1">
        <f t="shared" ref="X17:AL17" si="27">+X15-X16</f>
        <v>1327.7863668750003</v>
      </c>
      <c r="Y17" s="1">
        <f t="shared" si="27"/>
        <v>1767.5177371265629</v>
      </c>
      <c r="Z17" s="1">
        <f t="shared" si="27"/>
        <v>2309.898594780012</v>
      </c>
      <c r="AA17" s="1">
        <f t="shared" si="27"/>
        <v>3002.7786475596131</v>
      </c>
      <c r="AB17" s="1">
        <f t="shared" si="27"/>
        <v>3876.9038737328729</v>
      </c>
      <c r="AC17" s="1">
        <f t="shared" si="27"/>
        <v>4263.5781004714345</v>
      </c>
      <c r="AD17" s="1">
        <f t="shared" si="27"/>
        <v>4654.1784281786495</v>
      </c>
      <c r="AE17" s="1">
        <f t="shared" si="27"/>
        <v>5028.3091554334642</v>
      </c>
      <c r="AF17" s="1">
        <f t="shared" si="27"/>
        <v>5376.6444190873681</v>
      </c>
      <c r="AG17" s="1">
        <f t="shared" si="27"/>
        <v>5719.0125546228237</v>
      </c>
      <c r="AH17" s="1">
        <f t="shared" si="27"/>
        <v>6058.8660233129121</v>
      </c>
      <c r="AI17" s="1">
        <f t="shared" si="27"/>
        <v>6392.9098012028826</v>
      </c>
      <c r="AJ17" s="1">
        <f t="shared" si="27"/>
        <v>6745.5519214841042</v>
      </c>
      <c r="AK17" s="1">
        <f t="shared" si="27"/>
        <v>7099.3623393631988</v>
      </c>
      <c r="AL17" s="1">
        <f t="shared" si="27"/>
        <v>7429.2601846505304</v>
      </c>
      <c r="AM17" s="1">
        <f>+AL17*(1+$AP$27)</f>
        <v>7280.6749809575194</v>
      </c>
      <c r="AN17" s="1">
        <f t="shared" ref="AN17:CY17" si="28">+AM17*(1+$AP$27)</f>
        <v>7135.061481338369</v>
      </c>
      <c r="AO17" s="1">
        <f t="shared" si="28"/>
        <v>6992.3602517116014</v>
      </c>
      <c r="AP17" s="1">
        <f t="shared" si="28"/>
        <v>6852.5130466773689</v>
      </c>
      <c r="AQ17" s="1">
        <f t="shared" si="28"/>
        <v>6715.4627857438218</v>
      </c>
      <c r="AR17" s="1">
        <f t="shared" si="28"/>
        <v>6581.1535300289452</v>
      </c>
      <c r="AS17" s="1">
        <f t="shared" si="28"/>
        <v>6449.5304594283662</v>
      </c>
      <c r="AT17" s="1">
        <f t="shared" si="28"/>
        <v>6320.5398502397984</v>
      </c>
      <c r="AU17" s="1">
        <f t="shared" si="28"/>
        <v>6194.1290532350022</v>
      </c>
      <c r="AV17" s="1">
        <f t="shared" si="28"/>
        <v>6070.2464721703018</v>
      </c>
      <c r="AW17" s="1">
        <f t="shared" si="28"/>
        <v>5948.8415427268956</v>
      </c>
      <c r="AX17" s="1">
        <f t="shared" si="28"/>
        <v>5829.8647118723575</v>
      </c>
      <c r="AY17" s="1">
        <f t="shared" si="28"/>
        <v>5713.2674176349101</v>
      </c>
      <c r="AZ17" s="1">
        <f t="shared" si="28"/>
        <v>5599.0020692822118</v>
      </c>
      <c r="BA17" s="1">
        <f t="shared" si="28"/>
        <v>5487.0220278965671</v>
      </c>
      <c r="BB17" s="1">
        <f t="shared" si="28"/>
        <v>5377.2815873386353</v>
      </c>
      <c r="BC17" s="1">
        <f t="shared" si="28"/>
        <v>5269.7359555918629</v>
      </c>
      <c r="BD17" s="1">
        <f t="shared" si="28"/>
        <v>5164.3412364800251</v>
      </c>
      <c r="BE17" s="1">
        <f t="shared" si="28"/>
        <v>5061.0544117504242</v>
      </c>
      <c r="BF17" s="1">
        <f t="shared" si="28"/>
        <v>4959.8333235154159</v>
      </c>
      <c r="BG17" s="1">
        <f t="shared" si="28"/>
        <v>4860.6366570451073</v>
      </c>
      <c r="BH17" s="1">
        <f t="shared" si="28"/>
        <v>4763.4239239042054</v>
      </c>
      <c r="BI17" s="1">
        <f t="shared" si="28"/>
        <v>4668.1554454261213</v>
      </c>
      <c r="BJ17" s="1">
        <f t="shared" si="28"/>
        <v>4574.7923365175984</v>
      </c>
      <c r="BK17" s="1">
        <f t="shared" si="28"/>
        <v>4483.2964897872462</v>
      </c>
      <c r="BL17" s="1">
        <f t="shared" si="28"/>
        <v>4393.6305599915013</v>
      </c>
      <c r="BM17" s="1">
        <f t="shared" si="28"/>
        <v>4305.757948791671</v>
      </c>
      <c r="BN17" s="1">
        <f t="shared" si="28"/>
        <v>4219.6427898158372</v>
      </c>
      <c r="BO17" s="1">
        <f t="shared" si="28"/>
        <v>4135.24993401952</v>
      </c>
      <c r="BP17" s="1">
        <f t="shared" si="28"/>
        <v>4052.5449353391296</v>
      </c>
      <c r="BQ17" s="1">
        <f t="shared" si="28"/>
        <v>3971.4940366323467</v>
      </c>
      <c r="BR17" s="1">
        <f t="shared" si="28"/>
        <v>3892.0641558996999</v>
      </c>
      <c r="BS17" s="1">
        <f t="shared" si="28"/>
        <v>3814.222872781706</v>
      </c>
      <c r="BT17" s="1">
        <f t="shared" si="28"/>
        <v>3737.9384153260717</v>
      </c>
      <c r="BU17" s="1">
        <f t="shared" si="28"/>
        <v>3663.17964701955</v>
      </c>
      <c r="BV17" s="1">
        <f t="shared" si="28"/>
        <v>3589.916054079159</v>
      </c>
      <c r="BW17" s="1">
        <f t="shared" si="28"/>
        <v>3518.1177329975758</v>
      </c>
      <c r="BX17" s="1">
        <f t="shared" si="28"/>
        <v>3447.7553783376243</v>
      </c>
      <c r="BY17" s="1">
        <f t="shared" si="28"/>
        <v>3378.8002707708715</v>
      </c>
      <c r="BZ17" s="1">
        <f t="shared" si="28"/>
        <v>3311.224265355454</v>
      </c>
      <c r="CA17" s="1">
        <f t="shared" si="28"/>
        <v>3244.9997800483447</v>
      </c>
      <c r="CB17" s="1">
        <f t="shared" si="28"/>
        <v>3180.0997844473777</v>
      </c>
      <c r="CC17" s="1">
        <f t="shared" si="28"/>
        <v>3116.49778875843</v>
      </c>
      <c r="CD17" s="1">
        <f t="shared" si="28"/>
        <v>3054.1678329832612</v>
      </c>
      <c r="CE17" s="1">
        <f t="shared" si="28"/>
        <v>2993.0844763235959</v>
      </c>
      <c r="CF17" s="1">
        <f t="shared" si="28"/>
        <v>2933.2227867971242</v>
      </c>
      <c r="CG17" s="1">
        <f t="shared" si="28"/>
        <v>2874.5583310611814</v>
      </c>
      <c r="CH17" s="1">
        <f t="shared" si="28"/>
        <v>2817.0671644399577</v>
      </c>
      <c r="CI17" s="1">
        <f t="shared" si="28"/>
        <v>2760.7258211511585</v>
      </c>
      <c r="CJ17" s="1">
        <f t="shared" si="28"/>
        <v>2705.5113047281352</v>
      </c>
      <c r="CK17" s="1">
        <f t="shared" si="28"/>
        <v>2651.4010786335725</v>
      </c>
      <c r="CL17" s="1">
        <f t="shared" si="28"/>
        <v>2598.3730570609009</v>
      </c>
      <c r="CM17" s="1">
        <f t="shared" si="28"/>
        <v>2546.405595919683</v>
      </c>
      <c r="CN17" s="1">
        <f t="shared" si="28"/>
        <v>2495.4774840012892</v>
      </c>
      <c r="CO17" s="1">
        <f t="shared" si="28"/>
        <v>2445.5679343212632</v>
      </c>
      <c r="CP17" s="1">
        <f t="shared" si="28"/>
        <v>2396.6565756348377</v>
      </c>
      <c r="CQ17" s="1">
        <f t="shared" si="28"/>
        <v>2348.7234441221408</v>
      </c>
      <c r="CR17" s="1">
        <f t="shared" si="28"/>
        <v>2301.7489752396978</v>
      </c>
      <c r="CS17" s="1">
        <f t="shared" si="28"/>
        <v>2255.7139957349036</v>
      </c>
      <c r="CT17" s="1">
        <f t="shared" si="28"/>
        <v>2210.5997158202053</v>
      </c>
      <c r="CU17" s="1">
        <f t="shared" si="28"/>
        <v>2166.387721503801</v>
      </c>
      <c r="CV17" s="1">
        <f t="shared" si="28"/>
        <v>2123.0599670737251</v>
      </c>
      <c r="CW17" s="1">
        <f t="shared" si="28"/>
        <v>2080.5987677322505</v>
      </c>
      <c r="CX17" s="1">
        <f t="shared" si="28"/>
        <v>2038.9867923776055</v>
      </c>
      <c r="CY17" s="1">
        <f t="shared" si="28"/>
        <v>1998.2070565300535</v>
      </c>
      <c r="CZ17" s="1">
        <f t="shared" ref="CZ17:DQ17" si="29">+CY17*(1+$AP$27)</f>
        <v>1958.2429153994524</v>
      </c>
      <c r="DA17" s="1">
        <f t="shared" si="29"/>
        <v>1919.0780570914633</v>
      </c>
      <c r="DB17" s="1">
        <f t="shared" si="29"/>
        <v>1880.696495949634</v>
      </c>
      <c r="DC17" s="1">
        <f t="shared" si="29"/>
        <v>1843.0825660306414</v>
      </c>
      <c r="DD17" s="1">
        <f t="shared" si="29"/>
        <v>1806.2209147100284</v>
      </c>
      <c r="DE17" s="1">
        <f t="shared" si="29"/>
        <v>1770.0964964158279</v>
      </c>
      <c r="DF17" s="1">
        <f t="shared" si="29"/>
        <v>1734.6945664875113</v>
      </c>
      <c r="DG17" s="1">
        <f t="shared" si="29"/>
        <v>1700.0006751577612</v>
      </c>
      <c r="DH17" s="1">
        <f t="shared" si="29"/>
        <v>1666.0006616546059</v>
      </c>
      <c r="DI17" s="1">
        <f t="shared" si="29"/>
        <v>1632.6806484215138</v>
      </c>
      <c r="DJ17" s="1">
        <f t="shared" si="29"/>
        <v>1600.0270354530835</v>
      </c>
      <c r="DK17" s="1">
        <f t="shared" si="29"/>
        <v>1568.0264947440219</v>
      </c>
      <c r="DL17" s="1">
        <f t="shared" si="29"/>
        <v>1536.6659648491413</v>
      </c>
      <c r="DM17" s="1">
        <f t="shared" si="29"/>
        <v>1505.9326455521584</v>
      </c>
      <c r="DN17" s="1">
        <f t="shared" si="29"/>
        <v>1475.8139926411152</v>
      </c>
      <c r="DO17" s="1">
        <f t="shared" si="29"/>
        <v>1446.2977127882928</v>
      </c>
      <c r="DP17" s="1">
        <f t="shared" si="29"/>
        <v>1417.3717585325269</v>
      </c>
      <c r="DQ17" s="1">
        <f t="shared" si="29"/>
        <v>1389.0243233618762</v>
      </c>
    </row>
    <row r="18" spans="2:121" s="1" customFormat="1" x14ac:dyDescent="0.45">
      <c r="B18" s="1" t="s">
        <v>1</v>
      </c>
      <c r="C18" s="1">
        <v>1027</v>
      </c>
      <c r="D18" s="1">
        <v>1028</v>
      </c>
      <c r="E18" s="1">
        <v>1029</v>
      </c>
      <c r="F18" s="1">
        <v>1029</v>
      </c>
      <c r="G18" s="1">
        <v>1025</v>
      </c>
      <c r="H18" s="1">
        <v>1027</v>
      </c>
      <c r="I18" s="1">
        <v>1058</v>
      </c>
      <c r="J18" s="1">
        <v>1060</v>
      </c>
      <c r="K18" s="1">
        <v>1063</v>
      </c>
      <c r="L18" s="1">
        <v>1064</v>
      </c>
      <c r="M18" s="1">
        <v>1064</v>
      </c>
      <c r="N18" s="1">
        <v>1064</v>
      </c>
      <c r="O18" s="1">
        <v>1064</v>
      </c>
      <c r="P18" s="1">
        <v>1064</v>
      </c>
      <c r="Q18" s="1">
        <v>1064</v>
      </c>
    </row>
    <row r="19" spans="2:121" s="7" customFormat="1" x14ac:dyDescent="0.45">
      <c r="B19" s="7" t="s">
        <v>54</v>
      </c>
      <c r="C19" s="7">
        <f>+C17/C18</f>
        <v>0.11100292112950341</v>
      </c>
      <c r="D19" s="7">
        <f>+D17/D18</f>
        <v>0.17704280155642024</v>
      </c>
      <c r="E19" s="7">
        <f>+E17/E18</f>
        <v>2.9154518950437317E-3</v>
      </c>
      <c r="F19" s="7">
        <f>+F17/F18</f>
        <v>0.10204081632653061</v>
      </c>
      <c r="G19" s="7">
        <f>+G17/G18</f>
        <v>-0.10731707317073171</v>
      </c>
      <c r="H19" s="7">
        <f>+H17/H18</f>
        <v>8.4712755598831554E-2</v>
      </c>
      <c r="I19" s="7">
        <f>+I17/I18</f>
        <v>0.21172022684310018</v>
      </c>
      <c r="J19" s="7">
        <f>+J17/J18</f>
        <v>0.21037735849056605</v>
      </c>
      <c r="K19" s="7">
        <f>+K17/K18</f>
        <v>0.1006585136406397</v>
      </c>
      <c r="L19" s="7">
        <f>+L17/L18</f>
        <v>0.23684210526315788</v>
      </c>
      <c r="M19" s="7">
        <f t="shared" ref="M19:Q19" si="30">+M17/M18</f>
        <v>8.9041353383458602E-2</v>
      </c>
      <c r="N19" s="7">
        <f t="shared" si="30"/>
        <v>0.21618009868421054</v>
      </c>
      <c r="O19" s="7">
        <f t="shared" si="30"/>
        <v>0.1147556390977444</v>
      </c>
      <c r="P19" s="7">
        <f t="shared" si="30"/>
        <v>0.20669936560150381</v>
      </c>
      <c r="Q19" s="7">
        <f t="shared" si="30"/>
        <v>0.15504558270676683</v>
      </c>
    </row>
    <row r="20" spans="2:121" s="1" customFormat="1" x14ac:dyDescent="0.45"/>
    <row r="21" spans="2:121" s="1" customFormat="1" x14ac:dyDescent="0.45"/>
    <row r="22" spans="2:121" s="8" customFormat="1" x14ac:dyDescent="0.45">
      <c r="B22" s="8" t="s">
        <v>58</v>
      </c>
      <c r="G22" s="8">
        <f t="shared" ref="G22:K22" si="31">+G5/C5-1</f>
        <v>0.27936507936507926</v>
      </c>
      <c r="H22" s="8">
        <f t="shared" si="31"/>
        <v>0.13812154696132595</v>
      </c>
      <c r="I22" s="8">
        <f t="shared" si="31"/>
        <v>0.46603475513428116</v>
      </c>
      <c r="J22" s="8">
        <f t="shared" si="31"/>
        <v>0.39111111111111119</v>
      </c>
      <c r="K22" s="8">
        <f t="shared" si="31"/>
        <v>4.7146401985111552E-2</v>
      </c>
      <c r="L22" s="8">
        <f>+L5/H5-1</f>
        <v>0.19296116504854366</v>
      </c>
      <c r="M22" s="8">
        <f>+M5/I5-1</f>
        <v>0.2931034482758621</v>
      </c>
      <c r="N22" s="8">
        <f>+N5/J5-1</f>
        <v>0.25</v>
      </c>
      <c r="O22" s="8">
        <f t="shared" ref="O22:Q22" si="32">+O5/K5-1</f>
        <v>0.25</v>
      </c>
      <c r="P22" s="8">
        <f t="shared" si="32"/>
        <v>0.25</v>
      </c>
      <c r="Q22" s="8">
        <f t="shared" si="32"/>
        <v>0.25</v>
      </c>
      <c r="U22" s="8">
        <f>+U3/T3-1</f>
        <v>-8.7426768814781397E-2</v>
      </c>
      <c r="V22" s="8">
        <f>+V3/U3-1</f>
        <v>0.23901234567901231</v>
      </c>
      <c r="W22" s="8">
        <f>+W5/V5-1</f>
        <v>0.53340550572223933</v>
      </c>
      <c r="X22" s="8">
        <f t="shared" ref="X22:AL22" si="33">+X5/W5-1</f>
        <v>0.30000000000000004</v>
      </c>
      <c r="Y22" s="8">
        <f t="shared" si="33"/>
        <v>0.19999999999999996</v>
      </c>
      <c r="Z22" s="8">
        <f t="shared" si="33"/>
        <v>0.19999999999999996</v>
      </c>
      <c r="AA22" s="8">
        <f t="shared" si="33"/>
        <v>0.19999999999999996</v>
      </c>
      <c r="AB22" s="8">
        <f t="shared" si="33"/>
        <v>0.19999999999999996</v>
      </c>
      <c r="AC22" s="8">
        <f t="shared" si="33"/>
        <v>1.0000000000000009E-2</v>
      </c>
      <c r="AD22" s="8">
        <f t="shared" si="33"/>
        <v>1.0000000000000009E-2</v>
      </c>
      <c r="AE22" s="8">
        <f t="shared" si="33"/>
        <v>1.0000000000000009E-2</v>
      </c>
      <c r="AF22" s="8">
        <f t="shared" si="33"/>
        <v>1.0000000000000009E-2</v>
      </c>
      <c r="AG22" s="8">
        <f t="shared" si="33"/>
        <v>1.0000000000000009E-2</v>
      </c>
      <c r="AH22" s="8">
        <f t="shared" si="33"/>
        <v>1.0000000000000009E-2</v>
      </c>
      <c r="AI22" s="8">
        <f t="shared" si="33"/>
        <v>1.0000000000000009E-2</v>
      </c>
      <c r="AJ22" s="8">
        <f t="shared" si="33"/>
        <v>1.0000000000000009E-2</v>
      </c>
      <c r="AK22" s="8">
        <f t="shared" si="33"/>
        <v>1.0000000000000009E-2</v>
      </c>
      <c r="AL22" s="8">
        <f t="shared" si="33"/>
        <v>1.0000000000000009E-2</v>
      </c>
    </row>
    <row r="23" spans="2:121" s="8" customFormat="1" x14ac:dyDescent="0.45">
      <c r="B23" s="8" t="s">
        <v>59</v>
      </c>
      <c r="D23" s="8">
        <f t="shared" ref="D23:K23" si="34">+D5/C5-1</f>
        <v>0.14920634920634912</v>
      </c>
      <c r="E23" s="8">
        <f t="shared" si="34"/>
        <v>-0.12569060773480667</v>
      </c>
      <c r="F23" s="8">
        <f t="shared" si="34"/>
        <v>6.6350710900473953E-2</v>
      </c>
      <c r="G23" s="8">
        <f t="shared" si="34"/>
        <v>0.19407407407407407</v>
      </c>
      <c r="H23" s="8">
        <f t="shared" si="34"/>
        <v>2.2332506203474045E-2</v>
      </c>
      <c r="I23" s="8">
        <f t="shared" si="34"/>
        <v>0.12621359223300965</v>
      </c>
      <c r="J23" s="8">
        <f t="shared" si="34"/>
        <v>1.18534482758621E-2</v>
      </c>
      <c r="K23" s="8">
        <f t="shared" si="34"/>
        <v>-0.10117145899893498</v>
      </c>
      <c r="L23" s="8">
        <f>+L5/K5-1</f>
        <v>0.16469194312796209</v>
      </c>
      <c r="M23" s="8">
        <f>+M5/L5-1</f>
        <v>0.22075279755849442</v>
      </c>
      <c r="N23" s="8">
        <f>+N5/M5-1</f>
        <v>-2.1874999999999978E-2</v>
      </c>
      <c r="O23" s="8">
        <f t="shared" ref="O23:Q23" si="35">+O5/N5-1</f>
        <v>-0.10117145899893498</v>
      </c>
      <c r="P23" s="8">
        <f t="shared" si="35"/>
        <v>0.16469194312796209</v>
      </c>
      <c r="Q23" s="8">
        <f t="shared" si="35"/>
        <v>0.22075279755849442</v>
      </c>
    </row>
    <row r="24" spans="2:121" s="1" customFormat="1" x14ac:dyDescent="0.45"/>
    <row r="25" spans="2:121" s="8" customFormat="1" x14ac:dyDescent="0.45">
      <c r="B25" s="8" t="s">
        <v>60</v>
      </c>
      <c r="G25" s="8">
        <f t="shared" ref="G25:K25" si="36">G8/C8-1</f>
        <v>1.524193548387097</v>
      </c>
      <c r="H25" s="8">
        <f t="shared" si="36"/>
        <v>0.51048951048951041</v>
      </c>
      <c r="I25" s="8">
        <f t="shared" si="36"/>
        <v>0.53280839895013132</v>
      </c>
      <c r="J25" s="8">
        <f t="shared" si="36"/>
        <v>0.43916913946587544</v>
      </c>
      <c r="K25" s="8">
        <f t="shared" si="36"/>
        <v>-0.19009584664536738</v>
      </c>
      <c r="L25" s="8">
        <f>L8/H8-1</f>
        <v>0.23379629629629628</v>
      </c>
      <c r="M25" s="8">
        <f>M8/I8-1</f>
        <v>0.30000000000000004</v>
      </c>
      <c r="N25" s="8">
        <f>N8/J8-1</f>
        <v>0.19999999999999996</v>
      </c>
      <c r="O25" s="8">
        <f t="shared" ref="O25:Q25" si="37">O8/K8-1</f>
        <v>0.19999999999999996</v>
      </c>
      <c r="P25" s="8">
        <f t="shared" si="37"/>
        <v>0.19999999999999996</v>
      </c>
      <c r="Q25" s="8">
        <f t="shared" si="37"/>
        <v>0.19999999999999996</v>
      </c>
      <c r="U25" s="8">
        <f t="shared" ref="U25" si="38">+U8/T8-1</f>
        <v>0.13869346733668331</v>
      </c>
      <c r="V25" s="8">
        <f>+V8/U8-1</f>
        <v>0.74669020300088262</v>
      </c>
      <c r="W25" s="8">
        <f t="shared" ref="W25:AL25" si="39">+W8/V8-1</f>
        <v>0.38506316321374423</v>
      </c>
      <c r="X25" s="8">
        <f t="shared" si="39"/>
        <v>0.14999999999999991</v>
      </c>
      <c r="Y25" s="8">
        <f t="shared" si="39"/>
        <v>0.14999999999999991</v>
      </c>
      <c r="Z25" s="8">
        <f t="shared" si="39"/>
        <v>0.14999999999999991</v>
      </c>
      <c r="AA25" s="8">
        <f t="shared" si="39"/>
        <v>0.14999999999999991</v>
      </c>
      <c r="AB25" s="8">
        <f t="shared" si="39"/>
        <v>0.14999999999999991</v>
      </c>
      <c r="AC25" s="8">
        <f t="shared" si="39"/>
        <v>-5.0000000000000044E-2</v>
      </c>
      <c r="AD25" s="8">
        <f t="shared" si="39"/>
        <v>-5.0000000000000044E-2</v>
      </c>
      <c r="AE25" s="8">
        <f t="shared" si="39"/>
        <v>-5.0000000000000044E-2</v>
      </c>
      <c r="AF25" s="8">
        <f t="shared" si="39"/>
        <v>-5.0000000000000044E-2</v>
      </c>
      <c r="AG25" s="8">
        <f t="shared" si="39"/>
        <v>-5.0000000000000155E-2</v>
      </c>
      <c r="AH25" s="8">
        <f t="shared" si="39"/>
        <v>-5.0000000000000044E-2</v>
      </c>
      <c r="AI25" s="8">
        <f t="shared" si="39"/>
        <v>-5.0000000000000044E-2</v>
      </c>
      <c r="AJ25" s="8">
        <f t="shared" si="39"/>
        <v>-5.0000000000000044E-2</v>
      </c>
      <c r="AK25" s="8">
        <f t="shared" si="39"/>
        <v>-5.0000000000000044E-2</v>
      </c>
      <c r="AL25" s="8">
        <f t="shared" si="39"/>
        <v>-5.0000000000000044E-2</v>
      </c>
    </row>
    <row r="26" spans="2:121" s="8" customFormat="1" x14ac:dyDescent="0.45">
      <c r="B26" s="8" t="s">
        <v>61</v>
      </c>
      <c r="G26" s="8">
        <f t="shared" ref="G26:K26" si="40">+G9/C9-1</f>
        <v>0.68604651162790709</v>
      </c>
      <c r="H26" s="8">
        <f t="shared" si="40"/>
        <v>0.32515337423312873</v>
      </c>
      <c r="I26" s="8">
        <f t="shared" si="40"/>
        <v>2.5547445255474477E-2</v>
      </c>
      <c r="J26" s="8">
        <f t="shared" si="40"/>
        <v>0.21938775510204089</v>
      </c>
      <c r="K26" s="8">
        <f t="shared" si="40"/>
        <v>-0.16896551724137931</v>
      </c>
      <c r="L26" s="8">
        <f>+L9/H9-1</f>
        <v>0.1435185185185186</v>
      </c>
      <c r="M26" s="8">
        <f>+M9/I9-1</f>
        <v>8.0000000000000071E-2</v>
      </c>
      <c r="N26" s="8">
        <f>+N9/J9-1</f>
        <v>0.14999999999999991</v>
      </c>
      <c r="O26" s="8">
        <f t="shared" ref="O26:Q26" si="41">+O9/K9-1</f>
        <v>0.14999999999999991</v>
      </c>
      <c r="P26" s="8">
        <f t="shared" si="41"/>
        <v>0.14999999999999991</v>
      </c>
      <c r="Q26" s="8">
        <f t="shared" si="41"/>
        <v>0.14999999999999991</v>
      </c>
      <c r="U26" s="8">
        <f t="shared" ref="U26" si="42">+U9/T9-1</f>
        <v>-0.15050167224080269</v>
      </c>
      <c r="V26" s="8">
        <f>+V9/U9-1</f>
        <v>0.29002624671916011</v>
      </c>
      <c r="W26" s="8">
        <f t="shared" ref="W26:AL26" si="43">+W9/V9-1</f>
        <v>0.20554628687690735</v>
      </c>
      <c r="X26" s="8">
        <f t="shared" si="43"/>
        <v>0.14999999999999991</v>
      </c>
      <c r="Y26" s="8">
        <f t="shared" si="43"/>
        <v>0.14999999999999991</v>
      </c>
      <c r="Z26" s="8">
        <f t="shared" si="43"/>
        <v>0.14999999999999991</v>
      </c>
      <c r="AA26" s="8">
        <f t="shared" si="43"/>
        <v>0.14999999999999991</v>
      </c>
      <c r="AB26" s="8">
        <f t="shared" si="43"/>
        <v>0.14999999999999991</v>
      </c>
      <c r="AC26" s="8">
        <f t="shared" si="43"/>
        <v>-3.0000000000000027E-2</v>
      </c>
      <c r="AD26" s="8">
        <f t="shared" si="43"/>
        <v>-3.0000000000000027E-2</v>
      </c>
      <c r="AE26" s="8">
        <f t="shared" si="43"/>
        <v>-2.9999999999999916E-2</v>
      </c>
      <c r="AF26" s="8">
        <f t="shared" si="43"/>
        <v>-3.0000000000000027E-2</v>
      </c>
      <c r="AG26" s="8">
        <f t="shared" si="43"/>
        <v>-3.0000000000000027E-2</v>
      </c>
      <c r="AH26" s="8">
        <f t="shared" si="43"/>
        <v>-3.0000000000000027E-2</v>
      </c>
      <c r="AI26" s="8">
        <f t="shared" si="43"/>
        <v>-3.0000000000000027E-2</v>
      </c>
      <c r="AJ26" s="8">
        <f t="shared" si="43"/>
        <v>-3.0000000000000027E-2</v>
      </c>
      <c r="AK26" s="8">
        <f t="shared" si="43"/>
        <v>-3.0000000000000027E-2</v>
      </c>
      <c r="AL26" s="8">
        <f t="shared" si="43"/>
        <v>-3.0000000000000027E-2</v>
      </c>
    </row>
    <row r="27" spans="2:121" s="1" customFormat="1" x14ac:dyDescent="0.45">
      <c r="AO27" s="1" t="s">
        <v>84</v>
      </c>
      <c r="AP27" s="8">
        <v>-0.02</v>
      </c>
    </row>
    <row r="28" spans="2:121" s="8" customFormat="1" x14ac:dyDescent="0.45">
      <c r="B28" s="8" t="s">
        <v>56</v>
      </c>
      <c r="C28" s="8">
        <f>+C7/C5</f>
        <v>0.96031746031746035</v>
      </c>
      <c r="D28" s="8">
        <f t="shared" ref="D28:L28" si="44">+D7/D5</f>
        <v>0.95994475138121549</v>
      </c>
      <c r="E28" s="8">
        <f t="shared" si="44"/>
        <v>0.95734597156398105</v>
      </c>
      <c r="F28" s="8">
        <f t="shared" si="44"/>
        <v>0.95407407407407407</v>
      </c>
      <c r="G28" s="8">
        <f t="shared" si="44"/>
        <v>0.94292803970223327</v>
      </c>
      <c r="H28" s="8">
        <f t="shared" si="44"/>
        <v>0.9563106796116505</v>
      </c>
      <c r="I28" s="8">
        <f t="shared" si="44"/>
        <v>0.95581896551724133</v>
      </c>
      <c r="J28" s="8">
        <f t="shared" si="44"/>
        <v>0.96485623003194887</v>
      </c>
      <c r="K28" s="8">
        <f t="shared" si="44"/>
        <v>0.96208530805687209</v>
      </c>
      <c r="L28" s="8">
        <f t="shared" si="44"/>
        <v>0.97151576805696849</v>
      </c>
      <c r="M28" s="8">
        <f t="shared" ref="M28:Q28" si="45">+M7/M5</f>
        <v>0.97</v>
      </c>
      <c r="N28" s="8">
        <f t="shared" si="45"/>
        <v>0.97</v>
      </c>
      <c r="O28" s="8">
        <f t="shared" si="45"/>
        <v>0.97</v>
      </c>
      <c r="P28" s="8">
        <f t="shared" si="45"/>
        <v>0.97000000000000008</v>
      </c>
      <c r="Q28" s="8">
        <f t="shared" si="45"/>
        <v>0.97</v>
      </c>
      <c r="T28" s="8">
        <f t="shared" ref="T28:V28" si="46">+T7/T5</f>
        <v>0.95153533111357746</v>
      </c>
      <c r="U28" s="8">
        <f t="shared" si="46"/>
        <v>0.96043299738708476</v>
      </c>
      <c r="V28" s="8">
        <f>+V7/V5</f>
        <v>0.95236622332199194</v>
      </c>
      <c r="W28" s="8">
        <f t="shared" ref="W28:AL28" si="47">+W7/W5</f>
        <v>0.97</v>
      </c>
      <c r="X28" s="8">
        <f t="shared" si="47"/>
        <v>0.97000000000000008</v>
      </c>
      <c r="Y28" s="8">
        <f t="shared" si="47"/>
        <v>0.97</v>
      </c>
      <c r="Z28" s="8">
        <f t="shared" si="47"/>
        <v>0.96999999999999986</v>
      </c>
      <c r="AA28" s="8">
        <f t="shared" si="47"/>
        <v>0.97</v>
      </c>
      <c r="AB28" s="8">
        <f t="shared" si="47"/>
        <v>0.97</v>
      </c>
      <c r="AC28" s="8">
        <f t="shared" si="47"/>
        <v>0.97</v>
      </c>
      <c r="AD28" s="8">
        <f t="shared" si="47"/>
        <v>0.96999999999999986</v>
      </c>
      <c r="AE28" s="8">
        <f t="shared" si="47"/>
        <v>0.97</v>
      </c>
      <c r="AF28" s="8">
        <f t="shared" si="47"/>
        <v>0.97</v>
      </c>
      <c r="AG28" s="8">
        <f t="shared" si="47"/>
        <v>0.97000000000000008</v>
      </c>
      <c r="AH28" s="8">
        <f t="shared" si="47"/>
        <v>0.97000000000000008</v>
      </c>
      <c r="AI28" s="8">
        <f t="shared" si="47"/>
        <v>0.96999999999999986</v>
      </c>
      <c r="AJ28" s="8">
        <f t="shared" si="47"/>
        <v>0.97</v>
      </c>
      <c r="AK28" s="8">
        <f t="shared" si="47"/>
        <v>0.97</v>
      </c>
      <c r="AL28" s="8">
        <f t="shared" si="47"/>
        <v>0.97</v>
      </c>
      <c r="AO28" s="8" t="s">
        <v>83</v>
      </c>
      <c r="AP28" s="8">
        <v>0.01</v>
      </c>
    </row>
    <row r="29" spans="2:121" s="8" customFormat="1" x14ac:dyDescent="0.45">
      <c r="B29" s="8" t="s">
        <v>57</v>
      </c>
      <c r="C29" s="8">
        <f>+C12/C5</f>
        <v>0.2904761904761905</v>
      </c>
      <c r="D29" s="8">
        <f t="shared" ref="D29:L29" si="48">+D12/D5</f>
        <v>0.33701657458563539</v>
      </c>
      <c r="E29" s="8">
        <f t="shared" si="48"/>
        <v>-7.8988941548183256E-2</v>
      </c>
      <c r="F29" s="8">
        <f t="shared" si="48"/>
        <v>0.16444444444444445</v>
      </c>
      <c r="G29" s="8">
        <f t="shared" si="48"/>
        <v>-0.19354838709677419</v>
      </c>
      <c r="H29" s="8">
        <f t="shared" si="48"/>
        <v>0.16262135922330098</v>
      </c>
      <c r="I29" s="8">
        <f t="shared" si="48"/>
        <v>2.3706896551724137E-2</v>
      </c>
      <c r="J29" s="8">
        <f t="shared" si="48"/>
        <v>0.19382321618743345</v>
      </c>
      <c r="K29" s="8">
        <f t="shared" si="48"/>
        <v>7.582938388625593E-2</v>
      </c>
      <c r="L29" s="8">
        <f t="shared" si="48"/>
        <v>0.17802644964394709</v>
      </c>
      <c r="M29" s="8">
        <f t="shared" ref="M29:Q29" si="49">+M12/M5</f>
        <v>8.4433333333333277E-2</v>
      </c>
      <c r="N29" s="8">
        <f t="shared" si="49"/>
        <v>0.23998935037273694</v>
      </c>
      <c r="O29" s="8">
        <f t="shared" si="49"/>
        <v>0.13061611374407589</v>
      </c>
      <c r="P29" s="8">
        <f t="shared" si="49"/>
        <v>0.21830111902339783</v>
      </c>
      <c r="Q29" s="8">
        <f t="shared" si="49"/>
        <v>0.12997199999999989</v>
      </c>
      <c r="T29" s="8">
        <f t="shared" ref="T29:U29" si="50">+T12/T5</f>
        <v>0.24195338512763595</v>
      </c>
      <c r="U29" s="8">
        <f t="shared" ref="U29" si="51">+U12/U5</f>
        <v>0.25046659201194477</v>
      </c>
      <c r="V29" s="8">
        <f t="shared" ref="V29:AL29" si="52">+V12/V5</f>
        <v>3.4333436436746058E-2</v>
      </c>
      <c r="W29" s="8">
        <f t="shared" si="52"/>
        <v>0.17805002521432173</v>
      </c>
      <c r="X29" s="8">
        <f t="shared" si="52"/>
        <v>0.26942886845882313</v>
      </c>
      <c r="Y29" s="8">
        <f t="shared" si="52"/>
        <v>0.29861933227303883</v>
      </c>
      <c r="Z29" s="8">
        <f t="shared" si="52"/>
        <v>0.32379193545780161</v>
      </c>
      <c r="AA29" s="8">
        <f t="shared" si="52"/>
        <v>0.35043890824186874</v>
      </c>
      <c r="AB29" s="8">
        <f t="shared" si="52"/>
        <v>0.37617538346285251</v>
      </c>
      <c r="AC29" s="8">
        <f t="shared" si="52"/>
        <v>0.40777575623238843</v>
      </c>
      <c r="AD29" s="8">
        <f t="shared" si="52"/>
        <v>0.4395473999166617</v>
      </c>
      <c r="AE29" s="8">
        <f t="shared" si="52"/>
        <v>0.46826297061442546</v>
      </c>
      <c r="AF29" s="8">
        <f t="shared" si="52"/>
        <v>0.49348073986728253</v>
      </c>
      <c r="AG29" s="8">
        <f t="shared" si="52"/>
        <v>0.51634202439299515</v>
      </c>
      <c r="AH29" s="8">
        <f t="shared" si="52"/>
        <v>0.53744912598985128</v>
      </c>
      <c r="AI29" s="8">
        <f t="shared" si="52"/>
        <v>0.5573098067526443</v>
      </c>
      <c r="AJ29" s="8">
        <f t="shared" si="52"/>
        <v>0.57958935509877396</v>
      </c>
      <c r="AK29" s="8">
        <f t="shared" si="52"/>
        <v>0.60164890944251004</v>
      </c>
      <c r="AL29" s="8">
        <f t="shared" si="52"/>
        <v>0.6216282127079088</v>
      </c>
      <c r="AO29" s="8" t="s">
        <v>85</v>
      </c>
      <c r="AP29" s="8">
        <v>0.06</v>
      </c>
    </row>
    <row r="30" spans="2:121" s="8" customFormat="1" x14ac:dyDescent="0.45">
      <c r="B30" s="8" t="s">
        <v>52</v>
      </c>
      <c r="C30" s="8">
        <f>+C16/C15</f>
        <v>0.25</v>
      </c>
      <c r="D30" s="8">
        <f t="shared" ref="D30:L30" si="53">+D16/D15</f>
        <v>0.20175438596491227</v>
      </c>
      <c r="E30" s="8">
        <f t="shared" si="53"/>
        <v>0.4</v>
      </c>
      <c r="F30" s="8">
        <f t="shared" si="53"/>
        <v>0.17322834645669291</v>
      </c>
      <c r="G30" s="8">
        <f t="shared" si="53"/>
        <v>7.5630252100840331E-2</v>
      </c>
      <c r="H30" s="8">
        <f t="shared" si="53"/>
        <v>0.4041095890410959</v>
      </c>
      <c r="I30" s="8">
        <f t="shared" si="53"/>
        <v>-2.8620689655172415</v>
      </c>
      <c r="J30" s="8">
        <f t="shared" si="53"/>
        <v>8.6065573770491802E-2</v>
      </c>
      <c r="K30" s="8">
        <f t="shared" si="53"/>
        <v>-0.671875</v>
      </c>
      <c r="L30" s="8">
        <f t="shared" si="53"/>
        <v>5.9701492537313432E-2</v>
      </c>
      <c r="M30" s="8">
        <f t="shared" ref="M30:Q30" si="54">+M16/M15</f>
        <v>0.25</v>
      </c>
      <c r="N30" s="8">
        <f t="shared" si="54"/>
        <v>0.25</v>
      </c>
      <c r="O30" s="8">
        <f t="shared" si="54"/>
        <v>0.25</v>
      </c>
      <c r="P30" s="8">
        <f t="shared" si="54"/>
        <v>0.25</v>
      </c>
      <c r="Q30" s="8">
        <f t="shared" si="54"/>
        <v>0.25</v>
      </c>
      <c r="T30" s="8">
        <f t="shared" ref="T30:V30" si="55">+T16/T15</f>
        <v>0.13630731102850063</v>
      </c>
      <c r="U30" s="8">
        <f t="shared" si="55"/>
        <v>0.21907600596125187</v>
      </c>
      <c r="V30" s="8">
        <f t="shared" si="55"/>
        <v>-0.44339622641509435</v>
      </c>
      <c r="W30" s="8">
        <f t="shared" ref="W30:AL30" si="56">+W16/W15</f>
        <v>0.25257021043854988</v>
      </c>
      <c r="X30" s="8">
        <f t="shared" si="56"/>
        <v>0.25</v>
      </c>
      <c r="Y30" s="8">
        <f t="shared" si="56"/>
        <v>0.25</v>
      </c>
      <c r="Z30" s="8">
        <f t="shared" si="56"/>
        <v>0.25</v>
      </c>
      <c r="AA30" s="8">
        <f t="shared" si="56"/>
        <v>0.25</v>
      </c>
      <c r="AB30" s="8">
        <f t="shared" si="56"/>
        <v>0.25</v>
      </c>
      <c r="AC30" s="8">
        <f t="shared" si="56"/>
        <v>0.25</v>
      </c>
      <c r="AD30" s="8">
        <f t="shared" si="56"/>
        <v>0.25</v>
      </c>
      <c r="AE30" s="8">
        <f t="shared" si="56"/>
        <v>0.25</v>
      </c>
      <c r="AF30" s="8">
        <f t="shared" si="56"/>
        <v>0.25</v>
      </c>
      <c r="AG30" s="8">
        <f t="shared" si="56"/>
        <v>0.25</v>
      </c>
      <c r="AH30" s="8">
        <f t="shared" si="56"/>
        <v>0.25</v>
      </c>
      <c r="AI30" s="8">
        <f t="shared" si="56"/>
        <v>0.25</v>
      </c>
      <c r="AJ30" s="8">
        <f t="shared" si="56"/>
        <v>0.25</v>
      </c>
      <c r="AK30" s="8">
        <f t="shared" si="56"/>
        <v>0.25</v>
      </c>
      <c r="AL30" s="8">
        <f t="shared" si="56"/>
        <v>0.25</v>
      </c>
      <c r="AO30" s="8" t="s">
        <v>86</v>
      </c>
      <c r="AP30" s="11">
        <f>NPV(AP29,W17:DQ17)</f>
        <v>75555.726606083073</v>
      </c>
    </row>
    <row r="31" spans="2:121" s="1" customFormat="1" x14ac:dyDescent="0.45">
      <c r="AO31" s="1" t="s">
        <v>1</v>
      </c>
      <c r="AP31" s="1">
        <f>Main!J4</f>
        <v>1064</v>
      </c>
    </row>
    <row r="32" spans="2:121" s="1" customFormat="1" x14ac:dyDescent="0.45">
      <c r="B32" s="1" t="s">
        <v>82</v>
      </c>
      <c r="V32" s="1">
        <v>2671</v>
      </c>
      <c r="W32" s="1">
        <f>+V32+W17</f>
        <v>3398.0122499999998</v>
      </c>
      <c r="X32" s="1">
        <f t="shared" ref="X32:AL32" si="57">+W32+X17</f>
        <v>4725.7986168750003</v>
      </c>
      <c r="Y32" s="1">
        <f t="shared" si="57"/>
        <v>6493.316354001563</v>
      </c>
      <c r="Z32" s="1">
        <f t="shared" si="57"/>
        <v>8803.214948781575</v>
      </c>
      <c r="AA32" s="1">
        <f t="shared" si="57"/>
        <v>11805.993596341188</v>
      </c>
      <c r="AB32" s="1">
        <f t="shared" si="57"/>
        <v>15682.897470074062</v>
      </c>
      <c r="AC32" s="1">
        <f t="shared" si="57"/>
        <v>19946.475570545495</v>
      </c>
      <c r="AD32" s="1">
        <f t="shared" si="57"/>
        <v>24600.653998724145</v>
      </c>
      <c r="AE32" s="1">
        <f t="shared" si="57"/>
        <v>29628.963154157609</v>
      </c>
      <c r="AF32" s="1">
        <f t="shared" si="57"/>
        <v>35005.607573244975</v>
      </c>
      <c r="AG32" s="1">
        <f t="shared" si="57"/>
        <v>40724.620127867798</v>
      </c>
      <c r="AH32" s="1">
        <f t="shared" si="57"/>
        <v>46783.48615118071</v>
      </c>
      <c r="AI32" s="1">
        <f t="shared" si="57"/>
        <v>53176.395952383595</v>
      </c>
      <c r="AJ32" s="1">
        <f t="shared" si="57"/>
        <v>59921.947873867699</v>
      </c>
      <c r="AK32" s="1">
        <f t="shared" si="57"/>
        <v>67021.3102132309</v>
      </c>
      <c r="AL32" s="1">
        <f t="shared" si="57"/>
        <v>74450.570397881427</v>
      </c>
      <c r="AO32" s="1" t="s">
        <v>0</v>
      </c>
      <c r="AP32" s="7">
        <f>+AP30/AP31</f>
        <v>71.011021246318677</v>
      </c>
    </row>
    <row r="33" spans="41:42" s="1" customFormat="1" x14ac:dyDescent="0.45">
      <c r="AO33" s="1" t="s">
        <v>88</v>
      </c>
      <c r="AP33" s="1">
        <f>Main!J3</f>
        <v>118.63</v>
      </c>
    </row>
    <row r="34" spans="41:42" s="1" customFormat="1" x14ac:dyDescent="0.45">
      <c r="AO34" s="1" t="s">
        <v>87</v>
      </c>
      <c r="AP34" s="8">
        <f>+AP32/AP33-1</f>
        <v>-0.40140755924876781</v>
      </c>
    </row>
    <row r="35" spans="41:42" s="1" customFormat="1" x14ac:dyDescent="0.45"/>
    <row r="36" spans="41:42" s="1" customFormat="1" x14ac:dyDescent="0.45"/>
    <row r="37" spans="41:42" s="1" customFormat="1" x14ac:dyDescent="0.45"/>
    <row r="38" spans="41:42" s="1" customFormat="1" x14ac:dyDescent="0.45"/>
    <row r="39" spans="41:42" s="1" customFormat="1" x14ac:dyDescent="0.45"/>
    <row r="40" spans="41:42" s="1" customFormat="1" x14ac:dyDescent="0.45"/>
  </sheetData>
  <hyperlinks>
    <hyperlink ref="G2" r:id="rId1" xr:uid="{A4F4C970-C4A9-4E6B-98DF-6FAF8AC9316B}"/>
    <hyperlink ref="H2" r:id="rId2" xr:uid="{E751ECF2-ED99-4ECE-891A-8E988A47589B}"/>
    <hyperlink ref="I2" r:id="rId3" xr:uid="{65C9B141-940D-4101-9A2A-99DDC4BF6F3B}"/>
    <hyperlink ref="K2" r:id="rId4" xr:uid="{E7731F1E-C3BA-4B17-8A64-4C13F30FC990}"/>
    <hyperlink ref="L2" r:id="rId5" xr:uid="{C55527BD-2EB6-4E22-B33B-9F52822B7EEA}"/>
  </hyperlinks>
  <pageMargins left="0.7" right="0.7" top="0.75" bottom="0.75" header="0.3" footer="0.3"/>
  <pageSetup orientation="portrait" r:id="rId6"/>
  <drawing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S</dc:creator>
  <cp:lastModifiedBy>Bobby S</cp:lastModifiedBy>
  <dcterms:created xsi:type="dcterms:W3CDTF">2025-03-20T17:29:26Z</dcterms:created>
  <dcterms:modified xsi:type="dcterms:W3CDTF">2025-03-25T17:17:08Z</dcterms:modified>
</cp:coreProperties>
</file>