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907474b3756498a/Value Investing/"/>
    </mc:Choice>
  </mc:AlternateContent>
  <xr:revisionPtr revIDLastSave="1096" documentId="8_{59DB1CCB-80C8-4342-8F9D-ECEBE4A14946}" xr6:coauthVersionLast="47" xr6:coauthVersionMax="47" xr10:uidLastSave="{EB19A790-EA91-AB44-8D1C-E5E9C72DB339}"/>
  <bookViews>
    <workbookView xWindow="30080" yWindow="-33340" windowWidth="30080" windowHeight="31860" activeTab="1" xr2:uid="{833CB274-50FD-D049-B66D-BD19E118F8F0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9" i="2" l="1"/>
  <c r="AG9" i="2" s="1"/>
  <c r="AH9" i="2" s="1"/>
  <c r="AI9" i="2" s="1"/>
  <c r="AE9" i="2"/>
  <c r="AC20" i="2"/>
  <c r="AB50" i="2"/>
  <c r="AB23" i="2"/>
  <c r="AC21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C19" i="2" s="1"/>
  <c r="AC47" i="2" s="1"/>
  <c r="AH17" i="2"/>
  <c r="AH43" i="2" s="1"/>
  <c r="AG17" i="2"/>
  <c r="AF17" i="2"/>
  <c r="AD17" i="2"/>
  <c r="AE17" i="2" s="1"/>
  <c r="AC17" i="2"/>
  <c r="AG16" i="2"/>
  <c r="AH16" i="2" s="1"/>
  <c r="AF16" i="2"/>
  <c r="AD16" i="2"/>
  <c r="AE16" i="2" s="1"/>
  <c r="AC16" i="2"/>
  <c r="AD42" i="2" s="1"/>
  <c r="AD14" i="2"/>
  <c r="AE14" i="2" s="1"/>
  <c r="AC14" i="2"/>
  <c r="AD9" i="2"/>
  <c r="AC9" i="2"/>
  <c r="AD13" i="2"/>
  <c r="AD46" i="2" s="1"/>
  <c r="AC13" i="2"/>
  <c r="AC46" i="2" s="1"/>
  <c r="AM4" i="2"/>
  <c r="AN4" i="2" s="1"/>
  <c r="AO4" i="2" s="1"/>
  <c r="AP4" i="2" s="1"/>
  <c r="AQ4" i="2" s="1"/>
  <c r="AL4" i="2"/>
  <c r="AG4" i="2"/>
  <c r="AH4" i="2" s="1"/>
  <c r="AI4" i="2" s="1"/>
  <c r="AJ4" i="2" s="1"/>
  <c r="AK4" i="2" s="1"/>
  <c r="AF4" i="2"/>
  <c r="AC4" i="2"/>
  <c r="AD4" i="2" s="1"/>
  <c r="AE4" i="2" s="1"/>
  <c r="AB4" i="2"/>
  <c r="AB48" i="2"/>
  <c r="AB47" i="2"/>
  <c r="AB46" i="2"/>
  <c r="AG43" i="2"/>
  <c r="AD43" i="2"/>
  <c r="AC43" i="2"/>
  <c r="AB43" i="2"/>
  <c r="AB42" i="2"/>
  <c r="AC41" i="2"/>
  <c r="AB41" i="2"/>
  <c r="AD33" i="2"/>
  <c r="AC33" i="2"/>
  <c r="AB33" i="2"/>
  <c r="AB26" i="2"/>
  <c r="R18" i="2"/>
  <c r="Q18" i="2"/>
  <c r="P18" i="2"/>
  <c r="R17" i="2"/>
  <c r="Q17" i="2"/>
  <c r="P17" i="2"/>
  <c r="AB24" i="2"/>
  <c r="AB20" i="2"/>
  <c r="AB17" i="2"/>
  <c r="AB18" i="2" s="1"/>
  <c r="AB19" i="2" s="1"/>
  <c r="AB21" i="2" s="1"/>
  <c r="AB16" i="2"/>
  <c r="AB15" i="2"/>
  <c r="AB14" i="2"/>
  <c r="AB13" i="2"/>
  <c r="AB12" i="2"/>
  <c r="AB11" i="2"/>
  <c r="AB10" i="2"/>
  <c r="AB9" i="2"/>
  <c r="R43" i="2"/>
  <c r="Q43" i="2"/>
  <c r="P43" i="2"/>
  <c r="R42" i="2"/>
  <c r="Q42" i="2"/>
  <c r="P42" i="2"/>
  <c r="R41" i="2"/>
  <c r="Q41" i="2"/>
  <c r="P41" i="2"/>
  <c r="R33" i="2"/>
  <c r="Q33" i="2"/>
  <c r="R19" i="2"/>
  <c r="R21" i="2" s="1"/>
  <c r="Q19" i="2"/>
  <c r="Q21" i="2" s="1"/>
  <c r="P19" i="2"/>
  <c r="P47" i="2" s="1"/>
  <c r="R16" i="2"/>
  <c r="Q16" i="2"/>
  <c r="P16" i="2"/>
  <c r="R14" i="2"/>
  <c r="Q14" i="2"/>
  <c r="P14" i="2"/>
  <c r="R9" i="2"/>
  <c r="Q9" i="2"/>
  <c r="R13" i="2"/>
  <c r="Q13" i="2"/>
  <c r="P13" i="2"/>
  <c r="AA43" i="2"/>
  <c r="Z43" i="2"/>
  <c r="Y43" i="2"/>
  <c r="X43" i="2"/>
  <c r="W43" i="2"/>
  <c r="Z42" i="2"/>
  <c r="Y42" i="2"/>
  <c r="X42" i="2"/>
  <c r="W42" i="2"/>
  <c r="AA42" i="2"/>
  <c r="Z41" i="2"/>
  <c r="Y41" i="2"/>
  <c r="X41" i="2"/>
  <c r="W41" i="2"/>
  <c r="AA41" i="2"/>
  <c r="O43" i="2"/>
  <c r="N43" i="2"/>
  <c r="M43" i="2"/>
  <c r="L43" i="2"/>
  <c r="K43" i="2"/>
  <c r="J43" i="2"/>
  <c r="I43" i="2"/>
  <c r="H43" i="2"/>
  <c r="G43" i="2"/>
  <c r="N42" i="2"/>
  <c r="M42" i="2"/>
  <c r="L42" i="2"/>
  <c r="K42" i="2"/>
  <c r="J42" i="2"/>
  <c r="I42" i="2"/>
  <c r="H42" i="2"/>
  <c r="G42" i="2"/>
  <c r="O42" i="2"/>
  <c r="N41" i="2"/>
  <c r="M41" i="2"/>
  <c r="L41" i="2"/>
  <c r="K41" i="2"/>
  <c r="J41" i="2"/>
  <c r="I41" i="2"/>
  <c r="H41" i="2"/>
  <c r="G41" i="2"/>
  <c r="O41" i="2"/>
  <c r="N50" i="2"/>
  <c r="O50" i="2"/>
  <c r="AA50" i="2"/>
  <c r="K3" i="2"/>
  <c r="Z4" i="2"/>
  <c r="AA38" i="2"/>
  <c r="Z38" i="2"/>
  <c r="Y38" i="2"/>
  <c r="X38" i="2"/>
  <c r="W38" i="2"/>
  <c r="Z39" i="2"/>
  <c r="Y39" i="2"/>
  <c r="X39" i="2"/>
  <c r="W39" i="2"/>
  <c r="AA39" i="2"/>
  <c r="P46" i="2"/>
  <c r="P7" i="2"/>
  <c r="O38" i="2"/>
  <c r="M38" i="2"/>
  <c r="L38" i="2"/>
  <c r="K38" i="2"/>
  <c r="I38" i="2"/>
  <c r="H38" i="2"/>
  <c r="G38" i="2"/>
  <c r="M39" i="2"/>
  <c r="L39" i="2"/>
  <c r="K39" i="2"/>
  <c r="I39" i="2"/>
  <c r="H39" i="2"/>
  <c r="G39" i="2"/>
  <c r="O39" i="2"/>
  <c r="X70" i="2"/>
  <c r="X72" i="2" s="1"/>
  <c r="Y70" i="2"/>
  <c r="Y76" i="2" s="1"/>
  <c r="Y77" i="2" s="1"/>
  <c r="Z70" i="2"/>
  <c r="Z76" i="2" s="1"/>
  <c r="Z77" i="2" s="1"/>
  <c r="AA70" i="2"/>
  <c r="AA76" i="2" s="1"/>
  <c r="AA77" i="2" s="1"/>
  <c r="W70" i="2"/>
  <c r="W76" i="2" s="1"/>
  <c r="W77" i="2" s="1"/>
  <c r="V70" i="2"/>
  <c r="V76" i="2" s="1"/>
  <c r="V77" i="2" s="1"/>
  <c r="V20" i="2"/>
  <c r="V15" i="2"/>
  <c r="V14" i="2"/>
  <c r="V18" i="2" s="1"/>
  <c r="V12" i="2"/>
  <c r="V9" i="2"/>
  <c r="W20" i="2"/>
  <c r="W15" i="2"/>
  <c r="W14" i="2"/>
  <c r="W12" i="2"/>
  <c r="W9" i="2"/>
  <c r="X20" i="2"/>
  <c r="X15" i="2"/>
  <c r="X14" i="2"/>
  <c r="X12" i="2"/>
  <c r="X9" i="2"/>
  <c r="V36" i="2"/>
  <c r="V35" i="2"/>
  <c r="W36" i="2"/>
  <c r="W35" i="2"/>
  <c r="X36" i="2"/>
  <c r="X35" i="2"/>
  <c r="Y36" i="2"/>
  <c r="Y35" i="2"/>
  <c r="Z36" i="2"/>
  <c r="Z35" i="2"/>
  <c r="AA36" i="2"/>
  <c r="AA35" i="2"/>
  <c r="M36" i="2"/>
  <c r="M35" i="2"/>
  <c r="I36" i="2"/>
  <c r="I35" i="2"/>
  <c r="F23" i="2"/>
  <c r="F22" i="2"/>
  <c r="F17" i="2"/>
  <c r="F16" i="2"/>
  <c r="F11" i="2"/>
  <c r="F10" i="2"/>
  <c r="F8" i="2"/>
  <c r="F7" i="2"/>
  <c r="Y20" i="2"/>
  <c r="Y15" i="2"/>
  <c r="F15" i="2" s="1"/>
  <c r="Y14" i="2"/>
  <c r="Y18" i="2"/>
  <c r="Y12" i="2"/>
  <c r="Y9" i="2"/>
  <c r="D20" i="2"/>
  <c r="D14" i="2"/>
  <c r="D18" i="2" s="1"/>
  <c r="D12" i="2"/>
  <c r="D9" i="2"/>
  <c r="E20" i="2"/>
  <c r="E14" i="2"/>
  <c r="E18" i="2" s="1"/>
  <c r="E12" i="2"/>
  <c r="E9" i="2"/>
  <c r="J23" i="2"/>
  <c r="J22" i="2"/>
  <c r="J17" i="2"/>
  <c r="J16" i="2"/>
  <c r="J11" i="2"/>
  <c r="J10" i="2"/>
  <c r="J12" i="2" s="1"/>
  <c r="J8" i="2"/>
  <c r="J7" i="2"/>
  <c r="J9" i="2" s="1"/>
  <c r="N23" i="2"/>
  <c r="N22" i="2"/>
  <c r="N17" i="2"/>
  <c r="N16" i="2"/>
  <c r="N11" i="2"/>
  <c r="N10" i="2"/>
  <c r="N8" i="2"/>
  <c r="N7" i="2"/>
  <c r="Z20" i="2"/>
  <c r="Z14" i="2"/>
  <c r="Z18" i="2" s="1"/>
  <c r="Z12" i="2"/>
  <c r="Z9" i="2"/>
  <c r="AA20" i="2"/>
  <c r="AA15" i="2"/>
  <c r="AA14" i="2"/>
  <c r="AA12" i="2"/>
  <c r="AA9" i="2"/>
  <c r="C14" i="2"/>
  <c r="C18" i="2" s="1"/>
  <c r="C20" i="2"/>
  <c r="C12" i="2"/>
  <c r="C9" i="2"/>
  <c r="C13" i="2" s="1"/>
  <c r="G20" i="2"/>
  <c r="G14" i="2"/>
  <c r="G18" i="2" s="1"/>
  <c r="G12" i="2"/>
  <c r="G9" i="2"/>
  <c r="G13" i="2" s="1"/>
  <c r="H20" i="2"/>
  <c r="H15" i="2"/>
  <c r="H14" i="2"/>
  <c r="H12" i="2"/>
  <c r="H9" i="2"/>
  <c r="L20" i="2"/>
  <c r="L15" i="2"/>
  <c r="L14" i="2"/>
  <c r="L12" i="2"/>
  <c r="L9" i="2"/>
  <c r="P33" i="2" s="1"/>
  <c r="E36" i="2"/>
  <c r="D36" i="2"/>
  <c r="C36" i="2"/>
  <c r="E35" i="2"/>
  <c r="D35" i="2"/>
  <c r="C35" i="2"/>
  <c r="I20" i="2"/>
  <c r="I15" i="2"/>
  <c r="I14" i="2"/>
  <c r="I12" i="2"/>
  <c r="I9" i="2"/>
  <c r="M20" i="2"/>
  <c r="M15" i="2"/>
  <c r="M14" i="2"/>
  <c r="M18" i="2" s="1"/>
  <c r="M12" i="2"/>
  <c r="M9" i="2"/>
  <c r="M13" i="2" s="1"/>
  <c r="L36" i="2"/>
  <c r="K36" i="2"/>
  <c r="J36" i="2"/>
  <c r="H36" i="2"/>
  <c r="G36" i="2"/>
  <c r="L35" i="2"/>
  <c r="K35" i="2"/>
  <c r="J35" i="2"/>
  <c r="H35" i="2"/>
  <c r="G35" i="2"/>
  <c r="K20" i="2"/>
  <c r="K15" i="2"/>
  <c r="K14" i="2"/>
  <c r="O36" i="2"/>
  <c r="O35" i="2"/>
  <c r="K12" i="2"/>
  <c r="K9" i="2"/>
  <c r="O20" i="2"/>
  <c r="O15" i="2"/>
  <c r="O14" i="2"/>
  <c r="O12" i="2"/>
  <c r="O9" i="2"/>
  <c r="W2" i="2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K11" i="1"/>
  <c r="K8" i="1"/>
  <c r="K7" i="1"/>
  <c r="K5" i="1"/>
  <c r="AD19" i="2" l="1"/>
  <c r="AD47" i="2" s="1"/>
  <c r="AC22" i="2"/>
  <c r="AC48" i="2" s="1"/>
  <c r="AI17" i="2"/>
  <c r="AE43" i="2"/>
  <c r="AF43" i="2"/>
  <c r="AH42" i="2"/>
  <c r="AI16" i="2"/>
  <c r="AE42" i="2"/>
  <c r="AC42" i="2"/>
  <c r="AE41" i="2"/>
  <c r="AF14" i="2"/>
  <c r="AD41" i="2"/>
  <c r="AE33" i="2"/>
  <c r="Q22" i="2"/>
  <c r="Q25" i="2"/>
  <c r="Q27" i="2" s="1"/>
  <c r="R22" i="2"/>
  <c r="R25" i="2" s="1"/>
  <c r="R27" i="2" s="1"/>
  <c r="P21" i="2"/>
  <c r="P22" i="2"/>
  <c r="K18" i="2"/>
  <c r="N12" i="2"/>
  <c r="H18" i="2"/>
  <c r="AA18" i="2"/>
  <c r="L18" i="2"/>
  <c r="D13" i="2"/>
  <c r="D46" i="2" s="1"/>
  <c r="N9" i="2"/>
  <c r="O18" i="2"/>
  <c r="J39" i="2"/>
  <c r="W13" i="2"/>
  <c r="K13" i="2"/>
  <c r="K46" i="2" s="1"/>
  <c r="F12" i="2"/>
  <c r="I18" i="2"/>
  <c r="M19" i="2"/>
  <c r="M47" i="2" s="1"/>
  <c r="N39" i="2"/>
  <c r="Y13" i="2"/>
  <c r="Y19" i="2" s="1"/>
  <c r="Y21" i="2" s="1"/>
  <c r="Y48" i="2" s="1"/>
  <c r="V13" i="2"/>
  <c r="V46" i="2" s="1"/>
  <c r="N38" i="2"/>
  <c r="J38" i="2"/>
  <c r="F36" i="2"/>
  <c r="J14" i="2"/>
  <c r="N20" i="2"/>
  <c r="J15" i="2"/>
  <c r="N36" i="2"/>
  <c r="X13" i="2"/>
  <c r="J20" i="2"/>
  <c r="I33" i="2"/>
  <c r="W72" i="2"/>
  <c r="X18" i="2"/>
  <c r="X76" i="2"/>
  <c r="X77" i="2" s="1"/>
  <c r="Y72" i="2"/>
  <c r="Z72" i="2"/>
  <c r="AA72" i="2"/>
  <c r="F35" i="2"/>
  <c r="V72" i="2"/>
  <c r="N15" i="2"/>
  <c r="AA33" i="2"/>
  <c r="F20" i="2"/>
  <c r="J13" i="2"/>
  <c r="N33" i="2"/>
  <c r="F14" i="2"/>
  <c r="F18" i="2" s="1"/>
  <c r="N13" i="2"/>
  <c r="N46" i="2" s="1"/>
  <c r="N14" i="2"/>
  <c r="Z33" i="2"/>
  <c r="M33" i="2"/>
  <c r="E13" i="2"/>
  <c r="E19" i="2" s="1"/>
  <c r="O13" i="2"/>
  <c r="M46" i="2"/>
  <c r="W18" i="2"/>
  <c r="N35" i="2"/>
  <c r="Y33" i="2"/>
  <c r="H13" i="2"/>
  <c r="I46" i="2" s="1"/>
  <c r="F9" i="2"/>
  <c r="W46" i="2"/>
  <c r="W33" i="2"/>
  <c r="X33" i="2"/>
  <c r="Z13" i="2"/>
  <c r="AA13" i="2"/>
  <c r="C46" i="2"/>
  <c r="C19" i="2"/>
  <c r="G33" i="2"/>
  <c r="K33" i="2"/>
  <c r="G19" i="2"/>
  <c r="G46" i="2"/>
  <c r="H33" i="2"/>
  <c r="L33" i="2"/>
  <c r="L13" i="2"/>
  <c r="I13" i="2"/>
  <c r="O33" i="2"/>
  <c r="AC25" i="2" l="1"/>
  <c r="AC50" i="2" s="1"/>
  <c r="AD20" i="2" s="1"/>
  <c r="AI43" i="2"/>
  <c r="AJ17" i="2"/>
  <c r="AI42" i="2"/>
  <c r="AJ16" i="2"/>
  <c r="AG42" i="2"/>
  <c r="AF42" i="2"/>
  <c r="AG14" i="2"/>
  <c r="AF41" i="2"/>
  <c r="AE13" i="2"/>
  <c r="P48" i="2"/>
  <c r="AB22" i="2"/>
  <c r="AB25" i="2" s="1"/>
  <c r="AB27" i="2" s="1"/>
  <c r="P25" i="2"/>
  <c r="P27" i="2" s="1"/>
  <c r="D19" i="2"/>
  <c r="M21" i="2"/>
  <c r="M25" i="2" s="1"/>
  <c r="F13" i="2"/>
  <c r="F46" i="2" s="1"/>
  <c r="Y46" i="2"/>
  <c r="W19" i="2"/>
  <c r="W21" i="2" s="1"/>
  <c r="W25" i="2" s="1"/>
  <c r="W52" i="2" s="1"/>
  <c r="O19" i="2"/>
  <c r="O47" i="2" s="1"/>
  <c r="K19" i="2"/>
  <c r="K47" i="2" s="1"/>
  <c r="Y47" i="2"/>
  <c r="V19" i="2"/>
  <c r="V21" i="2" s="1"/>
  <c r="V25" i="2" s="1"/>
  <c r="V52" i="2" s="1"/>
  <c r="Y25" i="2"/>
  <c r="Y52" i="2" s="1"/>
  <c r="X19" i="2"/>
  <c r="X21" i="2" s="1"/>
  <c r="X25" i="2" s="1"/>
  <c r="X52" i="2" s="1"/>
  <c r="J18" i="2"/>
  <c r="J19" i="2" s="1"/>
  <c r="J21" i="2" s="1"/>
  <c r="J25" i="2" s="1"/>
  <c r="J27" i="2" s="1"/>
  <c r="V27" i="2"/>
  <c r="E46" i="2"/>
  <c r="H19" i="2"/>
  <c r="I47" i="2" s="1"/>
  <c r="N18" i="2"/>
  <c r="N19" i="2" s="1"/>
  <c r="N47" i="2" s="1"/>
  <c r="H46" i="2"/>
  <c r="F19" i="2"/>
  <c r="O46" i="2"/>
  <c r="J33" i="2"/>
  <c r="M27" i="2"/>
  <c r="M48" i="2"/>
  <c r="AA19" i="2"/>
  <c r="AA46" i="2"/>
  <c r="Z19" i="2"/>
  <c r="Z46" i="2"/>
  <c r="V47" i="2"/>
  <c r="X46" i="2"/>
  <c r="D21" i="2"/>
  <c r="D25" i="2" s="1"/>
  <c r="D47" i="2"/>
  <c r="E21" i="2"/>
  <c r="E25" i="2" s="1"/>
  <c r="E47" i="2"/>
  <c r="C21" i="2"/>
  <c r="C25" i="2" s="1"/>
  <c r="C47" i="2"/>
  <c r="G21" i="2"/>
  <c r="G25" i="2" s="1"/>
  <c r="G47" i="2"/>
  <c r="L46" i="2"/>
  <c r="L19" i="2"/>
  <c r="K21" i="2"/>
  <c r="K25" i="2" s="1"/>
  <c r="I19" i="2"/>
  <c r="J46" i="2"/>
  <c r="AE46" i="2" l="1"/>
  <c r="AE19" i="2"/>
  <c r="AE47" i="2" s="1"/>
  <c r="AD21" i="2"/>
  <c r="AJ43" i="2"/>
  <c r="AK17" i="2"/>
  <c r="AJ42" i="2"/>
  <c r="AK16" i="2"/>
  <c r="AH14" i="2"/>
  <c r="AG41" i="2"/>
  <c r="AF33" i="2"/>
  <c r="AF13" i="2"/>
  <c r="W47" i="2"/>
  <c r="O21" i="2"/>
  <c r="O25" i="2" s="1"/>
  <c r="Y27" i="2"/>
  <c r="H47" i="2"/>
  <c r="N21" i="2"/>
  <c r="N25" i="2" s="1"/>
  <c r="H21" i="2"/>
  <c r="H48" i="2" s="1"/>
  <c r="X27" i="2"/>
  <c r="Z21" i="2"/>
  <c r="Z25" i="2" s="1"/>
  <c r="Z52" i="2" s="1"/>
  <c r="Z47" i="2"/>
  <c r="AA21" i="2"/>
  <c r="AA25" i="2" s="1"/>
  <c r="AA52" i="2" s="1"/>
  <c r="AA47" i="2"/>
  <c r="N27" i="2"/>
  <c r="N48" i="2"/>
  <c r="F47" i="2"/>
  <c r="F21" i="2"/>
  <c r="F25" i="2" s="1"/>
  <c r="V48" i="2"/>
  <c r="W27" i="2"/>
  <c r="W48" i="2"/>
  <c r="X47" i="2"/>
  <c r="D27" i="2"/>
  <c r="D48" i="2"/>
  <c r="E48" i="2"/>
  <c r="E27" i="2"/>
  <c r="C27" i="2"/>
  <c r="C48" i="2"/>
  <c r="G27" i="2"/>
  <c r="G48" i="2"/>
  <c r="L21" i="2"/>
  <c r="L25" i="2" s="1"/>
  <c r="L47" i="2"/>
  <c r="O27" i="2"/>
  <c r="O48" i="2"/>
  <c r="K48" i="2"/>
  <c r="K27" i="2"/>
  <c r="I21" i="2"/>
  <c r="I25" i="2" s="1"/>
  <c r="J47" i="2"/>
  <c r="AF46" i="2" l="1"/>
  <c r="AF19" i="2"/>
  <c r="AF47" i="2" s="1"/>
  <c r="AD22" i="2"/>
  <c r="AD48" i="2" s="1"/>
  <c r="AK43" i="2"/>
  <c r="AL17" i="2"/>
  <c r="AL16" i="2"/>
  <c r="AK42" i="2"/>
  <c r="AI14" i="2"/>
  <c r="AH41" i="2"/>
  <c r="AG13" i="2"/>
  <c r="AG33" i="2"/>
  <c r="H25" i="2"/>
  <c r="H27" i="2" s="1"/>
  <c r="I48" i="2"/>
  <c r="AA27" i="2"/>
  <c r="AA48" i="2"/>
  <c r="F27" i="2"/>
  <c r="F48" i="2"/>
  <c r="J48" i="2"/>
  <c r="I27" i="2"/>
  <c r="Z27" i="2"/>
  <c r="Z48" i="2"/>
  <c r="X48" i="2"/>
  <c r="L27" i="2"/>
  <c r="L48" i="2"/>
  <c r="AG46" i="2" l="1"/>
  <c r="AG19" i="2"/>
  <c r="AG47" i="2" s="1"/>
  <c r="AD25" i="2"/>
  <c r="AM17" i="2"/>
  <c r="AL43" i="2"/>
  <c r="AL42" i="2"/>
  <c r="AM16" i="2"/>
  <c r="AI41" i="2"/>
  <c r="AJ14" i="2"/>
  <c r="AH33" i="2"/>
  <c r="AH13" i="2"/>
  <c r="AH46" i="2" l="1"/>
  <c r="AH19" i="2"/>
  <c r="AH47" i="2" s="1"/>
  <c r="AD50" i="2"/>
  <c r="AE20" i="2" s="1"/>
  <c r="AE21" i="2"/>
  <c r="AN17" i="2"/>
  <c r="AM43" i="2"/>
  <c r="AM42" i="2"/>
  <c r="AN16" i="2"/>
  <c r="AJ41" i="2"/>
  <c r="AK14" i="2"/>
  <c r="AJ9" i="2"/>
  <c r="AI13" i="2"/>
  <c r="AI33" i="2"/>
  <c r="AI46" i="2" l="1"/>
  <c r="AI19" i="2"/>
  <c r="AI47" i="2" s="1"/>
  <c r="AE22" i="2"/>
  <c r="AE48" i="2" s="1"/>
  <c r="AO17" i="2"/>
  <c r="AN43" i="2"/>
  <c r="AN42" i="2"/>
  <c r="AO16" i="2"/>
  <c r="AL14" i="2"/>
  <c r="AK41" i="2"/>
  <c r="AK9" i="2"/>
  <c r="AJ33" i="2"/>
  <c r="AJ13" i="2"/>
  <c r="AJ46" i="2" l="1"/>
  <c r="AJ19" i="2"/>
  <c r="AJ47" i="2" s="1"/>
  <c r="AE25" i="2"/>
  <c r="AO43" i="2"/>
  <c r="AP17" i="2"/>
  <c r="AP16" i="2"/>
  <c r="AO42" i="2"/>
  <c r="AM14" i="2"/>
  <c r="AL41" i="2"/>
  <c r="AL9" i="2"/>
  <c r="AK13" i="2"/>
  <c r="AK33" i="2"/>
  <c r="AK46" i="2" l="1"/>
  <c r="AK19" i="2"/>
  <c r="AK47" i="2" s="1"/>
  <c r="AE50" i="2"/>
  <c r="AF20" i="2" s="1"/>
  <c r="AF21" i="2"/>
  <c r="AQ17" i="2"/>
  <c r="AQ43" i="2" s="1"/>
  <c r="AP43" i="2"/>
  <c r="AQ16" i="2"/>
  <c r="AQ42" i="2" s="1"/>
  <c r="AP42" i="2"/>
  <c r="AN14" i="2"/>
  <c r="AM41" i="2"/>
  <c r="AL13" i="2"/>
  <c r="AL33" i="2"/>
  <c r="AM9" i="2"/>
  <c r="AL46" i="2" l="1"/>
  <c r="AL19" i="2"/>
  <c r="AL47" i="2" s="1"/>
  <c r="AF22" i="2"/>
  <c r="AF48" i="2" s="1"/>
  <c r="AN41" i="2"/>
  <c r="AO14" i="2"/>
  <c r="AM13" i="2"/>
  <c r="AM33" i="2"/>
  <c r="AN9" i="2"/>
  <c r="AF25" i="2" l="1"/>
  <c r="AM46" i="2"/>
  <c r="AM19" i="2"/>
  <c r="AM47" i="2" s="1"/>
  <c r="AF50" i="2"/>
  <c r="AG20" i="2" s="1"/>
  <c r="AG21" i="2" s="1"/>
  <c r="AP14" i="2"/>
  <c r="AO41" i="2"/>
  <c r="AN13" i="2"/>
  <c r="AN33" i="2"/>
  <c r="AO9" i="2"/>
  <c r="AN46" i="2" l="1"/>
  <c r="AN19" i="2"/>
  <c r="AN47" i="2" s="1"/>
  <c r="AG22" i="2"/>
  <c r="AG48" i="2" s="1"/>
  <c r="AQ14" i="2"/>
  <c r="AQ41" i="2" s="1"/>
  <c r="AP41" i="2"/>
  <c r="AP9" i="2"/>
  <c r="AO33" i="2"/>
  <c r="AO13" i="2"/>
  <c r="AO46" i="2" l="1"/>
  <c r="AO19" i="2"/>
  <c r="AO47" i="2" s="1"/>
  <c r="AG25" i="2"/>
  <c r="AP13" i="2"/>
  <c r="AP33" i="2"/>
  <c r="AQ9" i="2"/>
  <c r="AG50" i="2" l="1"/>
  <c r="AH20" i="2" s="1"/>
  <c r="AP46" i="2"/>
  <c r="AP19" i="2"/>
  <c r="AP47" i="2" s="1"/>
  <c r="AH21" i="2"/>
  <c r="AQ13" i="2"/>
  <c r="AQ33" i="2"/>
  <c r="AQ46" i="2" l="1"/>
  <c r="AQ19" i="2"/>
  <c r="AQ47" i="2" s="1"/>
  <c r="AH22" i="2"/>
  <c r="AH48" i="2" s="1"/>
  <c r="AH25" i="2" l="1"/>
  <c r="AH50" i="2" l="1"/>
  <c r="AI20" i="2" s="1"/>
  <c r="AI21" i="2" s="1"/>
  <c r="AI22" i="2" l="1"/>
  <c r="AI48" i="2" s="1"/>
  <c r="AI25" i="2"/>
  <c r="AI50" i="2" s="1"/>
  <c r="AJ20" i="2" s="1"/>
  <c r="AJ21" i="2" l="1"/>
  <c r="AJ22" i="2" l="1"/>
  <c r="AJ48" i="2" s="1"/>
  <c r="AJ25" i="2" l="1"/>
  <c r="AJ50" i="2" s="1"/>
  <c r="AK20" i="2" s="1"/>
  <c r="AK21" i="2" l="1"/>
  <c r="AK22" i="2" l="1"/>
  <c r="AK48" i="2" s="1"/>
  <c r="AK25" i="2" l="1"/>
  <c r="AK50" i="2" s="1"/>
  <c r="AL20" i="2" s="1"/>
  <c r="AL21" i="2" l="1"/>
  <c r="AL22" i="2" l="1"/>
  <c r="AL48" i="2" s="1"/>
  <c r="AL25" i="2" l="1"/>
  <c r="AL50" i="2" s="1"/>
  <c r="AM20" i="2" s="1"/>
  <c r="AM21" i="2" l="1"/>
  <c r="AM22" i="2" l="1"/>
  <c r="AM48" i="2" s="1"/>
  <c r="AM25" i="2"/>
  <c r="AM50" i="2" s="1"/>
  <c r="AN20" i="2" s="1"/>
  <c r="AN21" i="2" l="1"/>
  <c r="AN22" i="2" l="1"/>
  <c r="AN48" i="2" s="1"/>
  <c r="AN25" i="2"/>
  <c r="AN50" i="2" s="1"/>
  <c r="AO20" i="2" s="1"/>
  <c r="AO21" i="2" l="1"/>
  <c r="AO22" i="2" l="1"/>
  <c r="AO48" i="2" s="1"/>
  <c r="AO25" i="2" l="1"/>
  <c r="AO50" i="2" s="1"/>
  <c r="AP20" i="2" s="1"/>
  <c r="AP21" i="2" s="1"/>
  <c r="AP22" i="2" l="1"/>
  <c r="AP48" i="2" s="1"/>
  <c r="AP25" i="2"/>
  <c r="AP50" i="2" s="1"/>
  <c r="AQ20" i="2" s="1"/>
  <c r="AQ21" i="2" l="1"/>
  <c r="AQ22" i="2" l="1"/>
  <c r="AQ48" i="2" s="1"/>
  <c r="AQ25" i="2" l="1"/>
  <c r="AQ50" i="2"/>
  <c r="AR25" i="2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BP25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CG25" i="2" s="1"/>
  <c r="CH25" i="2" s="1"/>
  <c r="CI25" i="2" s="1"/>
  <c r="CJ25" i="2" s="1"/>
  <c r="CK25" i="2" s="1"/>
  <c r="CL25" i="2" s="1"/>
  <c r="CM25" i="2" s="1"/>
  <c r="CN25" i="2" s="1"/>
  <c r="CO25" i="2" s="1"/>
  <c r="CP25" i="2" s="1"/>
  <c r="CQ25" i="2" s="1"/>
  <c r="CR25" i="2" s="1"/>
  <c r="CS25" i="2" s="1"/>
  <c r="CT25" i="2" s="1"/>
  <c r="CU25" i="2" s="1"/>
  <c r="CV25" i="2" s="1"/>
  <c r="CW25" i="2" s="1"/>
  <c r="CX25" i="2" s="1"/>
  <c r="CY25" i="2" s="1"/>
  <c r="CZ25" i="2" s="1"/>
  <c r="DA25" i="2" s="1"/>
  <c r="DB25" i="2" s="1"/>
  <c r="DC25" i="2" s="1"/>
  <c r="DD25" i="2" s="1"/>
  <c r="DE25" i="2" s="1"/>
  <c r="DF25" i="2" s="1"/>
  <c r="DG25" i="2" s="1"/>
  <c r="DH25" i="2" s="1"/>
  <c r="DI25" i="2" s="1"/>
  <c r="DJ25" i="2" s="1"/>
  <c r="DK25" i="2" s="1"/>
  <c r="DL25" i="2" s="1"/>
  <c r="DM25" i="2" s="1"/>
  <c r="DN25" i="2" s="1"/>
  <c r="DO25" i="2" s="1"/>
  <c r="DP25" i="2" s="1"/>
  <c r="DQ25" i="2" s="1"/>
  <c r="DR25" i="2" s="1"/>
  <c r="DS25" i="2" s="1"/>
  <c r="DT25" i="2" s="1"/>
  <c r="DU25" i="2" s="1"/>
  <c r="DV25" i="2" s="1"/>
  <c r="DW25" i="2" s="1"/>
  <c r="DX25" i="2" s="1"/>
  <c r="DY25" i="2" s="1"/>
  <c r="DZ25" i="2" s="1"/>
  <c r="EA25" i="2" s="1"/>
  <c r="EB25" i="2" s="1"/>
  <c r="EC25" i="2" s="1"/>
  <c r="ED25" i="2" s="1"/>
  <c r="EE25" i="2" s="1"/>
  <c r="EF25" i="2" s="1"/>
  <c r="EG25" i="2" s="1"/>
  <c r="EH25" i="2" s="1"/>
  <c r="EI25" i="2" s="1"/>
  <c r="EJ25" i="2" s="1"/>
  <c r="EK25" i="2" s="1"/>
  <c r="EL25" i="2" s="1"/>
  <c r="EM25" i="2" s="1"/>
  <c r="EN25" i="2" s="1"/>
  <c r="EO25" i="2" s="1"/>
  <c r="EP25" i="2" s="1"/>
  <c r="EQ25" i="2" s="1"/>
  <c r="ER25" i="2" s="1"/>
  <c r="ES25" i="2" s="1"/>
  <c r="ET25" i="2" s="1"/>
  <c r="EU25" i="2" s="1"/>
  <c r="AU43" i="2" s="1"/>
  <c r="AU45" i="2" s="1"/>
  <c r="AU4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Angelo Wong</author>
  </authors>
  <commentList>
    <comment ref="P8" authorId="0" shapeId="0" xr:uid="{D4656DFA-7871-A94E-BB2F-170DF0D78433}">
      <text>
        <r>
          <rPr>
            <sz val="10"/>
            <color rgb="FF000000"/>
            <rFont val="Tahoma"/>
            <family val="2"/>
          </rPr>
          <t xml:space="preserve">6.5bn up 20% yoy
</t>
        </r>
      </text>
    </comment>
    <comment ref="P9" authorId="0" shapeId="0" xr:uid="{5758BC41-3ABC-5044-9A36-CE6C9EF692CD}">
      <text>
        <r>
          <rPr>
            <b/>
            <sz val="10"/>
            <color rgb="FF000000"/>
            <rFont val="Tahoma"/>
            <family val="2"/>
          </rPr>
          <t>14.9b guide</t>
        </r>
      </text>
    </comment>
    <comment ref="B26" authorId="0" shapeId="0" xr:uid="{0DAE23B7-1505-834D-B6A5-6C5A40D702CF}">
      <text>
        <r>
          <rPr>
            <b/>
            <sz val="10"/>
            <color rgb="FF000000"/>
            <rFont val="Tahoma"/>
            <family val="2"/>
          </rPr>
          <t>Angelo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adjusted for stock split Q224 and before</t>
        </r>
      </text>
    </comment>
    <comment ref="M27" authorId="0" shapeId="0" xr:uid="{9A57C1AB-81DC-EC45-B73E-45D0F405AABF}">
      <text>
        <r>
          <rPr>
            <b/>
            <sz val="10"/>
            <color rgb="FF000000"/>
            <rFont val="Tahoma"/>
            <family val="2"/>
          </rPr>
          <t>Angelo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10-1 stock split july 2024</t>
        </r>
      </text>
    </comment>
    <comment ref="O47" authorId="0" shapeId="0" xr:uid="{D31FCB8B-69CA-4446-8169-92850ADBE130}">
      <text>
        <r>
          <rPr>
            <b/>
            <sz val="10"/>
            <color rgb="FF000000"/>
            <rFont val="Tahoma"/>
            <family val="2"/>
          </rPr>
          <t>Angelo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mkt no react? what was the guidance in Q424???
</t>
        </r>
      </text>
    </comment>
    <comment ref="P47" authorId="0" shapeId="0" xr:uid="{D527CE92-9F21-1441-B470-C75C8532A8F9}">
      <text>
        <r>
          <rPr>
            <b/>
            <sz val="10"/>
            <color rgb="FF000000"/>
            <rFont val="Tahoma"/>
            <family val="2"/>
          </rPr>
          <t>Angelo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mkt no react? what was the guidance in Q424???
</t>
        </r>
      </text>
    </comment>
    <comment ref="V73" authorId="0" shapeId="0" xr:uid="{E2A6C180-6E82-D540-8F06-6D467E20EAD0}">
      <text>
        <r>
          <rPr>
            <b/>
            <sz val="10"/>
            <color rgb="FF000000"/>
            <rFont val="Tahoma"/>
            <family val="2"/>
          </rPr>
          <t>Angelo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nov 5 2018 ca inc, 18.8bn cash.</t>
        </r>
      </text>
    </comment>
    <comment ref="W73" authorId="0" shapeId="0" xr:uid="{3D430857-8B7E-3A47-BBDD-51C795902114}">
      <text>
        <r>
          <rPr>
            <b/>
            <sz val="10"/>
            <color rgb="FF000000"/>
            <rFont val="Tahoma"/>
            <family val="2"/>
          </rPr>
          <t>Angelo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10.7bn nov 4 2019 symantec</t>
        </r>
      </text>
    </comment>
    <comment ref="AA73" authorId="0" shapeId="0" xr:uid="{65C8A5DD-175D-2941-BF85-5D3AC90F0427}">
      <text>
        <r>
          <rPr>
            <b/>
            <sz val="10"/>
            <color rgb="FF000000"/>
            <rFont val="Tahoma"/>
            <family val="2"/>
          </rPr>
          <t>Angelo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includes vmware acquisition. 30.8bn cash. 544 million shares avgo (post split) and got back 3.5bn by selling vmware end user computing biz
</t>
        </r>
      </text>
    </comment>
  </commentList>
</comments>
</file>

<file path=xl/sharedStrings.xml><?xml version="1.0" encoding="utf-8"?>
<sst xmlns="http://schemas.openxmlformats.org/spreadsheetml/2006/main" count="196" uniqueCount="188">
  <si>
    <t>Price</t>
  </si>
  <si>
    <t>Shares</t>
  </si>
  <si>
    <t>MC</t>
  </si>
  <si>
    <t>Cash</t>
  </si>
  <si>
    <t>Debt</t>
  </si>
  <si>
    <t>EV</t>
  </si>
  <si>
    <t>Net Cash</t>
  </si>
  <si>
    <t>Q424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</si>
  <si>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</si>
  <si>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</si>
  <si>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</si>
  <si>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</si>
  <si>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</si>
  <si>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</si>
  <si>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</si>
  <si>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</si>
  <si>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</si>
  <si>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</si>
  <si>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</si>
  <si>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</si>
  <si>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Q125</t>
  </si>
  <si>
    <t>Q225</t>
  </si>
  <si>
    <t>Q325</t>
  </si>
  <si>
    <t>Q425</t>
  </si>
  <si>
    <t>Products</t>
  </si>
  <si>
    <t>COGs product</t>
  </si>
  <si>
    <t>COGSs subs</t>
  </si>
  <si>
    <t>Subs</t>
  </si>
  <si>
    <t>COGs</t>
  </si>
  <si>
    <t>Gross Profit</t>
  </si>
  <si>
    <t>Acquisitions</t>
  </si>
  <si>
    <t>Restructuring</t>
  </si>
  <si>
    <t>R&amp;D</t>
  </si>
  <si>
    <t>SG&amp;A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</si>
  <si>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</si>
  <si>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</si>
  <si>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</si>
  <si>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</si>
  <si>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</si>
  <si>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</si>
  <si>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</si>
  <si>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GM %</t>
  </si>
  <si>
    <t>GM Product</t>
  </si>
  <si>
    <t>GM Subs</t>
  </si>
  <si>
    <t>Revenue y/y</t>
  </si>
  <si>
    <t>Income from discontinued ops</t>
  </si>
  <si>
    <t>OM %</t>
  </si>
  <si>
    <t>Dividends</t>
  </si>
  <si>
    <t>Model NI</t>
  </si>
  <si>
    <t>Reported NI</t>
  </si>
  <si>
    <t>Amortization</t>
  </si>
  <si>
    <t>Depreciation</t>
  </si>
  <si>
    <t>SBC</t>
  </si>
  <si>
    <t>D/T</t>
  </si>
  <si>
    <t>Impariment of investement</t>
  </si>
  <si>
    <t>Bad debt</t>
  </si>
  <si>
    <t>Non-cash restructuring</t>
  </si>
  <si>
    <t>Non-cash interest expense</t>
  </si>
  <si>
    <t>Other</t>
  </si>
  <si>
    <t>A/R</t>
  </si>
  <si>
    <t>Inventory</t>
  </si>
  <si>
    <t>A/P</t>
  </si>
  <si>
    <t>Compensation &amp; Benefits</t>
  </si>
  <si>
    <t>Pension</t>
  </si>
  <si>
    <t>OCAL</t>
  </si>
  <si>
    <t>OLTAL</t>
  </si>
  <si>
    <t>CFFO</t>
  </si>
  <si>
    <t>Capex</t>
  </si>
  <si>
    <t>CFFI</t>
  </si>
  <si>
    <t>CFFF</t>
  </si>
  <si>
    <t>Cash Flow</t>
  </si>
  <si>
    <t>FCF</t>
  </si>
  <si>
    <t>Repurchase</t>
  </si>
  <si>
    <t>Cash Flow + Repurchase</t>
  </si>
  <si>
    <t>Symantec</t>
  </si>
  <si>
    <t>LSI Corporation</t>
  </si>
  <si>
    <t>HP semiconductor division</t>
  </si>
  <si>
    <t>VMWare</t>
  </si>
  <si>
    <t>Business</t>
  </si>
  <si>
    <t>They buy and manage semiconductor and infra software companies</t>
  </si>
  <si>
    <t>Segment breakdown</t>
  </si>
  <si>
    <t>Semiconductor</t>
  </si>
  <si>
    <t>Major end markets</t>
  </si>
  <si>
    <t>Major applications</t>
  </si>
  <si>
    <t>Key products</t>
  </si>
  <si>
    <t>Networking</t>
  </si>
  <si>
    <t>Data center, service provider, enterprise networking</t>
  </si>
  <si>
    <t>Custom silicon solutions</t>
  </si>
  <si>
    <t>Ethernet switching and routing silicon</t>
  </si>
  <si>
    <t>Optical and copper PHYs</t>
  </si>
  <si>
    <t>Fiber optic transmitter and receiver components</t>
  </si>
  <si>
    <t>Wireless</t>
  </si>
  <si>
    <t>Mobile Device Connectivity</t>
  </si>
  <si>
    <t>RF front end modules and filters</t>
  </si>
  <si>
    <t>WiFi, bluetooth, GPS,GNSS SoCs</t>
  </si>
  <si>
    <t>Custom touch controller</t>
  </si>
  <si>
    <t>Inductive charging ASICs</t>
  </si>
  <si>
    <t>Storage</t>
  </si>
  <si>
    <t>Servers / storage systems</t>
  </si>
  <si>
    <t>SAS and RAID</t>
  </si>
  <si>
    <t>PCIe switches</t>
  </si>
  <si>
    <t>Fiber channel host bus adapters</t>
  </si>
  <si>
    <t>Ethernet NIC</t>
  </si>
  <si>
    <t>Read channel based SoCs; custom flash controllers</t>
  </si>
  <si>
    <t>Preamps</t>
  </si>
  <si>
    <t>HDD and SSDS</t>
  </si>
  <si>
    <t>Broadband</t>
  </si>
  <si>
    <t>STB and broadband</t>
  </si>
  <si>
    <t>STB SoCs</t>
  </si>
  <si>
    <t>DSL/PON gateways</t>
  </si>
  <si>
    <t>DOCSIS cable modem and networking infra</t>
  </si>
  <si>
    <t>DSLAM/PON optical line termination</t>
  </si>
  <si>
    <t>WiFi access points SoCs</t>
  </si>
  <si>
    <t>Industrial</t>
  </si>
  <si>
    <t>Factory automation, renewable energy, automotive electronics</t>
  </si>
  <si>
    <t>Optocouplers</t>
  </si>
  <si>
    <t>Industrial fiber opitcs</t>
  </si>
  <si>
    <t>Industrial medical sensors</t>
  </si>
  <si>
    <t>Motion control encoders and subsystems</t>
  </si>
  <si>
    <t>Light emitting diodes</t>
  </si>
  <si>
    <t>Ethernet PHYs, switch ICs and camera microcontrollers</t>
  </si>
  <si>
    <t>Subsidiaries</t>
  </si>
  <si>
    <t>Software</t>
  </si>
  <si>
    <t>Portfolio</t>
  </si>
  <si>
    <t>Description</t>
  </si>
  <si>
    <t>Offerints</t>
  </si>
  <si>
    <t>Private cloud</t>
  </si>
  <si>
    <t>Cloud infra</t>
  </si>
  <si>
    <t>Vmware clouf foundation</t>
  </si>
  <si>
    <t>Private AI</t>
  </si>
  <si>
    <t>Live Recovery</t>
  </si>
  <si>
    <t>Telco Cloud Platform</t>
  </si>
  <si>
    <t>Tanzu</t>
  </si>
  <si>
    <t>Solutions for app dev</t>
  </si>
  <si>
    <t>Tanzu Platforms</t>
  </si>
  <si>
    <t>Tanzu CloudHealth</t>
  </si>
  <si>
    <t>Tanzu Labs</t>
  </si>
  <si>
    <t>VeloCloud</t>
  </si>
  <si>
    <t>Tanzu  Data Solutions</t>
  </si>
  <si>
    <t>SD-WAN and SASE</t>
  </si>
  <si>
    <t>VeloRAIN</t>
  </si>
  <si>
    <t>Fixed wireless access</t>
  </si>
  <si>
    <t>Entereprise edge connectivity and performance over internet, fixed wireless access / satellite (sw managed)</t>
  </si>
  <si>
    <t>App newtworking / security</t>
  </si>
  <si>
    <t>Lateral Security Firewall</t>
  </si>
  <si>
    <t>Advanced Threat Protection</t>
  </si>
  <si>
    <t>Advanced load balancing</t>
  </si>
  <si>
    <t>Mainframe software</t>
  </si>
  <si>
    <t>DevOps, AIOps, Security, Workload Automation, Data Management, Foundational Software Solutions, and Beyond Code programs</t>
  </si>
  <si>
    <t>Operational Analytics &amp; management</t>
  </si>
  <si>
    <t>Workload automation</t>
  </si>
  <si>
    <t>Database &amp; Data Management</t>
  </si>
  <si>
    <t>Application Dev &amp; Testing</t>
  </si>
  <si>
    <t>ID &amp; access mgmt</t>
  </si>
  <si>
    <t>Compliance &amp; data Protection</t>
  </si>
  <si>
    <t>Security Insight</t>
  </si>
  <si>
    <t>Beyond Code programs</t>
  </si>
  <si>
    <t>Distributed SW</t>
  </si>
  <si>
    <t>Optimize planning development, delivery of business critical services</t>
  </si>
  <si>
    <t>ValueOps</t>
  </si>
  <si>
    <t>AIOps</t>
  </si>
  <si>
    <t>DevOps</t>
  </si>
  <si>
    <t>Enterprise Security</t>
  </si>
  <si>
    <t>Endpoint Security</t>
  </si>
  <si>
    <t>Network Security</t>
  </si>
  <si>
    <t>Info secrutiy</t>
  </si>
  <si>
    <t>App Security</t>
  </si>
  <si>
    <t>ID Security</t>
  </si>
  <si>
    <t>FC SAN Management</t>
  </si>
  <si>
    <t>Autonomous SAN capabilities</t>
  </si>
  <si>
    <t>Fiber Channel Switch</t>
  </si>
  <si>
    <t>Payment Security</t>
  </si>
  <si>
    <t>Payment Security Suite</t>
  </si>
  <si>
    <t>ARCOT payment auth powered by 3d secure</t>
  </si>
  <si>
    <t>only security. Doesn't accept payments</t>
  </si>
  <si>
    <t>Product Growth</t>
  </si>
  <si>
    <t>Sub Growth</t>
  </si>
  <si>
    <t>AI Revenue</t>
  </si>
  <si>
    <t>AI Revenue annual</t>
  </si>
  <si>
    <t>R&amp;D Growth</t>
  </si>
  <si>
    <t>SG&amp;A Growth</t>
  </si>
  <si>
    <t>Acquisitions Growth</t>
  </si>
  <si>
    <t>Maturity</t>
  </si>
  <si>
    <t>Discount</t>
  </si>
  <si>
    <t>NPV</t>
  </si>
  <si>
    <t>Spot</t>
  </si>
  <si>
    <t>Difference</t>
  </si>
  <si>
    <t>ROIC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</si>
</sst>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u/>
      <sz val="12"/>
      <color theme="1"/>
      <name val="Aptos Narrow"/>
      <scheme val="minor"/>
    </font>
    <font>
      <b/>
      <u/>
      <sz val="12"/>
      <color theme="1"/>
      <name val="Aptos Narrow (Body)"/>
    </font>
    <font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3" fontId="1" fillId="0" borderId="0" xfId="0" applyNumberFormat="1" applyFont="1"/>
    <xf numFmtId="14" fontId="0" fillId="0" borderId="0" xfId="0" applyNumberFormat="1"/>
    <xf numFmtId="4" fontId="0" fillId="0" borderId="0" xfId="0" applyNumberFormat="1"/>
    <xf numFmtId="9" fontId="0" fillId="0" borderId="0" xfId="0" applyNumberFormat="1"/>
    <xf numFmtId="3" fontId="1" fillId="0" borderId="1" xfId="0" applyNumberFormat="1" applyFont="1" applyBorder="1"/>
    <xf numFmtId="0" fontId="1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/>
    <xf numFmtId="0" fontId="0" fillId="2" borderId="0" xfId="0" applyFill="1"/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left"/>
    </xf>
    <xf numFmtId="9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3" fontId="1" fillId="0" borderId="0" xfId="0" applyNumberFormat="1" applyFont="1" applyAlignment="1">
      <alignment horizontal="left"/>
    </xf>
    <xf numFmtId="4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3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0</xdr:row>
      <xdr:rowOff>101600</xdr:rowOff>
    </xdr:from>
    <xdr:to>
      <xdr:col>15</xdr:col>
      <xdr:colOff>38100</xdr:colOff>
      <xdr:row>75</xdr:row>
      <xdr:rowOff>25400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F085880-F587-9F1A-9147-AA4C19C34C21}"/>
            </a:ext>
          </a:extLst>
        </xdr:cNvPr>
        <xdr:cNvCxnSpPr/>
      </xdr:nvCxnSpPr>
      <xdr:spPr>
        <a:xfrm>
          <a:off x="12420600" y="101600"/>
          <a:ext cx="0" cy="121158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25400</xdr:colOff>
      <xdr:row>0</xdr:row>
      <xdr:rowOff>0</xdr:rowOff>
    </xdr:from>
    <xdr:to>
      <xdr:col>27</xdr:col>
      <xdr:colOff>25400</xdr:colOff>
      <xdr:row>73</xdr:row>
      <xdr:rowOff>127000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58AF5D0-060E-544B-B2D1-1D74BD496A86}"/>
            </a:ext>
          </a:extLst>
        </xdr:cNvPr>
        <xdr:cNvCxnSpPr/>
      </xdr:nvCxnSpPr>
      <xdr:spPr>
        <a:xfrm>
          <a:off x="22313900" y="0"/>
          <a:ext cx="0" cy="121158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4B3D7-44C9-1241-AD24-C049913E83B4}">
  <dimension ref="B3:L76"/>
  <sheetViews>
    <sheetView workbookViewId="0">
      <selection activeCell="K3" sqref="K3"/>
    </sheetView>
  </sheetViews>
  <sheetFormatPr baseColWidth="10" defaultRowHeight="16" x14ac:dyDescent="0.2"/>
  <cols>
    <col min="2" max="2" width="18.33203125" customWidth="1"/>
    <col min="3" max="3" width="25.6640625" style="10" customWidth="1"/>
  </cols>
  <sheetData>
    <row r="3" spans="2:12" x14ac:dyDescent="0.2">
      <c r="J3" t="s">
        <v>0</v>
      </c>
      <c r="K3">
        <v>195.68</v>
      </c>
    </row>
    <row r="4" spans="2:12" x14ac:dyDescent="0.2">
      <c r="B4" s="12" t="s">
        <v>121</v>
      </c>
      <c r="J4" t="s">
        <v>1</v>
      </c>
      <c r="K4" s="1">
        <v>4687.3559999999998</v>
      </c>
      <c r="L4" t="s">
        <v>7</v>
      </c>
    </row>
    <row r="5" spans="2:12" x14ac:dyDescent="0.2">
      <c r="B5" t="s">
        <v>74</v>
      </c>
      <c r="J5" t="s">
        <v>2</v>
      </c>
      <c r="K5" s="1">
        <f>+K4*K3</f>
        <v>917221.82207999995</v>
      </c>
    </row>
    <row r="6" spans="2:12" x14ac:dyDescent="0.2">
      <c r="B6" t="s">
        <v>75</v>
      </c>
      <c r="J6" t="s">
        <v>3</v>
      </c>
      <c r="K6" s="1">
        <v>9348</v>
      </c>
      <c r="L6" t="s">
        <v>7</v>
      </c>
    </row>
    <row r="7" spans="2:12" x14ac:dyDescent="0.2">
      <c r="B7" t="s">
        <v>76</v>
      </c>
      <c r="J7" t="s">
        <v>4</v>
      </c>
      <c r="K7" s="1">
        <f>1271+66295</f>
        <v>67566</v>
      </c>
      <c r="L7" t="s">
        <v>7</v>
      </c>
    </row>
    <row r="8" spans="2:12" x14ac:dyDescent="0.2">
      <c r="B8" t="s">
        <v>77</v>
      </c>
      <c r="J8" t="s">
        <v>5</v>
      </c>
      <c r="K8" s="1">
        <f>+K5-K6+K7</f>
        <v>975439.82207999995</v>
      </c>
    </row>
    <row r="11" spans="2:12" x14ac:dyDescent="0.2">
      <c r="B11" s="9" t="s">
        <v>78</v>
      </c>
      <c r="J11" t="s">
        <v>6</v>
      </c>
      <c r="K11" s="1">
        <f>K6-K7</f>
        <v>-58218</v>
      </c>
    </row>
    <row r="12" spans="2:12" x14ac:dyDescent="0.2">
      <c r="B12" t="s">
        <v>79</v>
      </c>
    </row>
    <row r="14" spans="2:12" x14ac:dyDescent="0.2">
      <c r="B14" s="9" t="s">
        <v>80</v>
      </c>
    </row>
    <row r="15" spans="2:12" x14ac:dyDescent="0.2">
      <c r="B15" t="s">
        <v>81</v>
      </c>
    </row>
    <row r="16" spans="2:12" ht="17" x14ac:dyDescent="0.2">
      <c r="B16" s="8" t="s">
        <v>82</v>
      </c>
      <c r="C16" s="11" t="s">
        <v>83</v>
      </c>
      <c r="D16" s="8" t="s">
        <v>84</v>
      </c>
    </row>
    <row r="17" spans="2:4" ht="34" x14ac:dyDescent="0.2">
      <c r="B17" t="s">
        <v>85</v>
      </c>
      <c r="C17" s="10" t="s">
        <v>86</v>
      </c>
      <c r="D17" t="s">
        <v>88</v>
      </c>
    </row>
    <row r="18" spans="2:4" x14ac:dyDescent="0.2">
      <c r="D18" t="s">
        <v>87</v>
      </c>
    </row>
    <row r="19" spans="2:4" x14ac:dyDescent="0.2">
      <c r="D19" t="s">
        <v>89</v>
      </c>
    </row>
    <row r="20" spans="2:4" x14ac:dyDescent="0.2">
      <c r="D20" t="s">
        <v>90</v>
      </c>
    </row>
    <row r="21" spans="2:4" ht="17" x14ac:dyDescent="0.2">
      <c r="B21" t="s">
        <v>91</v>
      </c>
      <c r="C21" s="10" t="s">
        <v>92</v>
      </c>
      <c r="D21" t="s">
        <v>93</v>
      </c>
    </row>
    <row r="22" spans="2:4" x14ac:dyDescent="0.2">
      <c r="D22" t="s">
        <v>94</v>
      </c>
    </row>
    <row r="23" spans="2:4" x14ac:dyDescent="0.2">
      <c r="D23" t="s">
        <v>95</v>
      </c>
    </row>
    <row r="24" spans="2:4" x14ac:dyDescent="0.2">
      <c r="D24" t="s">
        <v>96</v>
      </c>
    </row>
    <row r="25" spans="2:4" ht="17" x14ac:dyDescent="0.2">
      <c r="B25" t="s">
        <v>97</v>
      </c>
      <c r="C25" s="10" t="s">
        <v>98</v>
      </c>
      <c r="D25" t="s">
        <v>99</v>
      </c>
    </row>
    <row r="26" spans="2:4" x14ac:dyDescent="0.2">
      <c r="D26" t="s">
        <v>100</v>
      </c>
    </row>
    <row r="27" spans="2:4" x14ac:dyDescent="0.2">
      <c r="D27" t="s">
        <v>101</v>
      </c>
    </row>
    <row r="28" spans="2:4" x14ac:dyDescent="0.2">
      <c r="D28" t="s">
        <v>102</v>
      </c>
    </row>
    <row r="29" spans="2:4" ht="17" x14ac:dyDescent="0.2">
      <c r="C29" s="10" t="s">
        <v>105</v>
      </c>
      <c r="D29" t="s">
        <v>103</v>
      </c>
    </row>
    <row r="30" spans="2:4" x14ac:dyDescent="0.2">
      <c r="D30" t="s">
        <v>104</v>
      </c>
    </row>
    <row r="31" spans="2:4" ht="17" x14ac:dyDescent="0.2">
      <c r="B31" t="s">
        <v>106</v>
      </c>
      <c r="C31" s="10" t="s">
        <v>107</v>
      </c>
      <c r="D31" t="s">
        <v>108</v>
      </c>
    </row>
    <row r="32" spans="2:4" x14ac:dyDescent="0.2">
      <c r="D32" t="s">
        <v>109</v>
      </c>
    </row>
    <row r="33" spans="2:4" x14ac:dyDescent="0.2">
      <c r="D33" t="s">
        <v>110</v>
      </c>
    </row>
    <row r="34" spans="2:4" x14ac:dyDescent="0.2">
      <c r="D34" t="s">
        <v>111</v>
      </c>
    </row>
    <row r="35" spans="2:4" x14ac:dyDescent="0.2">
      <c r="D35" t="s">
        <v>112</v>
      </c>
    </row>
    <row r="36" spans="2:4" ht="51" x14ac:dyDescent="0.2">
      <c r="B36" t="s">
        <v>113</v>
      </c>
      <c r="C36" s="10" t="s">
        <v>114</v>
      </c>
      <c r="D36" t="s">
        <v>115</v>
      </c>
    </row>
    <row r="37" spans="2:4" x14ac:dyDescent="0.2">
      <c r="D37" t="s">
        <v>116</v>
      </c>
    </row>
    <row r="38" spans="2:4" x14ac:dyDescent="0.2">
      <c r="D38" t="s">
        <v>117</v>
      </c>
    </row>
    <row r="39" spans="2:4" x14ac:dyDescent="0.2">
      <c r="D39" t="s">
        <v>118</v>
      </c>
    </row>
    <row r="40" spans="2:4" x14ac:dyDescent="0.2">
      <c r="D40" t="s">
        <v>119</v>
      </c>
    </row>
    <row r="41" spans="2:4" x14ac:dyDescent="0.2">
      <c r="D41" t="s">
        <v>120</v>
      </c>
    </row>
    <row r="43" spans="2:4" x14ac:dyDescent="0.2">
      <c r="B43" t="s">
        <v>122</v>
      </c>
    </row>
    <row r="44" spans="2:4" ht="17" x14ac:dyDescent="0.2">
      <c r="B44" s="8" t="s">
        <v>123</v>
      </c>
      <c r="C44" s="11" t="s">
        <v>124</v>
      </c>
      <c r="D44" s="8" t="s">
        <v>125</v>
      </c>
    </row>
    <row r="45" spans="2:4" ht="17" x14ac:dyDescent="0.2">
      <c r="B45" t="s">
        <v>126</v>
      </c>
      <c r="C45" s="10" t="s">
        <v>127</v>
      </c>
      <c r="D45" t="s">
        <v>128</v>
      </c>
    </row>
    <row r="46" spans="2:4" x14ac:dyDescent="0.2">
      <c r="D46" s="13" t="s">
        <v>129</v>
      </c>
    </row>
    <row r="47" spans="2:4" x14ac:dyDescent="0.2">
      <c r="D47" t="s">
        <v>130</v>
      </c>
    </row>
    <row r="48" spans="2:4" x14ac:dyDescent="0.2">
      <c r="D48" t="s">
        <v>131</v>
      </c>
    </row>
    <row r="49" spans="2:4" ht="17" x14ac:dyDescent="0.2">
      <c r="B49" t="s">
        <v>132</v>
      </c>
      <c r="C49" s="10" t="s">
        <v>133</v>
      </c>
      <c r="D49" t="s">
        <v>134</v>
      </c>
    </row>
    <row r="50" spans="2:4" x14ac:dyDescent="0.2">
      <c r="D50" t="s">
        <v>138</v>
      </c>
    </row>
    <row r="51" spans="2:4" x14ac:dyDescent="0.2">
      <c r="D51" t="s">
        <v>135</v>
      </c>
    </row>
    <row r="52" spans="2:4" x14ac:dyDescent="0.2">
      <c r="D52" t="s">
        <v>136</v>
      </c>
    </row>
    <row r="53" spans="2:4" ht="68" x14ac:dyDescent="0.2">
      <c r="B53" t="s">
        <v>137</v>
      </c>
      <c r="C53" s="10" t="s">
        <v>142</v>
      </c>
      <c r="D53" t="s">
        <v>139</v>
      </c>
    </row>
    <row r="54" spans="2:4" x14ac:dyDescent="0.2">
      <c r="D54" s="13" t="s">
        <v>140</v>
      </c>
    </row>
    <row r="55" spans="2:4" x14ac:dyDescent="0.2">
      <c r="D55" t="s">
        <v>141</v>
      </c>
    </row>
    <row r="56" spans="2:4" x14ac:dyDescent="0.2">
      <c r="B56" t="s">
        <v>143</v>
      </c>
      <c r="D56" t="s">
        <v>144</v>
      </c>
    </row>
    <row r="57" spans="2:4" x14ac:dyDescent="0.2">
      <c r="D57" t="s">
        <v>145</v>
      </c>
    </row>
    <row r="58" spans="2:4" x14ac:dyDescent="0.2">
      <c r="D58" t="s">
        <v>146</v>
      </c>
    </row>
    <row r="59" spans="2:4" ht="85" x14ac:dyDescent="0.2">
      <c r="B59" t="s">
        <v>147</v>
      </c>
      <c r="C59" s="10" t="s">
        <v>148</v>
      </c>
      <c r="D59" t="s">
        <v>149</v>
      </c>
    </row>
    <row r="60" spans="2:4" x14ac:dyDescent="0.2">
      <c r="D60" t="s">
        <v>150</v>
      </c>
    </row>
    <row r="61" spans="2:4" x14ac:dyDescent="0.2">
      <c r="D61" t="s">
        <v>151</v>
      </c>
    </row>
    <row r="62" spans="2:4" x14ac:dyDescent="0.2">
      <c r="D62" t="s">
        <v>152</v>
      </c>
    </row>
    <row r="63" spans="2:4" x14ac:dyDescent="0.2">
      <c r="D63" t="s">
        <v>153</v>
      </c>
    </row>
    <row r="64" spans="2:4" x14ac:dyDescent="0.2">
      <c r="D64" t="s">
        <v>154</v>
      </c>
    </row>
    <row r="65" spans="2:5" x14ac:dyDescent="0.2">
      <c r="D65" t="s">
        <v>155</v>
      </c>
    </row>
    <row r="66" spans="2:5" x14ac:dyDescent="0.2">
      <c r="D66" t="s">
        <v>156</v>
      </c>
    </row>
    <row r="67" spans="2:5" ht="51" x14ac:dyDescent="0.2">
      <c r="B67" t="s">
        <v>157</v>
      </c>
      <c r="C67" s="10" t="s">
        <v>158</v>
      </c>
      <c r="D67" t="s">
        <v>159</v>
      </c>
    </row>
    <row r="68" spans="2:5" x14ac:dyDescent="0.2">
      <c r="D68" t="s">
        <v>161</v>
      </c>
    </row>
    <row r="69" spans="2:5" x14ac:dyDescent="0.2">
      <c r="D69" s="13" t="s">
        <v>160</v>
      </c>
    </row>
    <row r="70" spans="2:5" x14ac:dyDescent="0.2">
      <c r="B70" t="s">
        <v>162</v>
      </c>
      <c r="D70" t="s">
        <v>163</v>
      </c>
    </row>
    <row r="71" spans="2:5" x14ac:dyDescent="0.2">
      <c r="D71" t="s">
        <v>164</v>
      </c>
    </row>
    <row r="72" spans="2:5" x14ac:dyDescent="0.2">
      <c r="D72" t="s">
        <v>165</v>
      </c>
    </row>
    <row r="73" spans="2:5" x14ac:dyDescent="0.2">
      <c r="D73" t="s">
        <v>166</v>
      </c>
    </row>
    <row r="74" spans="2:5" x14ac:dyDescent="0.2">
      <c r="D74" t="s">
        <v>167</v>
      </c>
    </row>
    <row r="75" spans="2:5" ht="17" x14ac:dyDescent="0.2">
      <c r="B75" t="s">
        <v>168</v>
      </c>
      <c r="C75" s="10" t="s">
        <v>169</v>
      </c>
      <c r="D75" t="s">
        <v>170</v>
      </c>
    </row>
    <row r="76" spans="2:5" ht="34" x14ac:dyDescent="0.2">
      <c r="B76" t="s">
        <v>171</v>
      </c>
      <c r="C76" s="10" t="s">
        <v>173</v>
      </c>
      <c r="D76" t="s">
        <v>172</v>
      </c>
      <c r="E76" t="s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97F69-896C-CF43-BFAA-36D0EB2A1DF7}">
  <dimension ref="B1:EU93"/>
  <sheetViews>
    <sheetView tabSelected="1" workbookViewId="0">
      <pane xSplit="2" ySplit="2" topLeftCell="AC3" activePane="bottomRight" state="frozen"/>
      <selection pane="topRight" activeCell="C1" sqref="C1"/>
      <selection pane="bottomLeft" activeCell="A3" sqref="A3"/>
      <selection pane="bottomRight" activeCell="AG9" sqref="AF9:AG9"/>
    </sheetView>
  </sheetViews>
  <sheetFormatPr baseColWidth="10" defaultRowHeight="16" x14ac:dyDescent="0.2"/>
  <cols>
    <col min="2" max="2" width="25.5" style="17" bestFit="1" customWidth="1"/>
  </cols>
  <sheetData>
    <row r="1" spans="2:43" x14ac:dyDescent="0.2">
      <c r="C1" s="4">
        <v>44591</v>
      </c>
      <c r="D1" s="4">
        <v>44682</v>
      </c>
      <c r="E1" s="4">
        <v>44773</v>
      </c>
      <c r="G1" s="4">
        <v>44955</v>
      </c>
      <c r="H1" s="4">
        <v>45046</v>
      </c>
      <c r="I1" s="4">
        <v>45137</v>
      </c>
      <c r="J1" s="4">
        <v>45228</v>
      </c>
      <c r="K1" s="4">
        <v>45326</v>
      </c>
      <c r="L1" s="4">
        <v>45417</v>
      </c>
      <c r="M1" s="4">
        <v>45508</v>
      </c>
      <c r="N1" s="4">
        <v>45599</v>
      </c>
      <c r="O1" s="4">
        <v>45690</v>
      </c>
    </row>
    <row r="2" spans="2:43" s="2" customFormat="1" x14ac:dyDescent="0.2">
      <c r="B2" s="17"/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7</v>
      </c>
      <c r="O2" s="2" t="s">
        <v>20</v>
      </c>
      <c r="P2" s="2" t="s">
        <v>21</v>
      </c>
      <c r="Q2" s="2" t="s">
        <v>22</v>
      </c>
      <c r="R2" s="2" t="s">
        <v>23</v>
      </c>
      <c r="V2" s="2">
        <v>2019</v>
      </c>
      <c r="W2" s="2">
        <f>+V2+1</f>
        <v>2020</v>
      </c>
      <c r="X2" s="2">
        <f t="shared" ref="X2:AQ2" si="0">+W2+1</f>
        <v>2021</v>
      </c>
      <c r="Y2" s="2">
        <f t="shared" si="0"/>
        <v>2022</v>
      </c>
      <c r="Z2" s="2">
        <f t="shared" si="0"/>
        <v>2023</v>
      </c>
      <c r="AA2" s="2">
        <f t="shared" si="0"/>
        <v>2024</v>
      </c>
      <c r="AB2" s="2">
        <f t="shared" si="0"/>
        <v>2025</v>
      </c>
      <c r="AC2" s="2">
        <f t="shared" si="0"/>
        <v>2026</v>
      </c>
      <c r="AD2" s="2">
        <f t="shared" si="0"/>
        <v>2027</v>
      </c>
      <c r="AE2" s="2">
        <f t="shared" si="0"/>
        <v>2028</v>
      </c>
      <c r="AF2" s="2">
        <f t="shared" si="0"/>
        <v>2029</v>
      </c>
      <c r="AG2" s="2">
        <f t="shared" si="0"/>
        <v>2030</v>
      </c>
      <c r="AH2" s="2">
        <f t="shared" si="0"/>
        <v>2031</v>
      </c>
      <c r="AI2" s="2">
        <f t="shared" si="0"/>
        <v>2032</v>
      </c>
      <c r="AJ2" s="2">
        <f t="shared" si="0"/>
        <v>2033</v>
      </c>
      <c r="AK2" s="2">
        <f t="shared" si="0"/>
        <v>2034</v>
      </c>
      <c r="AL2" s="2">
        <f t="shared" si="0"/>
        <v>2035</v>
      </c>
      <c r="AM2" s="2">
        <f t="shared" si="0"/>
        <v>2036</v>
      </c>
      <c r="AN2" s="2">
        <f t="shared" si="0"/>
        <v>2037</v>
      </c>
      <c r="AO2" s="2">
        <f t="shared" si="0"/>
        <v>2038</v>
      </c>
      <c r="AP2" s="2">
        <f t="shared" si="0"/>
        <v>2039</v>
      </c>
      <c r="AQ2" s="2">
        <f t="shared" si="0"/>
        <v>2040</v>
      </c>
    </row>
    <row r="3" spans="2:43" s="14" customFormat="1" x14ac:dyDescent="0.2">
      <c r="B3" s="15" t="s">
        <v>177</v>
      </c>
      <c r="K3" s="14">
        <f>4100/1.77</f>
        <v>2316.3841807909603</v>
      </c>
      <c r="O3" s="14">
        <v>4100</v>
      </c>
    </row>
    <row r="4" spans="2:43" s="14" customFormat="1" x14ac:dyDescent="0.2">
      <c r="B4" s="15" t="s">
        <v>178</v>
      </c>
      <c r="Z4" s="14">
        <f>AA4/3.2</f>
        <v>3812.5</v>
      </c>
      <c r="AA4" s="14">
        <v>12200</v>
      </c>
      <c r="AB4" s="14">
        <f>+AA4+1000</f>
        <v>13200</v>
      </c>
      <c r="AC4" s="14">
        <f t="shared" ref="AC4:AE4" si="1">+AB4+1000</f>
        <v>14200</v>
      </c>
      <c r="AD4" s="14">
        <f t="shared" si="1"/>
        <v>15200</v>
      </c>
      <c r="AE4" s="14">
        <f t="shared" si="1"/>
        <v>16200</v>
      </c>
      <c r="AF4" s="14">
        <f>AE4*0.8</f>
        <v>12960</v>
      </c>
      <c r="AG4" s="14">
        <f t="shared" ref="AG4:AK4" si="2">AF4*0.8</f>
        <v>10368</v>
      </c>
      <c r="AH4" s="14">
        <f t="shared" si="2"/>
        <v>8294.4</v>
      </c>
      <c r="AI4" s="14">
        <f t="shared" si="2"/>
        <v>6635.52</v>
      </c>
      <c r="AJ4" s="14">
        <f t="shared" si="2"/>
        <v>5308.4160000000011</v>
      </c>
      <c r="AK4" s="14">
        <f t="shared" si="2"/>
        <v>4246.7328000000007</v>
      </c>
      <c r="AL4" s="14">
        <f>AK4*1.05</f>
        <v>4459.0694400000011</v>
      </c>
      <c r="AM4" s="14">
        <f t="shared" ref="AM4:AQ4" si="3">AL4*1.05</f>
        <v>4682.0229120000013</v>
      </c>
      <c r="AN4" s="14">
        <f t="shared" si="3"/>
        <v>4916.1240576000018</v>
      </c>
      <c r="AO4" s="14">
        <f t="shared" si="3"/>
        <v>5161.9302604800023</v>
      </c>
      <c r="AP4" s="14">
        <f t="shared" si="3"/>
        <v>5420.0267735040024</v>
      </c>
      <c r="AQ4" s="14">
        <f t="shared" si="3"/>
        <v>5691.0281121792032</v>
      </c>
    </row>
    <row r="5" spans="2:43" s="2" customFormat="1" x14ac:dyDescent="0.2">
      <c r="B5" s="17"/>
      <c r="N5" s="16"/>
      <c r="O5" s="16"/>
    </row>
    <row r="6" spans="2:43" s="2" customFormat="1" x14ac:dyDescent="0.2">
      <c r="B6" s="17"/>
      <c r="N6" s="16"/>
    </row>
    <row r="7" spans="2:43" s="1" customFormat="1" x14ac:dyDescent="0.2">
      <c r="B7" s="15" t="s">
        <v>24</v>
      </c>
      <c r="C7" s="1">
        <v>6053</v>
      </c>
      <c r="D7" s="1">
        <v>6417</v>
      </c>
      <c r="E7" s="1">
        <v>6627</v>
      </c>
      <c r="F7" s="1">
        <f>Y7-SUM(C7:E7)</f>
        <v>7180</v>
      </c>
      <c r="G7" s="1">
        <v>7082</v>
      </c>
      <c r="H7" s="1">
        <v>6741</v>
      </c>
      <c r="I7" s="1">
        <v>6917</v>
      </c>
      <c r="J7" s="1">
        <f>Z7-SUM(G7:I7)</f>
        <v>7151</v>
      </c>
      <c r="K7" s="1">
        <v>7412</v>
      </c>
      <c r="L7" s="1">
        <v>7192</v>
      </c>
      <c r="M7" s="1">
        <v>7439</v>
      </c>
      <c r="N7" s="1">
        <f>AA7-SUM(K7:M7)</f>
        <v>8316</v>
      </c>
      <c r="O7" s="1">
        <v>8171</v>
      </c>
      <c r="P7" s="1">
        <f>+P9-P8</f>
        <v>8400</v>
      </c>
      <c r="V7" s="1">
        <v>18117</v>
      </c>
      <c r="W7" s="1">
        <v>17435</v>
      </c>
      <c r="X7" s="1">
        <v>20886</v>
      </c>
      <c r="Y7" s="1">
        <v>26277</v>
      </c>
      <c r="Z7" s="1">
        <v>27891</v>
      </c>
      <c r="AA7" s="1">
        <v>30359</v>
      </c>
    </row>
    <row r="8" spans="2:43" s="1" customFormat="1" x14ac:dyDescent="0.2">
      <c r="B8" s="15" t="s">
        <v>27</v>
      </c>
      <c r="C8" s="1">
        <v>1653</v>
      </c>
      <c r="D8" s="1">
        <v>1686</v>
      </c>
      <c r="E8" s="1">
        <v>1837</v>
      </c>
      <c r="F8" s="1">
        <f>Y8-SUM(C8:E8)</f>
        <v>1750</v>
      </c>
      <c r="G8" s="1">
        <v>1833</v>
      </c>
      <c r="H8" s="1">
        <v>1992</v>
      </c>
      <c r="I8" s="1">
        <v>1959</v>
      </c>
      <c r="J8" s="1">
        <f>Z8-SUM(G8:I8)</f>
        <v>2144</v>
      </c>
      <c r="K8" s="1">
        <v>4549</v>
      </c>
      <c r="L8" s="1">
        <v>5295</v>
      </c>
      <c r="M8" s="1">
        <v>5633</v>
      </c>
      <c r="N8" s="1">
        <f>AA8-SUM(K8:M8)</f>
        <v>5738</v>
      </c>
      <c r="O8" s="1">
        <v>6745</v>
      </c>
      <c r="P8" s="1">
        <v>6500</v>
      </c>
      <c r="V8" s="1">
        <v>4480</v>
      </c>
      <c r="W8" s="1">
        <v>6453</v>
      </c>
      <c r="X8" s="1">
        <v>6564</v>
      </c>
      <c r="Y8" s="1">
        <v>6926</v>
      </c>
      <c r="Z8" s="1">
        <v>7928</v>
      </c>
      <c r="AA8" s="1">
        <v>21215</v>
      </c>
    </row>
    <row r="9" spans="2:43" s="3" customFormat="1" x14ac:dyDescent="0.2">
      <c r="B9" s="18" t="s">
        <v>8</v>
      </c>
      <c r="C9" s="3">
        <f>+C7+C8</f>
        <v>7706</v>
      </c>
      <c r="D9" s="3">
        <f>+D7+D8</f>
        <v>8103</v>
      </c>
      <c r="E9" s="3">
        <f>+E7+E8</f>
        <v>8464</v>
      </c>
      <c r="F9" s="3">
        <f>+F7+F8</f>
        <v>8930</v>
      </c>
      <c r="G9" s="3">
        <f>+G7+G8</f>
        <v>8915</v>
      </c>
      <c r="H9" s="3">
        <f>+H7+H8</f>
        <v>8733</v>
      </c>
      <c r="I9" s="3">
        <f>+I7+I8</f>
        <v>8876</v>
      </c>
      <c r="J9" s="3">
        <f>+J7+J8</f>
        <v>9295</v>
      </c>
      <c r="K9" s="3">
        <f>+K7+K8</f>
        <v>11961</v>
      </c>
      <c r="L9" s="3">
        <f>+L7+L8</f>
        <v>12487</v>
      </c>
      <c r="M9" s="3">
        <f>+M7+M8</f>
        <v>13072</v>
      </c>
      <c r="N9" s="3">
        <f>+N7+N8</f>
        <v>14054</v>
      </c>
      <c r="O9" s="3">
        <f>+O7+O8</f>
        <v>14916</v>
      </c>
      <c r="P9" s="3">
        <v>14900</v>
      </c>
      <c r="Q9" s="3">
        <f>M9*1.15</f>
        <v>15032.8</v>
      </c>
      <c r="R9" s="3">
        <f t="shared" ref="R9" si="4">N9*1.15</f>
        <v>16162.099999999999</v>
      </c>
      <c r="V9" s="3">
        <f>+V7+V8</f>
        <v>22597</v>
      </c>
      <c r="W9" s="3">
        <f>+W7+W8</f>
        <v>23888</v>
      </c>
      <c r="X9" s="3">
        <f>+X7+X8</f>
        <v>27450</v>
      </c>
      <c r="Y9" s="3">
        <f>+Y7+Y8</f>
        <v>33203</v>
      </c>
      <c r="Z9" s="3">
        <f>+Z7+Z8</f>
        <v>35819</v>
      </c>
      <c r="AA9" s="3">
        <f>+AA7+AA8</f>
        <v>51574</v>
      </c>
      <c r="AB9" s="3">
        <f>SUM(O9:R9)</f>
        <v>61010.9</v>
      </c>
      <c r="AC9" s="3">
        <f>AB9*1.18</f>
        <v>71992.861999999994</v>
      </c>
      <c r="AD9" s="3">
        <f>AC9*1.18</f>
        <v>84951.577159999986</v>
      </c>
      <c r="AE9" s="3">
        <f t="shared" ref="AE9" si="5">+AD9*1.1</f>
        <v>93446.734875999988</v>
      </c>
      <c r="AF9" s="3">
        <f t="shared" ref="AF9:AG9" si="6">AE9*1.03</f>
        <v>96250.136922279984</v>
      </c>
      <c r="AG9" s="3">
        <f t="shared" si="6"/>
        <v>99137.641029948383</v>
      </c>
      <c r="AH9" s="3">
        <f>AG9*1.03</f>
        <v>102111.77026084684</v>
      </c>
      <c r="AI9" s="3">
        <f t="shared" ref="AI9:AQ9" si="7">AH9*1.03</f>
        <v>105175.12336867224</v>
      </c>
      <c r="AJ9" s="3">
        <f t="shared" si="7"/>
        <v>108330.37706973241</v>
      </c>
      <c r="AK9" s="3">
        <f t="shared" si="7"/>
        <v>111580.28838182439</v>
      </c>
      <c r="AL9" s="3">
        <f t="shared" si="7"/>
        <v>114927.69703327912</v>
      </c>
      <c r="AM9" s="3">
        <f t="shared" si="7"/>
        <v>118375.52794427751</v>
      </c>
      <c r="AN9" s="3">
        <f t="shared" si="7"/>
        <v>121926.79378260583</v>
      </c>
      <c r="AO9" s="3">
        <f t="shared" si="7"/>
        <v>125584.59759608402</v>
      </c>
      <c r="AP9" s="3">
        <f t="shared" si="7"/>
        <v>129352.13552396654</v>
      </c>
      <c r="AQ9" s="3">
        <f t="shared" si="7"/>
        <v>133232.69958968554</v>
      </c>
    </row>
    <row r="10" spans="2:43" s="1" customFormat="1" x14ac:dyDescent="0.2">
      <c r="B10" s="15" t="s">
        <v>25</v>
      </c>
      <c r="C10" s="1">
        <v>1769</v>
      </c>
      <c r="D10" s="1">
        <v>1798</v>
      </c>
      <c r="E10" s="1">
        <v>1921</v>
      </c>
      <c r="F10" s="1">
        <f>Y10-SUM(C10:E10)</f>
        <v>2141</v>
      </c>
      <c r="G10" s="1">
        <v>2225</v>
      </c>
      <c r="H10" s="1">
        <v>2019</v>
      </c>
      <c r="I10" s="1">
        <v>2107</v>
      </c>
      <c r="J10" s="1">
        <f>Z10-SUM(G10:I10)</f>
        <v>2285</v>
      </c>
      <c r="K10" s="1">
        <v>2160</v>
      </c>
      <c r="L10" s="1">
        <v>2429</v>
      </c>
      <c r="M10" s="1">
        <v>2434</v>
      </c>
      <c r="N10" s="1">
        <f>AA10-SUM(K10:M10)</f>
        <v>2774</v>
      </c>
      <c r="O10" s="1">
        <v>2693</v>
      </c>
      <c r="V10" s="1">
        <v>6208</v>
      </c>
      <c r="W10" s="1">
        <v>5892</v>
      </c>
      <c r="X10" s="1">
        <v>6555</v>
      </c>
      <c r="Y10" s="1">
        <v>7629</v>
      </c>
      <c r="Z10" s="1">
        <v>8636</v>
      </c>
      <c r="AA10" s="1">
        <v>9797</v>
      </c>
      <c r="AB10" s="21">
        <f>SUM(O10:R10)</f>
        <v>2693</v>
      </c>
    </row>
    <row r="11" spans="2:43" s="1" customFormat="1" x14ac:dyDescent="0.2">
      <c r="B11" s="15" t="s">
        <v>26</v>
      </c>
      <c r="C11" s="1">
        <v>156</v>
      </c>
      <c r="D11" s="1">
        <v>158</v>
      </c>
      <c r="E11" s="1">
        <v>156</v>
      </c>
      <c r="F11" s="1">
        <f>Y11-SUM(C11:E11)</f>
        <v>157</v>
      </c>
      <c r="G11" s="1">
        <v>149</v>
      </c>
      <c r="H11" s="1">
        <v>158</v>
      </c>
      <c r="I11" s="1">
        <v>165</v>
      </c>
      <c r="J11" s="1">
        <f>Z11-SUM(G11:I11)</f>
        <v>164</v>
      </c>
      <c r="K11" s="1">
        <v>954</v>
      </c>
      <c r="L11" s="1">
        <v>713</v>
      </c>
      <c r="M11" s="1">
        <v>699</v>
      </c>
      <c r="N11" s="1">
        <f>AA11-SUM(K11:M11)</f>
        <v>625</v>
      </c>
      <c r="O11" s="1">
        <v>580</v>
      </c>
      <c r="V11" s="1">
        <v>515</v>
      </c>
      <c r="W11" s="1">
        <v>626</v>
      </c>
      <c r="X11" s="1">
        <v>607</v>
      </c>
      <c r="Y11" s="1">
        <v>627</v>
      </c>
      <c r="Z11" s="1">
        <v>636</v>
      </c>
      <c r="AA11" s="1">
        <v>2991</v>
      </c>
      <c r="AB11" s="21">
        <f>SUM(O11:R11)</f>
        <v>580</v>
      </c>
    </row>
    <row r="12" spans="2:43" s="1" customFormat="1" x14ac:dyDescent="0.2">
      <c r="B12" s="15" t="s">
        <v>28</v>
      </c>
      <c r="C12" s="1">
        <f>+C10+C11</f>
        <v>1925</v>
      </c>
      <c r="D12" s="1">
        <f>+D10+D11</f>
        <v>1956</v>
      </c>
      <c r="E12" s="1">
        <f>+E10+E11</f>
        <v>2077</v>
      </c>
      <c r="F12" s="1">
        <f>+F10+F11</f>
        <v>2298</v>
      </c>
      <c r="G12" s="1">
        <f>+G10+G11</f>
        <v>2374</v>
      </c>
      <c r="H12" s="1">
        <f>+H10+H11</f>
        <v>2177</v>
      </c>
      <c r="I12" s="1">
        <f>+I10+I11</f>
        <v>2272</v>
      </c>
      <c r="J12" s="1">
        <f>+J10+J11</f>
        <v>2449</v>
      </c>
      <c r="K12" s="1">
        <f>+K10+K11</f>
        <v>3114</v>
      </c>
      <c r="L12" s="1">
        <f>+L10+L11</f>
        <v>3142</v>
      </c>
      <c r="M12" s="1">
        <f>+M10+M11</f>
        <v>3133</v>
      </c>
      <c r="N12" s="1">
        <f>+N10+N11</f>
        <v>3399</v>
      </c>
      <c r="O12" s="1">
        <f>+O10+O11</f>
        <v>3273</v>
      </c>
      <c r="V12" s="1">
        <f>+V10+V11</f>
        <v>6723</v>
      </c>
      <c r="W12" s="1">
        <f>+W10+W11</f>
        <v>6518</v>
      </c>
      <c r="X12" s="1">
        <f>+X10+X11</f>
        <v>7162</v>
      </c>
      <c r="Y12" s="1">
        <f>+Y10+Y11</f>
        <v>8256</v>
      </c>
      <c r="Z12" s="1">
        <f>+Z10+Z11</f>
        <v>9272</v>
      </c>
      <c r="AA12" s="1">
        <f>+AA10+AA11</f>
        <v>12788</v>
      </c>
      <c r="AB12" s="1">
        <f>+AB10+AB11</f>
        <v>3273</v>
      </c>
    </row>
    <row r="13" spans="2:43" s="1" customFormat="1" x14ac:dyDescent="0.2">
      <c r="B13" s="15" t="s">
        <v>29</v>
      </c>
      <c r="C13" s="1">
        <f>+C9-C12</f>
        <v>5781</v>
      </c>
      <c r="D13" s="1">
        <f>+D9-D12</f>
        <v>6147</v>
      </c>
      <c r="E13" s="1">
        <f>+E9-E12</f>
        <v>6387</v>
      </c>
      <c r="F13" s="1">
        <f>+F9-F12</f>
        <v>6632</v>
      </c>
      <c r="G13" s="1">
        <f>+G9-G12</f>
        <v>6541</v>
      </c>
      <c r="H13" s="1">
        <f>+H9-H12</f>
        <v>6556</v>
      </c>
      <c r="I13" s="1">
        <f>+I9-I12</f>
        <v>6604</v>
      </c>
      <c r="J13" s="1">
        <f>+J9-J12</f>
        <v>6846</v>
      </c>
      <c r="K13" s="1">
        <f>+K9-K12</f>
        <v>8847</v>
      </c>
      <c r="L13" s="1">
        <f>+L9-L12</f>
        <v>9345</v>
      </c>
      <c r="M13" s="1">
        <f>+M9-M12</f>
        <v>9939</v>
      </c>
      <c r="N13" s="1">
        <f>+N9-N12</f>
        <v>10655</v>
      </c>
      <c r="O13" s="1">
        <f>+O9-O12</f>
        <v>11643</v>
      </c>
      <c r="P13" s="1">
        <f>+P9*0.78</f>
        <v>11622</v>
      </c>
      <c r="Q13" s="1">
        <f t="shared" ref="Q13:R13" si="8">+Q9*0.78</f>
        <v>11725.584000000001</v>
      </c>
      <c r="R13" s="1">
        <f t="shared" si="8"/>
        <v>12606.438</v>
      </c>
      <c r="V13" s="1">
        <f>+V9-V12</f>
        <v>15874</v>
      </c>
      <c r="W13" s="1">
        <f>+W9-W12</f>
        <v>17370</v>
      </c>
      <c r="X13" s="1">
        <f>+X9-X12</f>
        <v>20288</v>
      </c>
      <c r="Y13" s="1">
        <f>+Y9-Y12</f>
        <v>24947</v>
      </c>
      <c r="Z13" s="1">
        <f>+Z9-Z12</f>
        <v>26547</v>
      </c>
      <c r="AA13" s="1">
        <f>+AA9-AA12</f>
        <v>38786</v>
      </c>
      <c r="AB13" s="21">
        <f>SUM(O13:R13)</f>
        <v>47597.022000000004</v>
      </c>
      <c r="AC13" s="1">
        <f>+AC9*0.75</f>
        <v>53994.646499999995</v>
      </c>
      <c r="AD13" s="1">
        <f t="shared" ref="AD13:AQ13" si="9">+AD9*0.75</f>
        <v>63713.68286999999</v>
      </c>
      <c r="AE13" s="1">
        <f t="shared" si="9"/>
        <v>70085.051156999994</v>
      </c>
      <c r="AF13" s="1">
        <f t="shared" si="9"/>
        <v>72187.602691709995</v>
      </c>
      <c r="AG13" s="1">
        <f t="shared" si="9"/>
        <v>74353.230772461291</v>
      </c>
      <c r="AH13" s="1">
        <f t="shared" si="9"/>
        <v>76583.827695635133</v>
      </c>
      <c r="AI13" s="1">
        <f t="shared" si="9"/>
        <v>78881.342526504188</v>
      </c>
      <c r="AJ13" s="1">
        <f t="shared" si="9"/>
        <v>81247.782802299305</v>
      </c>
      <c r="AK13" s="1">
        <f t="shared" si="9"/>
        <v>83685.21628636829</v>
      </c>
      <c r="AL13" s="1">
        <f t="shared" si="9"/>
        <v>86195.772774959347</v>
      </c>
      <c r="AM13" s="1">
        <f t="shared" si="9"/>
        <v>88781.64595820813</v>
      </c>
      <c r="AN13" s="1">
        <f t="shared" si="9"/>
        <v>91445.095336954371</v>
      </c>
      <c r="AO13" s="1">
        <f t="shared" si="9"/>
        <v>94188.448197063015</v>
      </c>
      <c r="AP13" s="1">
        <f t="shared" si="9"/>
        <v>97014.101642974914</v>
      </c>
      <c r="AQ13" s="1">
        <f t="shared" si="9"/>
        <v>99924.524692264153</v>
      </c>
    </row>
    <row r="14" spans="2:43" s="1" customFormat="1" x14ac:dyDescent="0.2">
      <c r="B14" s="15" t="s">
        <v>30</v>
      </c>
      <c r="C14" s="1">
        <f>730+397</f>
        <v>1127</v>
      </c>
      <c r="D14" s="1">
        <f>707+398</f>
        <v>1105</v>
      </c>
      <c r="E14" s="1">
        <f>705+359</f>
        <v>1064</v>
      </c>
      <c r="F14" s="1">
        <f>Y14-SUM(C14:E14)</f>
        <v>1063</v>
      </c>
      <c r="G14" s="1">
        <f>535+348</f>
        <v>883</v>
      </c>
      <c r="H14" s="1">
        <f>441+348</f>
        <v>789</v>
      </c>
      <c r="I14" s="1">
        <f>439+350</f>
        <v>789</v>
      </c>
      <c r="J14" s="1">
        <f>Z14-SUM(G14:I14)</f>
        <v>786</v>
      </c>
      <c r="K14" s="1">
        <f>1380+792</f>
        <v>2172</v>
      </c>
      <c r="L14" s="1">
        <f>1516+827</f>
        <v>2343</v>
      </c>
      <c r="M14" s="1">
        <f>1525+812</f>
        <v>2337</v>
      </c>
      <c r="N14" s="1">
        <f>AA14-SUM(K14:M14)</f>
        <v>2415</v>
      </c>
      <c r="O14" s="1">
        <f>1484+511</f>
        <v>1995</v>
      </c>
      <c r="P14" s="1">
        <f>L14*0.9</f>
        <v>2108.7000000000003</v>
      </c>
      <c r="Q14" s="1">
        <f t="shared" ref="Q14:R14" si="10">M14*0.9</f>
        <v>2103.3000000000002</v>
      </c>
      <c r="R14" s="1">
        <f t="shared" si="10"/>
        <v>2173.5</v>
      </c>
      <c r="V14" s="1">
        <f>3314+1898</f>
        <v>5212</v>
      </c>
      <c r="W14" s="1">
        <f>3819+2401</f>
        <v>6220</v>
      </c>
      <c r="X14" s="1">
        <f>3427+1976</f>
        <v>5403</v>
      </c>
      <c r="Y14" s="1">
        <f>2847+1512</f>
        <v>4359</v>
      </c>
      <c r="Z14" s="1">
        <f>1853+1394</f>
        <v>3247</v>
      </c>
      <c r="AA14" s="1">
        <f>6023+3244</f>
        <v>9267</v>
      </c>
      <c r="AB14" s="21">
        <f>SUM(O14:R14)</f>
        <v>8380.5</v>
      </c>
      <c r="AC14" s="1">
        <f>+AB14*1.05</f>
        <v>8799.5249999999996</v>
      </c>
      <c r="AD14" s="1">
        <f t="shared" ref="AD14:AQ14" si="11">+AC14*1.05</f>
        <v>9239.5012499999993</v>
      </c>
      <c r="AE14" s="1">
        <f t="shared" si="11"/>
        <v>9701.476312499999</v>
      </c>
      <c r="AF14" s="1">
        <f t="shared" si="11"/>
        <v>10186.550128125</v>
      </c>
      <c r="AG14" s="1">
        <f t="shared" si="11"/>
        <v>10695.877634531251</v>
      </c>
      <c r="AH14" s="1">
        <f t="shared" si="11"/>
        <v>11230.671516257813</v>
      </c>
      <c r="AI14" s="1">
        <f t="shared" si="11"/>
        <v>11792.205092070704</v>
      </c>
      <c r="AJ14" s="1">
        <f t="shared" si="11"/>
        <v>12381.815346674241</v>
      </c>
      <c r="AK14" s="1">
        <f t="shared" si="11"/>
        <v>13000.906114007954</v>
      </c>
      <c r="AL14" s="1">
        <f t="shared" si="11"/>
        <v>13650.951419708352</v>
      </c>
      <c r="AM14" s="1">
        <f t="shared" si="11"/>
        <v>14333.49899069377</v>
      </c>
      <c r="AN14" s="1">
        <f t="shared" si="11"/>
        <v>15050.173940228458</v>
      </c>
      <c r="AO14" s="1">
        <f t="shared" si="11"/>
        <v>15802.682637239883</v>
      </c>
      <c r="AP14" s="1">
        <f t="shared" si="11"/>
        <v>16592.816769101879</v>
      </c>
      <c r="AQ14" s="1">
        <f t="shared" si="11"/>
        <v>17422.457607556975</v>
      </c>
    </row>
    <row r="15" spans="2:43" s="1" customFormat="1" x14ac:dyDescent="0.2">
      <c r="B15" s="15" t="s">
        <v>31</v>
      </c>
      <c r="C15" s="1">
        <v>19</v>
      </c>
      <c r="D15" s="1">
        <v>19</v>
      </c>
      <c r="E15" s="1">
        <v>8</v>
      </c>
      <c r="F15" s="1">
        <f>Y15-SUM(C15:E15)</f>
        <v>16</v>
      </c>
      <c r="G15" s="1">
        <v>12</v>
      </c>
      <c r="H15" s="1">
        <f>9+0</f>
        <v>9</v>
      </c>
      <c r="I15" s="1">
        <f>212+1</f>
        <v>213</v>
      </c>
      <c r="J15" s="1">
        <f>Z15-SUM(G15:I15)</f>
        <v>14</v>
      </c>
      <c r="K15" s="1">
        <f>620+92</f>
        <v>712</v>
      </c>
      <c r="L15" s="1">
        <f>53+292</f>
        <v>345</v>
      </c>
      <c r="M15" s="1">
        <f>303+58</f>
        <v>361</v>
      </c>
      <c r="N15" s="1">
        <f>AA15-SUM(K15:M15)</f>
        <v>369</v>
      </c>
      <c r="O15" s="1">
        <f>14+172</f>
        <v>186</v>
      </c>
      <c r="P15" s="1">
        <v>0</v>
      </c>
      <c r="Q15" s="1">
        <v>0</v>
      </c>
      <c r="R15" s="1">
        <v>0</v>
      </c>
      <c r="V15" s="1">
        <f>736+77</f>
        <v>813</v>
      </c>
      <c r="W15" s="1">
        <f>198+35</f>
        <v>233</v>
      </c>
      <c r="X15" s="1">
        <f>17+148</f>
        <v>165</v>
      </c>
      <c r="Y15" s="1">
        <f>57+5</f>
        <v>62</v>
      </c>
      <c r="Z15" s="1">
        <v>248</v>
      </c>
      <c r="AA15" s="1">
        <f>1533+254</f>
        <v>1787</v>
      </c>
      <c r="AB15" s="21">
        <f>SUM(O15:R15)</f>
        <v>186</v>
      </c>
      <c r="AC15" s="1">
        <v>200</v>
      </c>
      <c r="AD15" s="1">
        <v>200</v>
      </c>
      <c r="AE15" s="1">
        <v>200</v>
      </c>
      <c r="AF15" s="1">
        <v>200</v>
      </c>
      <c r="AG15" s="1">
        <v>200</v>
      </c>
      <c r="AH15" s="1">
        <v>200</v>
      </c>
      <c r="AI15" s="1">
        <v>200</v>
      </c>
      <c r="AJ15" s="1">
        <v>200</v>
      </c>
      <c r="AK15" s="1">
        <v>200</v>
      </c>
      <c r="AL15" s="1">
        <v>200</v>
      </c>
      <c r="AM15" s="1">
        <v>200</v>
      </c>
      <c r="AN15" s="1">
        <v>200</v>
      </c>
      <c r="AO15" s="1">
        <v>200</v>
      </c>
      <c r="AP15" s="1">
        <v>200</v>
      </c>
      <c r="AQ15" s="1">
        <v>200</v>
      </c>
    </row>
    <row r="16" spans="2:43" s="1" customFormat="1" x14ac:dyDescent="0.2">
      <c r="B16" s="15" t="s">
        <v>32</v>
      </c>
      <c r="C16" s="1">
        <v>1206</v>
      </c>
      <c r="D16" s="1">
        <v>1261</v>
      </c>
      <c r="E16" s="1">
        <v>1255</v>
      </c>
      <c r="F16" s="1">
        <f>Y16-SUM(C16:E16)</f>
        <v>1197</v>
      </c>
      <c r="G16" s="1">
        <v>1195</v>
      </c>
      <c r="H16" s="1">
        <v>1312</v>
      </c>
      <c r="I16" s="1">
        <v>1358</v>
      </c>
      <c r="J16" s="1">
        <f>Z16-SUM(G16:I16)</f>
        <v>1388</v>
      </c>
      <c r="K16" s="1">
        <v>2308</v>
      </c>
      <c r="L16" s="1">
        <v>2415</v>
      </c>
      <c r="M16" s="1">
        <v>2353</v>
      </c>
      <c r="N16" s="1">
        <f>AA16-SUM(K16:M16)</f>
        <v>2234</v>
      </c>
      <c r="O16" s="1">
        <v>2253</v>
      </c>
      <c r="P16" s="1">
        <f>L16*0.9</f>
        <v>2173.5</v>
      </c>
      <c r="Q16" s="1">
        <f t="shared" ref="Q16:R16" si="12">M16*0.9</f>
        <v>2117.7000000000003</v>
      </c>
      <c r="R16" s="1">
        <f t="shared" si="12"/>
        <v>2010.6000000000001</v>
      </c>
      <c r="V16" s="1">
        <v>4696</v>
      </c>
      <c r="W16" s="1">
        <v>4968</v>
      </c>
      <c r="X16" s="1">
        <v>4854</v>
      </c>
      <c r="Y16" s="1">
        <v>4919</v>
      </c>
      <c r="Z16" s="1">
        <v>5253</v>
      </c>
      <c r="AA16" s="1">
        <v>9310</v>
      </c>
      <c r="AB16" s="21">
        <f>SUM(O16:R16)</f>
        <v>8554.8000000000011</v>
      </c>
      <c r="AC16" s="1">
        <f>AB16*1.1</f>
        <v>9410.2800000000025</v>
      </c>
      <c r="AD16" s="1">
        <f t="shared" ref="AD16:AF16" si="13">AC16*1.1</f>
        <v>10351.308000000003</v>
      </c>
      <c r="AE16" s="1">
        <f t="shared" si="13"/>
        <v>11386.438800000004</v>
      </c>
      <c r="AF16" s="1">
        <f>AE16*0.97</f>
        <v>11044.845636000004</v>
      </c>
      <c r="AG16" s="1">
        <f t="shared" ref="AG16:AQ16" si="14">AF16*0.97</f>
        <v>10713.500266920004</v>
      </c>
      <c r="AH16" s="1">
        <f t="shared" si="14"/>
        <v>10392.095258912403</v>
      </c>
      <c r="AI16" s="1">
        <f t="shared" si="14"/>
        <v>10080.33240114503</v>
      </c>
      <c r="AJ16" s="1">
        <f t="shared" si="14"/>
        <v>9777.9224291106784</v>
      </c>
      <c r="AK16" s="1">
        <f t="shared" si="14"/>
        <v>9484.5847562373583</v>
      </c>
      <c r="AL16" s="1">
        <f t="shared" si="14"/>
        <v>9200.0472135502368</v>
      </c>
      <c r="AM16" s="1">
        <f t="shared" si="14"/>
        <v>8924.0457971437299</v>
      </c>
      <c r="AN16" s="1">
        <f t="shared" si="14"/>
        <v>8656.3244232294182</v>
      </c>
      <c r="AO16" s="1">
        <f t="shared" si="14"/>
        <v>8396.6346905325354</v>
      </c>
      <c r="AP16" s="1">
        <f t="shared" si="14"/>
        <v>8144.7356498165591</v>
      </c>
      <c r="AQ16" s="1">
        <f t="shared" si="14"/>
        <v>7900.393580322062</v>
      </c>
    </row>
    <row r="17" spans="2:151" s="1" customFormat="1" x14ac:dyDescent="0.2">
      <c r="B17" s="15" t="s">
        <v>33</v>
      </c>
      <c r="C17" s="1">
        <v>321</v>
      </c>
      <c r="D17" s="1">
        <v>368</v>
      </c>
      <c r="E17" s="1">
        <v>323</v>
      </c>
      <c r="F17" s="1">
        <f>Y17-SUM(C17:E17)</f>
        <v>370</v>
      </c>
      <c r="G17" s="1">
        <v>348</v>
      </c>
      <c r="H17" s="1">
        <v>438</v>
      </c>
      <c r="I17" s="1">
        <v>388</v>
      </c>
      <c r="J17" s="1">
        <f>Z17-SUM(G17:I17)</f>
        <v>418</v>
      </c>
      <c r="K17" s="1">
        <v>1572</v>
      </c>
      <c r="L17" s="1">
        <v>1277</v>
      </c>
      <c r="M17" s="1">
        <v>1100</v>
      </c>
      <c r="N17" s="1">
        <f>AA17-SUM(K17:M17)</f>
        <v>1010</v>
      </c>
      <c r="O17" s="1">
        <v>949</v>
      </c>
      <c r="P17" s="1">
        <f>L17*0.95</f>
        <v>1213.1499999999999</v>
      </c>
      <c r="Q17" s="1">
        <f t="shared" ref="Q17:R17" si="15">M17*0.95</f>
        <v>1045</v>
      </c>
      <c r="R17" s="1">
        <f t="shared" si="15"/>
        <v>959.5</v>
      </c>
      <c r="V17" s="1">
        <v>1709</v>
      </c>
      <c r="W17" s="1">
        <v>1935</v>
      </c>
      <c r="X17" s="1">
        <v>1347</v>
      </c>
      <c r="Y17" s="1">
        <v>1382</v>
      </c>
      <c r="Z17" s="1">
        <v>1592</v>
      </c>
      <c r="AA17" s="1">
        <v>4959</v>
      </c>
      <c r="AB17" s="21">
        <f>SUM(O17:R17)</f>
        <v>4166.6499999999996</v>
      </c>
      <c r="AC17" s="1">
        <f>AB17*1.15</f>
        <v>4791.6474999999991</v>
      </c>
      <c r="AD17" s="1">
        <f t="shared" ref="AD17:AE17" si="16">AC17*1.15</f>
        <v>5510.394624999999</v>
      </c>
      <c r="AE17" s="1">
        <f t="shared" si="16"/>
        <v>6336.9538187499984</v>
      </c>
      <c r="AF17" s="1">
        <f>AE17*1.15</f>
        <v>7287.4968915624977</v>
      </c>
      <c r="AG17" s="1">
        <f>AF17*0.97</f>
        <v>7068.8719848156225</v>
      </c>
      <c r="AH17" s="1">
        <f t="shared" ref="AH17:AQ17" si="17">AG17*0.97</f>
        <v>6856.8058252711535</v>
      </c>
      <c r="AI17" s="1">
        <f t="shared" si="17"/>
        <v>6651.1016505130183</v>
      </c>
      <c r="AJ17" s="1">
        <f t="shared" si="17"/>
        <v>6451.568600997628</v>
      </c>
      <c r="AK17" s="1">
        <f t="shared" si="17"/>
        <v>6258.0215429676991</v>
      </c>
      <c r="AL17" s="1">
        <f t="shared" si="17"/>
        <v>6070.2808966786679</v>
      </c>
      <c r="AM17" s="1">
        <f t="shared" si="17"/>
        <v>5888.1724697783075</v>
      </c>
      <c r="AN17" s="1">
        <f t="shared" si="17"/>
        <v>5711.5272956849585</v>
      </c>
      <c r="AO17" s="1">
        <f t="shared" si="17"/>
        <v>5540.1814768144095</v>
      </c>
      <c r="AP17" s="1">
        <f t="shared" si="17"/>
        <v>5373.9760325099769</v>
      </c>
      <c r="AQ17" s="1">
        <f t="shared" si="17"/>
        <v>5212.7567515346773</v>
      </c>
    </row>
    <row r="18" spans="2:151" s="1" customFormat="1" x14ac:dyDescent="0.2">
      <c r="B18" s="15" t="s">
        <v>34</v>
      </c>
      <c r="C18" s="1">
        <f>SUM(C14:C17)</f>
        <v>2673</v>
      </c>
      <c r="D18" s="1">
        <f>SUM(D14:D17)</f>
        <v>2753</v>
      </c>
      <c r="E18" s="1">
        <f>SUM(E14:E17)</f>
        <v>2650</v>
      </c>
      <c r="F18" s="1">
        <f>SUM(F14:F17)</f>
        <v>2646</v>
      </c>
      <c r="G18" s="1">
        <f>SUM(G14:G17)</f>
        <v>2438</v>
      </c>
      <c r="H18" s="1">
        <f>SUM(H14:H17)</f>
        <v>2548</v>
      </c>
      <c r="I18" s="1">
        <f>SUM(I14:I17)</f>
        <v>2748</v>
      </c>
      <c r="J18" s="1">
        <f>SUM(J14:J17)</f>
        <v>2606</v>
      </c>
      <c r="K18" s="1">
        <f>SUM(K14:K17)</f>
        <v>6764</v>
      </c>
      <c r="L18" s="1">
        <f>SUM(L14:L17)</f>
        <v>6380</v>
      </c>
      <c r="M18" s="1">
        <f>SUM(M14:M17)</f>
        <v>6151</v>
      </c>
      <c r="N18" s="1">
        <f>SUM(N14:N17)</f>
        <v>6028</v>
      </c>
      <c r="O18" s="1">
        <f>SUM(O14:O17)</f>
        <v>5383</v>
      </c>
      <c r="P18" s="1">
        <f t="shared" ref="P18:R18" si="18">SUM(P14:P17)</f>
        <v>5495.35</v>
      </c>
      <c r="Q18" s="1">
        <f t="shared" si="18"/>
        <v>5266</v>
      </c>
      <c r="R18" s="1">
        <f t="shared" si="18"/>
        <v>5143.6000000000004</v>
      </c>
      <c r="V18" s="1">
        <f>SUM(V14:V17)</f>
        <v>12430</v>
      </c>
      <c r="W18" s="1">
        <f>SUM(W14:W17)</f>
        <v>13356</v>
      </c>
      <c r="X18" s="1">
        <f>SUM(X14:X17)</f>
        <v>11769</v>
      </c>
      <c r="Y18" s="1">
        <f>SUM(Y14:Y17)</f>
        <v>10722</v>
      </c>
      <c r="Z18" s="1">
        <f>SUM(Z14:Z17)</f>
        <v>10340</v>
      </c>
      <c r="AA18" s="1">
        <f>SUM(AA14:AA17)</f>
        <v>25323</v>
      </c>
      <c r="AB18" s="1">
        <f>SUM(AB14:AB17)</f>
        <v>21287.950000000004</v>
      </c>
      <c r="AC18" s="1">
        <f t="shared" ref="AC18:AQ18" si="19">SUM(AC14:AC17)</f>
        <v>23201.452499999999</v>
      </c>
      <c r="AD18" s="1">
        <f t="shared" si="19"/>
        <v>25301.203874999999</v>
      </c>
      <c r="AE18" s="1">
        <f t="shared" si="19"/>
        <v>27624.868931249999</v>
      </c>
      <c r="AF18" s="1">
        <f t="shared" si="19"/>
        <v>28718.892655687501</v>
      </c>
      <c r="AG18" s="1">
        <f t="shared" si="19"/>
        <v>28678.249886266876</v>
      </c>
      <c r="AH18" s="1">
        <f t="shared" si="19"/>
        <v>28679.57260044137</v>
      </c>
      <c r="AI18" s="1">
        <f t="shared" si="19"/>
        <v>28723.639143728753</v>
      </c>
      <c r="AJ18" s="1">
        <f t="shared" si="19"/>
        <v>28811.306376782544</v>
      </c>
      <c r="AK18" s="1">
        <f t="shared" si="19"/>
        <v>28943.512413213008</v>
      </c>
      <c r="AL18" s="1">
        <f t="shared" si="19"/>
        <v>29121.279529937259</v>
      </c>
      <c r="AM18" s="1">
        <f t="shared" si="19"/>
        <v>29345.717257615805</v>
      </c>
      <c r="AN18" s="1">
        <f t="shared" si="19"/>
        <v>29618.025659142833</v>
      </c>
      <c r="AO18" s="1">
        <f t="shared" si="19"/>
        <v>29939.49880458683</v>
      </c>
      <c r="AP18" s="1">
        <f t="shared" si="19"/>
        <v>30311.528451428414</v>
      </c>
      <c r="AQ18" s="1">
        <f t="shared" si="19"/>
        <v>30735.607939413716</v>
      </c>
    </row>
    <row r="19" spans="2:151" s="1" customFormat="1" x14ac:dyDescent="0.2">
      <c r="B19" s="15" t="s">
        <v>35</v>
      </c>
      <c r="C19" s="1">
        <f>C13-C18</f>
        <v>3108</v>
      </c>
      <c r="D19" s="1">
        <f>D13-D18</f>
        <v>3394</v>
      </c>
      <c r="E19" s="1">
        <f>E13-E18</f>
        <v>3737</v>
      </c>
      <c r="F19" s="1">
        <f>F13-F18</f>
        <v>3986</v>
      </c>
      <c r="G19" s="1">
        <f>G13-G18</f>
        <v>4103</v>
      </c>
      <c r="H19" s="1">
        <f>H13-H18</f>
        <v>4008</v>
      </c>
      <c r="I19" s="1">
        <f>I13-I18</f>
        <v>3856</v>
      </c>
      <c r="J19" s="1">
        <f>J13-J18</f>
        <v>4240</v>
      </c>
      <c r="K19" s="1">
        <f>K13-K18</f>
        <v>2083</v>
      </c>
      <c r="L19" s="1">
        <f>L13-L18</f>
        <v>2965</v>
      </c>
      <c r="M19" s="1">
        <f>M13-M18</f>
        <v>3788</v>
      </c>
      <c r="N19" s="1">
        <f>N13-N18</f>
        <v>4627</v>
      </c>
      <c r="O19" s="1">
        <f>O13-O18</f>
        <v>6260</v>
      </c>
      <c r="P19" s="1">
        <f t="shared" ref="P19:R19" si="20">P13-P18</f>
        <v>6126.65</v>
      </c>
      <c r="Q19" s="1">
        <f t="shared" si="20"/>
        <v>6459.5840000000007</v>
      </c>
      <c r="R19" s="1">
        <f t="shared" si="20"/>
        <v>7462.8379999999997</v>
      </c>
      <c r="V19" s="1">
        <f>V13-V18</f>
        <v>3444</v>
      </c>
      <c r="W19" s="1">
        <f>W13-W18</f>
        <v>4014</v>
      </c>
      <c r="X19" s="1">
        <f>X13-X18</f>
        <v>8519</v>
      </c>
      <c r="Y19" s="1">
        <f>Y13-Y18</f>
        <v>14225</v>
      </c>
      <c r="Z19" s="1">
        <f>Z13-Z18</f>
        <v>16207</v>
      </c>
      <c r="AA19" s="1">
        <f>AA13-AA18</f>
        <v>13463</v>
      </c>
      <c r="AB19" s="1">
        <f>AB13-AB18</f>
        <v>26309.072</v>
      </c>
      <c r="AC19" s="1">
        <f t="shared" ref="AC19:AQ19" si="21">AC13-AC18</f>
        <v>30793.193999999996</v>
      </c>
      <c r="AD19" s="1">
        <f t="shared" si="21"/>
        <v>38412.47899499999</v>
      </c>
      <c r="AE19" s="1">
        <f t="shared" si="21"/>
        <v>42460.182225749995</v>
      </c>
      <c r="AF19" s="1">
        <f t="shared" si="21"/>
        <v>43468.710036022494</v>
      </c>
      <c r="AG19" s="1">
        <f t="shared" si="21"/>
        <v>45674.980886194418</v>
      </c>
      <c r="AH19" s="1">
        <f t="shared" si="21"/>
        <v>47904.255095193759</v>
      </c>
      <c r="AI19" s="1">
        <f t="shared" si="21"/>
        <v>50157.703382775435</v>
      </c>
      <c r="AJ19" s="1">
        <f t="shared" si="21"/>
        <v>52436.476425516761</v>
      </c>
      <c r="AK19" s="1">
        <f t="shared" si="21"/>
        <v>54741.703873155282</v>
      </c>
      <c r="AL19" s="1">
        <f t="shared" si="21"/>
        <v>57074.493245022088</v>
      </c>
      <c r="AM19" s="1">
        <f t="shared" si="21"/>
        <v>59435.928700592325</v>
      </c>
      <c r="AN19" s="1">
        <f t="shared" si="21"/>
        <v>61827.069677811538</v>
      </c>
      <c r="AO19" s="1">
        <f t="shared" si="21"/>
        <v>64248.949392476185</v>
      </c>
      <c r="AP19" s="1">
        <f t="shared" si="21"/>
        <v>66702.5731915465</v>
      </c>
      <c r="AQ19" s="1">
        <f t="shared" si="21"/>
        <v>69188.916752850433</v>
      </c>
    </row>
    <row r="20" spans="2:151" s="1" customFormat="1" x14ac:dyDescent="0.2">
      <c r="B20" s="15" t="s">
        <v>36</v>
      </c>
      <c r="C20" s="1">
        <f>-407-14</f>
        <v>-421</v>
      </c>
      <c r="D20" s="1">
        <f>-518-86</f>
        <v>-604</v>
      </c>
      <c r="E20" s="1">
        <f>-406+6</f>
        <v>-400</v>
      </c>
      <c r="F20" s="1">
        <f>Y20-SUM(C20:E20)</f>
        <v>-366</v>
      </c>
      <c r="G20" s="1">
        <f>-406+143</f>
        <v>-263</v>
      </c>
      <c r="H20" s="1">
        <f>-405+113</f>
        <v>-292</v>
      </c>
      <c r="I20" s="1">
        <f>124-406</f>
        <v>-282</v>
      </c>
      <c r="J20" s="1">
        <f>Z20-SUM(G20:I20)</f>
        <v>-273</v>
      </c>
      <c r="K20" s="1">
        <f>-926+185</f>
        <v>-741</v>
      </c>
      <c r="L20" s="1">
        <f>87-1047</f>
        <v>-960</v>
      </c>
      <c r="M20" s="1">
        <f>82-1064</f>
        <v>-982</v>
      </c>
      <c r="N20" s="1">
        <f>AA20-SUM(K20:M20)</f>
        <v>-864</v>
      </c>
      <c r="O20" s="1">
        <f>-873+103</f>
        <v>-770</v>
      </c>
      <c r="P20" s="1">
        <v>-800</v>
      </c>
      <c r="Q20" s="1">
        <v>-800</v>
      </c>
      <c r="R20" s="1">
        <v>-800</v>
      </c>
      <c r="V20" s="1">
        <f>-1444+226</f>
        <v>-1218</v>
      </c>
      <c r="W20" s="1">
        <f>-1777+206</f>
        <v>-1571</v>
      </c>
      <c r="X20" s="1">
        <f>-1885+131</f>
        <v>-1754</v>
      </c>
      <c r="Y20" s="1">
        <f>-1737-54</f>
        <v>-1791</v>
      </c>
      <c r="Z20" s="1">
        <f>-1622+512</f>
        <v>-1110</v>
      </c>
      <c r="AA20" s="1">
        <f>406-3953</f>
        <v>-3547</v>
      </c>
      <c r="AB20" s="21">
        <f>SUM(O20:R20)</f>
        <v>-3170</v>
      </c>
      <c r="AC20" s="1">
        <f>AB50*$AU$40</f>
        <v>-377.13288799999998</v>
      </c>
      <c r="AD20" s="1">
        <f t="shared" ref="AD20:AQ20" si="22">AC50*$AU$40</f>
        <v>-118.59636854799999</v>
      </c>
      <c r="AE20" s="1">
        <f t="shared" si="22"/>
        <v>206.90163377684192</v>
      </c>
      <c r="AF20" s="1">
        <f t="shared" si="22"/>
        <v>569.57184658282006</v>
      </c>
      <c r="AG20" s="1">
        <f t="shared" si="22"/>
        <v>943.89724258496517</v>
      </c>
      <c r="AH20" s="1">
        <f t="shared" si="22"/>
        <v>1340.1577066795901</v>
      </c>
      <c r="AI20" s="1">
        <f t="shared" si="22"/>
        <v>1758.7352154955133</v>
      </c>
      <c r="AJ20" s="1">
        <f t="shared" si="22"/>
        <v>2200.0249435808169</v>
      </c>
      <c r="AK20" s="1">
        <f t="shared" si="22"/>
        <v>2664.4352052181457</v>
      </c>
      <c r="AL20" s="1">
        <f t="shared" si="22"/>
        <v>3152.3873873843199</v>
      </c>
      <c r="AM20" s="1">
        <f t="shared" si="22"/>
        <v>3664.3158727597747</v>
      </c>
      <c r="AN20" s="1">
        <f t="shared" si="22"/>
        <v>4200.6679516332679</v>
      </c>
      <c r="AO20" s="1">
        <f t="shared" si="22"/>
        <v>4761.9037214835489</v>
      </c>
      <c r="AP20" s="1">
        <f t="shared" si="22"/>
        <v>5348.495972952207</v>
      </c>
      <c r="AQ20" s="1">
        <f t="shared" si="22"/>
        <v>5960.9300608504464</v>
      </c>
    </row>
    <row r="21" spans="2:151" s="1" customFormat="1" x14ac:dyDescent="0.2">
      <c r="B21" s="15" t="s">
        <v>37</v>
      </c>
      <c r="C21" s="1">
        <f>+C19+C20</f>
        <v>2687</v>
      </c>
      <c r="D21" s="1">
        <f>+D19+D20</f>
        <v>2790</v>
      </c>
      <c r="E21" s="1">
        <f>+E19+E20</f>
        <v>3337</v>
      </c>
      <c r="F21" s="1">
        <f>+F19+F20</f>
        <v>3620</v>
      </c>
      <c r="G21" s="1">
        <f>+G19+G20</f>
        <v>3840</v>
      </c>
      <c r="H21" s="1">
        <f>+H19+H20</f>
        <v>3716</v>
      </c>
      <c r="I21" s="1">
        <f>+I19+I20</f>
        <v>3574</v>
      </c>
      <c r="J21" s="1">
        <f>+J19+J20</f>
        <v>3967</v>
      </c>
      <c r="K21" s="1">
        <f>+K19+K20</f>
        <v>1342</v>
      </c>
      <c r="L21" s="1">
        <f>+L19+L20</f>
        <v>2005</v>
      </c>
      <c r="M21" s="1">
        <f>+M19+M20</f>
        <v>2806</v>
      </c>
      <c r="N21" s="1">
        <f>+N19+N20</f>
        <v>3763</v>
      </c>
      <c r="O21" s="1">
        <f>+O19+O20</f>
        <v>5490</v>
      </c>
      <c r="P21" s="1">
        <f t="shared" ref="P21:R21" si="23">+P19+P20</f>
        <v>5326.65</v>
      </c>
      <c r="Q21" s="1">
        <f t="shared" si="23"/>
        <v>5659.5840000000007</v>
      </c>
      <c r="R21" s="1">
        <f t="shared" si="23"/>
        <v>6662.8379999999997</v>
      </c>
      <c r="V21" s="1">
        <f>+V19+V20</f>
        <v>2226</v>
      </c>
      <c r="W21" s="1">
        <f>+W19+W20</f>
        <v>2443</v>
      </c>
      <c r="X21" s="1">
        <f>+X19+X20</f>
        <v>6765</v>
      </c>
      <c r="Y21" s="1">
        <f>+Y19+Y20</f>
        <v>12434</v>
      </c>
      <c r="Z21" s="1">
        <f>+Z19+Z20</f>
        <v>15097</v>
      </c>
      <c r="AA21" s="1">
        <f>+AA19+AA20</f>
        <v>9916</v>
      </c>
      <c r="AB21" s="1">
        <f>+AB19+AB20</f>
        <v>23139.072</v>
      </c>
      <c r="AC21" s="1">
        <f t="shared" ref="AC21:AQ21" si="24">+AC19+AC20</f>
        <v>30416.061111999996</v>
      </c>
      <c r="AD21" s="1">
        <f t="shared" si="24"/>
        <v>38293.882626451988</v>
      </c>
      <c r="AE21" s="1">
        <f t="shared" si="24"/>
        <v>42667.083859526836</v>
      </c>
      <c r="AF21" s="1">
        <f t="shared" si="24"/>
        <v>44038.281882605312</v>
      </c>
      <c r="AG21" s="1">
        <f t="shared" si="24"/>
        <v>46618.878128779383</v>
      </c>
      <c r="AH21" s="1">
        <f t="shared" si="24"/>
        <v>49244.412801873346</v>
      </c>
      <c r="AI21" s="1">
        <f t="shared" si="24"/>
        <v>51916.43859827095</v>
      </c>
      <c r="AJ21" s="1">
        <f t="shared" si="24"/>
        <v>54636.501369097576</v>
      </c>
      <c r="AK21" s="1">
        <f t="shared" si="24"/>
        <v>57406.139078373424</v>
      </c>
      <c r="AL21" s="1">
        <f t="shared" si="24"/>
        <v>60226.880632406406</v>
      </c>
      <c r="AM21" s="1">
        <f t="shared" si="24"/>
        <v>63100.244573352102</v>
      </c>
      <c r="AN21" s="1">
        <f t="shared" si="24"/>
        <v>66027.737629444804</v>
      </c>
      <c r="AO21" s="1">
        <f t="shared" si="24"/>
        <v>69010.853113959733</v>
      </c>
      <c r="AP21" s="1">
        <f t="shared" si="24"/>
        <v>72051.069164498709</v>
      </c>
      <c r="AQ21" s="1">
        <f t="shared" si="24"/>
        <v>75149.846813700875</v>
      </c>
    </row>
    <row r="22" spans="2:151" s="1" customFormat="1" x14ac:dyDescent="0.2">
      <c r="B22" s="15" t="s">
        <v>38</v>
      </c>
      <c r="C22" s="1">
        <v>215</v>
      </c>
      <c r="D22" s="1">
        <v>200</v>
      </c>
      <c r="E22" s="1">
        <v>263</v>
      </c>
      <c r="F22" s="1">
        <f>Y22-SUM(C22:E22)</f>
        <v>261</v>
      </c>
      <c r="G22" s="1">
        <v>66</v>
      </c>
      <c r="H22" s="1">
        <v>235</v>
      </c>
      <c r="I22" s="1">
        <v>271</v>
      </c>
      <c r="J22" s="1">
        <f>Z22-SUM(G22:I22)</f>
        <v>443</v>
      </c>
      <c r="K22" s="1">
        <v>68</v>
      </c>
      <c r="L22" s="1">
        <v>-116</v>
      </c>
      <c r="M22" s="1">
        <v>4238</v>
      </c>
      <c r="N22" s="1">
        <f>AA22-SUM(K22:M22)</f>
        <v>-442</v>
      </c>
      <c r="O22" s="1">
        <v>-13</v>
      </c>
      <c r="P22" s="1">
        <f>+P21*0.15</f>
        <v>798.99749999999995</v>
      </c>
      <c r="Q22" s="1">
        <f t="shared" ref="Q22:R22" si="25">+Q21*0.15</f>
        <v>848.93760000000009</v>
      </c>
      <c r="R22" s="1">
        <f t="shared" si="25"/>
        <v>999.42569999999989</v>
      </c>
      <c r="V22" s="1">
        <v>-510</v>
      </c>
      <c r="W22" s="1">
        <v>-518</v>
      </c>
      <c r="X22" s="1">
        <v>29</v>
      </c>
      <c r="Y22" s="1">
        <v>939</v>
      </c>
      <c r="Z22" s="1">
        <v>1015</v>
      </c>
      <c r="AA22" s="1">
        <v>3748</v>
      </c>
      <c r="AB22" s="21">
        <f>SUM(O22:R22)</f>
        <v>2634.3607999999999</v>
      </c>
      <c r="AC22" s="1">
        <f>+AC21*0.15</f>
        <v>4562.4091667999992</v>
      </c>
      <c r="AD22" s="1">
        <f t="shared" ref="AD22:AQ22" si="26">+AD21*0.15</f>
        <v>5744.0823939677985</v>
      </c>
      <c r="AE22" s="1">
        <f t="shared" si="26"/>
        <v>6400.0625789290252</v>
      </c>
      <c r="AF22" s="1">
        <f t="shared" si="26"/>
        <v>6605.7422823907964</v>
      </c>
      <c r="AG22" s="1">
        <f t="shared" si="26"/>
        <v>6992.8317193169069</v>
      </c>
      <c r="AH22" s="1">
        <f t="shared" si="26"/>
        <v>7386.6619202810016</v>
      </c>
      <c r="AI22" s="1">
        <f t="shared" si="26"/>
        <v>7787.4657897406423</v>
      </c>
      <c r="AJ22" s="1">
        <f t="shared" si="26"/>
        <v>8195.4752053646353</v>
      </c>
      <c r="AK22" s="1">
        <f t="shared" si="26"/>
        <v>8610.9208617560125</v>
      </c>
      <c r="AL22" s="1">
        <f t="shared" si="26"/>
        <v>9034.0320948609606</v>
      </c>
      <c r="AM22" s="1">
        <f t="shared" si="26"/>
        <v>9465.0366860028153</v>
      </c>
      <c r="AN22" s="1">
        <f t="shared" si="26"/>
        <v>9904.160644416721</v>
      </c>
      <c r="AO22" s="1">
        <f t="shared" si="26"/>
        <v>10351.62796709396</v>
      </c>
      <c r="AP22" s="1">
        <f t="shared" si="26"/>
        <v>10807.660374674806</v>
      </c>
      <c r="AQ22" s="1">
        <f t="shared" si="26"/>
        <v>11272.477022055131</v>
      </c>
    </row>
    <row r="23" spans="2:151" s="1" customFormat="1" x14ac:dyDescent="0.2">
      <c r="B23" s="15" t="s">
        <v>45</v>
      </c>
      <c r="C23" s="1">
        <v>0</v>
      </c>
      <c r="D23" s="1">
        <v>0</v>
      </c>
      <c r="E23" s="1">
        <v>0</v>
      </c>
      <c r="F23" s="1">
        <f>Y23-SUM(C23:E23)</f>
        <v>0</v>
      </c>
      <c r="G23" s="1">
        <v>0</v>
      </c>
      <c r="H23" s="1">
        <v>0</v>
      </c>
      <c r="I23" s="1">
        <v>0</v>
      </c>
      <c r="J23" s="1">
        <f>Z23-SUM(G23:I23)</f>
        <v>0</v>
      </c>
      <c r="K23" s="1">
        <v>51</v>
      </c>
      <c r="L23" s="1">
        <v>0</v>
      </c>
      <c r="M23" s="1">
        <v>-443</v>
      </c>
      <c r="N23" s="1">
        <f>AA23-SUM(K23:M23)</f>
        <v>119</v>
      </c>
      <c r="O23" s="1">
        <v>0</v>
      </c>
      <c r="P23" s="1">
        <v>0</v>
      </c>
      <c r="Q23" s="1">
        <v>0</v>
      </c>
      <c r="R23" s="1">
        <v>0</v>
      </c>
      <c r="V23" s="1">
        <v>-12</v>
      </c>
      <c r="W23" s="1">
        <v>-1</v>
      </c>
      <c r="X23" s="1">
        <v>0</v>
      </c>
      <c r="Y23" s="1">
        <v>0</v>
      </c>
      <c r="Z23" s="1">
        <v>0</v>
      </c>
      <c r="AA23" s="1">
        <v>-273</v>
      </c>
      <c r="AB23" s="21">
        <f>SUM(O23:R23)</f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</row>
    <row r="24" spans="2:151" s="1" customFormat="1" x14ac:dyDescent="0.2">
      <c r="B24" s="15" t="s">
        <v>47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V24" s="1">
        <v>29</v>
      </c>
      <c r="W24" s="1">
        <v>297</v>
      </c>
      <c r="X24" s="1">
        <v>0</v>
      </c>
      <c r="Y24" s="1">
        <v>0</v>
      </c>
      <c r="Z24" s="1">
        <v>0</v>
      </c>
      <c r="AA24" s="1">
        <v>0</v>
      </c>
      <c r="AB24" s="21">
        <f>SUM(O24:R24)</f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</row>
    <row r="25" spans="2:151" s="1" customFormat="1" x14ac:dyDescent="0.2">
      <c r="B25" s="15" t="s">
        <v>39</v>
      </c>
      <c r="C25" s="1">
        <f t="shared" ref="C25:O25" si="27">+C21-C22+C23-C24</f>
        <v>2472</v>
      </c>
      <c r="D25" s="1">
        <f t="shared" si="27"/>
        <v>2590</v>
      </c>
      <c r="E25" s="1">
        <f t="shared" si="27"/>
        <v>3074</v>
      </c>
      <c r="F25" s="1">
        <f t="shared" si="27"/>
        <v>3359</v>
      </c>
      <c r="G25" s="1">
        <f t="shared" si="27"/>
        <v>3774</v>
      </c>
      <c r="H25" s="1">
        <f t="shared" si="27"/>
        <v>3481</v>
      </c>
      <c r="I25" s="1">
        <f t="shared" si="27"/>
        <v>3303</v>
      </c>
      <c r="J25" s="1">
        <f t="shared" si="27"/>
        <v>3524</v>
      </c>
      <c r="K25" s="1">
        <f t="shared" si="27"/>
        <v>1325</v>
      </c>
      <c r="L25" s="1">
        <f t="shared" si="27"/>
        <v>2121</v>
      </c>
      <c r="M25" s="1">
        <f t="shared" si="27"/>
        <v>-1875</v>
      </c>
      <c r="N25" s="1">
        <f t="shared" si="27"/>
        <v>4324</v>
      </c>
      <c r="O25" s="1">
        <f t="shared" si="27"/>
        <v>5503</v>
      </c>
      <c r="P25" s="1">
        <f t="shared" ref="P25" si="28">+P21-P22+P23-P24</f>
        <v>4527.6525000000001</v>
      </c>
      <c r="Q25" s="1">
        <f t="shared" ref="Q25" si="29">+Q21-Q22+Q23-Q24</f>
        <v>4810.6464000000005</v>
      </c>
      <c r="R25" s="1">
        <f t="shared" ref="R25" si="30">+R21-R22+R23-R24</f>
        <v>5663.4123</v>
      </c>
      <c r="V25" s="1">
        <f>+V21-V22+V23-V24</f>
        <v>2695</v>
      </c>
      <c r="W25" s="1">
        <f t="shared" ref="W25:AB25" si="31">+W21-W22+W23-W24</f>
        <v>2663</v>
      </c>
      <c r="X25" s="1">
        <f t="shared" si="31"/>
        <v>6736</v>
      </c>
      <c r="Y25" s="1">
        <f t="shared" si="31"/>
        <v>11495</v>
      </c>
      <c r="Z25" s="1">
        <f t="shared" si="31"/>
        <v>14082</v>
      </c>
      <c r="AA25" s="1">
        <f t="shared" si="31"/>
        <v>5895</v>
      </c>
      <c r="AB25" s="1">
        <f t="shared" si="31"/>
        <v>20504.711200000002</v>
      </c>
      <c r="AC25" s="1">
        <f t="shared" ref="AC25" si="32">+AC21-AC22+AC23-AC24</f>
        <v>25853.651945199996</v>
      </c>
      <c r="AD25" s="1">
        <f t="shared" ref="AD25" si="33">+AD21-AD22+AD23-AD24</f>
        <v>32549.800232484191</v>
      </c>
      <c r="AE25" s="1">
        <f t="shared" ref="AE25" si="34">+AE21-AE22+AE23-AE24</f>
        <v>36267.021280597808</v>
      </c>
      <c r="AF25" s="1">
        <f t="shared" ref="AF25" si="35">+AF21-AF22+AF23-AF24</f>
        <v>37432.539600214513</v>
      </c>
      <c r="AG25" s="1">
        <f t="shared" ref="AG25" si="36">+AG21-AG22+AG23-AG24</f>
        <v>39626.046409462477</v>
      </c>
      <c r="AH25" s="1">
        <f t="shared" ref="AH25" si="37">+AH21-AH22+AH23-AH24</f>
        <v>41857.750881592343</v>
      </c>
      <c r="AI25" s="1">
        <f t="shared" ref="AI25" si="38">+AI21-AI22+AI23-AI24</f>
        <v>44128.972808530307</v>
      </c>
      <c r="AJ25" s="1">
        <f t="shared" ref="AJ25" si="39">+AJ21-AJ22+AJ23-AJ24</f>
        <v>46441.026163732939</v>
      </c>
      <c r="AK25" s="1">
        <f t="shared" ref="AK25" si="40">+AK21-AK22+AK23-AK24</f>
        <v>48795.21821661741</v>
      </c>
      <c r="AL25" s="1">
        <f t="shared" ref="AL25" si="41">+AL21-AL22+AL23-AL24</f>
        <v>51192.848537545447</v>
      </c>
      <c r="AM25" s="1">
        <f t="shared" ref="AM25" si="42">+AM21-AM22+AM23-AM24</f>
        <v>53635.207887349286</v>
      </c>
      <c r="AN25" s="1">
        <f t="shared" ref="AN25" si="43">+AN21-AN22+AN23-AN24</f>
        <v>56123.576985028085</v>
      </c>
      <c r="AO25" s="1">
        <f t="shared" ref="AO25" si="44">+AO21-AO22+AO23-AO24</f>
        <v>58659.225146865771</v>
      </c>
      <c r="AP25" s="1">
        <f t="shared" ref="AP25" si="45">+AP21-AP22+AP23-AP24</f>
        <v>61243.408789823901</v>
      </c>
      <c r="AQ25" s="1">
        <f t="shared" ref="AQ25" si="46">+AQ21-AQ22+AQ23-AQ24</f>
        <v>63877.369791645746</v>
      </c>
      <c r="AR25" s="1">
        <f>+AQ25*(1+$AU$41)</f>
        <v>61961.048697896375</v>
      </c>
      <c r="AS25" s="1">
        <f t="shared" ref="AS25:DD25" si="47">+AR25*(1+$AU$41)</f>
        <v>60102.217236959485</v>
      </c>
      <c r="AT25" s="1">
        <f t="shared" si="47"/>
        <v>58299.150719850695</v>
      </c>
      <c r="AU25" s="1">
        <f t="shared" si="47"/>
        <v>56550.176198255176</v>
      </c>
      <c r="AV25" s="1">
        <f t="shared" si="47"/>
        <v>54853.67091230752</v>
      </c>
      <c r="AW25" s="1">
        <f t="shared" si="47"/>
        <v>53208.060784938294</v>
      </c>
      <c r="AX25" s="1">
        <f t="shared" si="47"/>
        <v>51611.818961390141</v>
      </c>
      <c r="AY25" s="1">
        <f t="shared" si="47"/>
        <v>50063.464392548434</v>
      </c>
      <c r="AZ25" s="1">
        <f t="shared" si="47"/>
        <v>48561.56046077198</v>
      </c>
      <c r="BA25" s="1">
        <f t="shared" si="47"/>
        <v>47104.713646948818</v>
      </c>
      <c r="BB25" s="1">
        <f t="shared" si="47"/>
        <v>45691.572237540349</v>
      </c>
      <c r="BC25" s="1">
        <f t="shared" si="47"/>
        <v>44320.825070414139</v>
      </c>
      <c r="BD25" s="1">
        <f t="shared" si="47"/>
        <v>42991.200318301715</v>
      </c>
      <c r="BE25" s="1">
        <f t="shared" si="47"/>
        <v>41701.464308752664</v>
      </c>
      <c r="BF25" s="1">
        <f t="shared" si="47"/>
        <v>40450.420379490082</v>
      </c>
      <c r="BG25" s="1">
        <f t="shared" si="47"/>
        <v>39236.907768105382</v>
      </c>
      <c r="BH25" s="1">
        <f t="shared" si="47"/>
        <v>38059.800535062219</v>
      </c>
      <c r="BI25" s="1">
        <f t="shared" si="47"/>
        <v>36918.006519010349</v>
      </c>
      <c r="BJ25" s="1">
        <f t="shared" si="47"/>
        <v>35810.466323440036</v>
      </c>
      <c r="BK25" s="1">
        <f t="shared" si="47"/>
        <v>34736.152333736834</v>
      </c>
      <c r="BL25" s="1">
        <f t="shared" si="47"/>
        <v>33694.067763724728</v>
      </c>
      <c r="BM25" s="1">
        <f t="shared" si="47"/>
        <v>32683.245730812985</v>
      </c>
      <c r="BN25" s="1">
        <f t="shared" si="47"/>
        <v>31702.748358888595</v>
      </c>
      <c r="BO25" s="1">
        <f t="shared" si="47"/>
        <v>30751.665908121937</v>
      </c>
      <c r="BP25" s="1">
        <f t="shared" si="47"/>
        <v>29829.115930878277</v>
      </c>
      <c r="BQ25" s="1">
        <f t="shared" si="47"/>
        <v>28934.242452951927</v>
      </c>
      <c r="BR25" s="1">
        <f t="shared" si="47"/>
        <v>28066.215179363367</v>
      </c>
      <c r="BS25" s="1">
        <f t="shared" si="47"/>
        <v>27224.228723982465</v>
      </c>
      <c r="BT25" s="1">
        <f t="shared" si="47"/>
        <v>26407.50186226299</v>
      </c>
      <c r="BU25" s="1">
        <f t="shared" si="47"/>
        <v>25615.276806395101</v>
      </c>
      <c r="BV25" s="1">
        <f t="shared" si="47"/>
        <v>24846.818502203248</v>
      </c>
      <c r="BW25" s="1">
        <f t="shared" si="47"/>
        <v>24101.413947137149</v>
      </c>
      <c r="BX25" s="1">
        <f t="shared" si="47"/>
        <v>23378.371528723033</v>
      </c>
      <c r="BY25" s="1">
        <f t="shared" si="47"/>
        <v>22677.020382861341</v>
      </c>
      <c r="BZ25" s="1">
        <f t="shared" si="47"/>
        <v>21996.709771375499</v>
      </c>
      <c r="CA25" s="1">
        <f t="shared" si="47"/>
        <v>21336.808478234234</v>
      </c>
      <c r="CB25" s="1">
        <f t="shared" si="47"/>
        <v>20696.704223887205</v>
      </c>
      <c r="CC25" s="1">
        <f t="shared" si="47"/>
        <v>20075.803097170588</v>
      </c>
      <c r="CD25" s="1">
        <f t="shared" si="47"/>
        <v>19473.52900425547</v>
      </c>
      <c r="CE25" s="1">
        <f t="shared" si="47"/>
        <v>18889.323134127804</v>
      </c>
      <c r="CF25" s="1">
        <f t="shared" si="47"/>
        <v>18322.64344010397</v>
      </c>
      <c r="CG25" s="1">
        <f t="shared" si="47"/>
        <v>17772.96413690085</v>
      </c>
      <c r="CH25" s="1">
        <f t="shared" si="47"/>
        <v>17239.775212793822</v>
      </c>
      <c r="CI25" s="1">
        <f t="shared" si="47"/>
        <v>16722.581956410006</v>
      </c>
      <c r="CJ25" s="1">
        <f t="shared" si="47"/>
        <v>16220.904497717705</v>
      </c>
      <c r="CK25" s="1">
        <f t="shared" si="47"/>
        <v>15734.277362786173</v>
      </c>
      <c r="CL25" s="1">
        <f t="shared" si="47"/>
        <v>15262.249041902587</v>
      </c>
      <c r="CM25" s="1">
        <f t="shared" si="47"/>
        <v>14804.38157064551</v>
      </c>
      <c r="CN25" s="1">
        <f t="shared" si="47"/>
        <v>14360.250123526144</v>
      </c>
      <c r="CO25" s="1">
        <f t="shared" si="47"/>
        <v>13929.44261982036</v>
      </c>
      <c r="CP25" s="1">
        <f t="shared" si="47"/>
        <v>13511.559341225749</v>
      </c>
      <c r="CQ25" s="1">
        <f t="shared" si="47"/>
        <v>13106.212560988977</v>
      </c>
      <c r="CR25" s="1">
        <f t="shared" si="47"/>
        <v>12713.026184159307</v>
      </c>
      <c r="CS25" s="1">
        <f t="shared" si="47"/>
        <v>12331.635398634528</v>
      </c>
      <c r="CT25" s="1">
        <f t="shared" si="47"/>
        <v>11961.686336675491</v>
      </c>
      <c r="CU25" s="1">
        <f t="shared" si="47"/>
        <v>11602.835746575227</v>
      </c>
      <c r="CV25" s="1">
        <f t="shared" si="47"/>
        <v>11254.750674177971</v>
      </c>
      <c r="CW25" s="1">
        <f t="shared" si="47"/>
        <v>10917.108153952631</v>
      </c>
      <c r="CX25" s="1">
        <f t="shared" si="47"/>
        <v>10589.594909334051</v>
      </c>
      <c r="CY25" s="1">
        <f t="shared" si="47"/>
        <v>10271.90706205403</v>
      </c>
      <c r="CZ25" s="1">
        <f t="shared" si="47"/>
        <v>9963.7498501924092</v>
      </c>
      <c r="DA25" s="1">
        <f t="shared" si="47"/>
        <v>9664.8373546866369</v>
      </c>
      <c r="DB25" s="1">
        <f t="shared" si="47"/>
        <v>9374.8922340460376</v>
      </c>
      <c r="DC25" s="1">
        <f t="shared" si="47"/>
        <v>9093.6454670246567</v>
      </c>
      <c r="DD25" s="1">
        <f t="shared" si="47"/>
        <v>8820.8361030139167</v>
      </c>
      <c r="DE25" s="1">
        <f t="shared" ref="DE25:EU25" si="48">+DD25*(1+$AU$41)</f>
        <v>8556.2110199234994</v>
      </c>
      <c r="DF25" s="1">
        <f t="shared" si="48"/>
        <v>8299.5246893257936</v>
      </c>
      <c r="DG25" s="1">
        <f t="shared" si="48"/>
        <v>8050.5389486460199</v>
      </c>
      <c r="DH25" s="1">
        <f t="shared" si="48"/>
        <v>7809.0227801866395</v>
      </c>
      <c r="DI25" s="1">
        <f t="shared" si="48"/>
        <v>7574.7520967810397</v>
      </c>
      <c r="DJ25" s="1">
        <f t="shared" si="48"/>
        <v>7347.5095338776082</v>
      </c>
      <c r="DK25" s="1">
        <f t="shared" si="48"/>
        <v>7127.0842478612794</v>
      </c>
      <c r="DL25" s="1">
        <f t="shared" si="48"/>
        <v>6913.2717204254404</v>
      </c>
      <c r="DM25" s="1">
        <f t="shared" si="48"/>
        <v>6705.8735688126771</v>
      </c>
      <c r="DN25" s="1">
        <f t="shared" si="48"/>
        <v>6504.6973617482963</v>
      </c>
      <c r="DO25" s="1">
        <f t="shared" si="48"/>
        <v>6309.5564408958471</v>
      </c>
      <c r="DP25" s="1">
        <f t="shared" si="48"/>
        <v>6120.2697476689718</v>
      </c>
      <c r="DQ25" s="1">
        <f t="shared" si="48"/>
        <v>5936.6616552389023</v>
      </c>
      <c r="DR25" s="1">
        <f t="shared" si="48"/>
        <v>5758.5618055817349</v>
      </c>
      <c r="DS25" s="1">
        <f t="shared" si="48"/>
        <v>5585.8049514142831</v>
      </c>
      <c r="DT25" s="1">
        <f t="shared" si="48"/>
        <v>5418.2308028718544</v>
      </c>
      <c r="DU25" s="1">
        <f t="shared" si="48"/>
        <v>5255.6838787856987</v>
      </c>
      <c r="DV25" s="1">
        <f t="shared" si="48"/>
        <v>5098.0133624221271</v>
      </c>
      <c r="DW25" s="1">
        <f t="shared" si="48"/>
        <v>4945.0729615494629</v>
      </c>
      <c r="DX25" s="1">
        <f t="shared" si="48"/>
        <v>4796.720772702979</v>
      </c>
      <c r="DY25" s="1">
        <f t="shared" si="48"/>
        <v>4652.8191495218898</v>
      </c>
      <c r="DZ25" s="1">
        <f t="shared" si="48"/>
        <v>4513.2345750362329</v>
      </c>
      <c r="EA25" s="1">
        <f t="shared" si="48"/>
        <v>4377.8375377851462</v>
      </c>
      <c r="EB25" s="1">
        <f t="shared" si="48"/>
        <v>4246.5024116515915</v>
      </c>
      <c r="EC25" s="1">
        <f t="shared" si="48"/>
        <v>4119.1073393020433</v>
      </c>
      <c r="ED25" s="1">
        <f t="shared" si="48"/>
        <v>3995.5341191229818</v>
      </c>
      <c r="EE25" s="1">
        <f t="shared" si="48"/>
        <v>3875.668095549292</v>
      </c>
      <c r="EF25" s="1">
        <f t="shared" si="48"/>
        <v>3759.3980526828132</v>
      </c>
      <c r="EG25" s="1">
        <f t="shared" si="48"/>
        <v>3646.6161111023289</v>
      </c>
      <c r="EH25" s="1">
        <f t="shared" si="48"/>
        <v>3537.2176277692588</v>
      </c>
      <c r="EI25" s="1">
        <f t="shared" si="48"/>
        <v>3431.1010989361807</v>
      </c>
      <c r="EJ25" s="1">
        <f t="shared" si="48"/>
        <v>3328.1680659680951</v>
      </c>
      <c r="EK25" s="1">
        <f t="shared" si="48"/>
        <v>3228.3230239890522</v>
      </c>
      <c r="EL25" s="1">
        <f t="shared" si="48"/>
        <v>3131.4733332693804</v>
      </c>
      <c r="EM25" s="1">
        <f t="shared" si="48"/>
        <v>3037.5291332712991</v>
      </c>
      <c r="EN25" s="1">
        <f t="shared" si="48"/>
        <v>2946.4032592731601</v>
      </c>
      <c r="EO25" s="1">
        <f t="shared" si="48"/>
        <v>2858.0111614949651</v>
      </c>
      <c r="EP25" s="1">
        <f t="shared" si="48"/>
        <v>2772.2708266501163</v>
      </c>
      <c r="EQ25" s="1">
        <f t="shared" si="48"/>
        <v>2689.1027018506129</v>
      </c>
      <c r="ER25" s="1">
        <f t="shared" si="48"/>
        <v>2608.4296207950943</v>
      </c>
      <c r="ES25" s="1">
        <f t="shared" si="48"/>
        <v>2530.1767321712414</v>
      </c>
      <c r="ET25" s="1">
        <f t="shared" si="48"/>
        <v>2454.271430206104</v>
      </c>
      <c r="EU25" s="1">
        <f t="shared" si="48"/>
        <v>2380.6432872999208</v>
      </c>
    </row>
    <row r="26" spans="2:151" s="1" customFormat="1" x14ac:dyDescent="0.2">
      <c r="B26" s="15" t="s">
        <v>1</v>
      </c>
      <c r="C26" s="1">
        <v>4290</v>
      </c>
      <c r="D26" s="1">
        <v>4240</v>
      </c>
      <c r="E26" s="1">
        <v>4300</v>
      </c>
      <c r="F26" s="1">
        <v>4230</v>
      </c>
      <c r="G26" s="1">
        <v>4290</v>
      </c>
      <c r="H26" s="1">
        <v>4270</v>
      </c>
      <c r="I26" s="1">
        <v>4663</v>
      </c>
      <c r="J26" s="1">
        <v>4272</v>
      </c>
      <c r="K26" s="1">
        <v>4666</v>
      </c>
      <c r="L26" s="1">
        <v>4800</v>
      </c>
      <c r="M26" s="1">
        <v>4663</v>
      </c>
      <c r="N26" s="1">
        <v>4778</v>
      </c>
      <c r="O26" s="1">
        <v>4836</v>
      </c>
      <c r="P26" s="1">
        <v>4836</v>
      </c>
      <c r="Q26" s="1">
        <v>4836</v>
      </c>
      <c r="R26" s="1">
        <v>4836</v>
      </c>
      <c r="V26" s="1">
        <v>4190</v>
      </c>
      <c r="W26" s="1">
        <v>4210</v>
      </c>
      <c r="X26" s="1">
        <v>4290</v>
      </c>
      <c r="Y26" s="1">
        <v>4230</v>
      </c>
      <c r="Z26" s="1">
        <v>4272</v>
      </c>
      <c r="AA26" s="1">
        <v>4778</v>
      </c>
      <c r="AB26" s="1">
        <f>AVERAGE(O26:R26)</f>
        <v>4836</v>
      </c>
    </row>
    <row r="27" spans="2:151" s="5" customFormat="1" x14ac:dyDescent="0.2">
      <c r="B27" s="19" t="s">
        <v>40</v>
      </c>
      <c r="C27" s="5">
        <f>+C25/C26</f>
        <v>0.57622377622377619</v>
      </c>
      <c r="D27" s="5">
        <f>+D25/D26</f>
        <v>0.61084905660377353</v>
      </c>
      <c r="E27" s="5">
        <f>+E25/E26</f>
        <v>0.71488372093023256</v>
      </c>
      <c r="F27" s="5">
        <f>+F25/F26</f>
        <v>0.79408983451536641</v>
      </c>
      <c r="G27" s="5">
        <f>+G25/G26</f>
        <v>0.87972027972027977</v>
      </c>
      <c r="H27" s="5">
        <f>+H25/H26</f>
        <v>0.81522248243559714</v>
      </c>
      <c r="I27" s="5">
        <f>+I25/I26</f>
        <v>0.70834226892558438</v>
      </c>
      <c r="J27" s="5">
        <f>+J25/J26</f>
        <v>0.82490636704119846</v>
      </c>
      <c r="K27" s="5">
        <f>+K25/K26</f>
        <v>0.28396913844834976</v>
      </c>
      <c r="L27" s="5">
        <f>+L25/L26</f>
        <v>0.44187500000000002</v>
      </c>
      <c r="M27" s="5">
        <f>+M25/M26</f>
        <v>-0.40210165129744802</v>
      </c>
      <c r="N27" s="5">
        <f>+N25/N26</f>
        <v>0.90498116366680614</v>
      </c>
      <c r="O27" s="5">
        <f>+O25/O26</f>
        <v>1.1379239040529363</v>
      </c>
      <c r="P27" s="5">
        <f t="shared" ref="P27:R27" si="49">+P25/P26</f>
        <v>0.9362391439205956</v>
      </c>
      <c r="Q27" s="5">
        <f t="shared" si="49"/>
        <v>0.99475732009925566</v>
      </c>
      <c r="R27" s="5">
        <f t="shared" si="49"/>
        <v>1.1710943548387096</v>
      </c>
      <c r="V27" s="5">
        <f>+V25/V26</f>
        <v>0.64319809069212408</v>
      </c>
      <c r="W27" s="5">
        <f>+W25/W26</f>
        <v>0.63254156769596204</v>
      </c>
      <c r="X27" s="5">
        <f>+X25/X26</f>
        <v>1.5701631701631702</v>
      </c>
      <c r="Y27" s="5">
        <f>+Y25/Y26</f>
        <v>2.7174940898345152</v>
      </c>
      <c r="Z27" s="5">
        <f>+Z25/Z26</f>
        <v>3.2963483146067416</v>
      </c>
      <c r="AA27" s="5">
        <f>+AA25/AA26</f>
        <v>1.2337798241942235</v>
      </c>
      <c r="AB27" s="5">
        <f>+AB25/AB26</f>
        <v>4.2400147229114973</v>
      </c>
    </row>
    <row r="28" spans="2:151" s="1" customFormat="1" x14ac:dyDescent="0.2">
      <c r="B28" s="15"/>
    </row>
    <row r="29" spans="2:151" s="1" customFormat="1" x14ac:dyDescent="0.2">
      <c r="B29" s="15"/>
    </row>
    <row r="30" spans="2:151" s="1" customFormat="1" x14ac:dyDescent="0.2">
      <c r="B30" s="15"/>
    </row>
    <row r="31" spans="2:151" s="1" customFormat="1" x14ac:dyDescent="0.2">
      <c r="B31" s="15"/>
    </row>
    <row r="32" spans="2:151" s="1" customFormat="1" x14ac:dyDescent="0.2">
      <c r="B32" s="15"/>
    </row>
    <row r="33" spans="2:47" s="6" customFormat="1" x14ac:dyDescent="0.2">
      <c r="B33" s="20" t="s">
        <v>44</v>
      </c>
      <c r="G33" s="6">
        <f t="shared" ref="G33:M33" si="50">+G9/C9-1</f>
        <v>0.15689073449260316</v>
      </c>
      <c r="H33" s="6">
        <f t="shared" si="50"/>
        <v>7.774898185857082E-2</v>
      </c>
      <c r="I33" s="6">
        <f>+H9/E9-1</f>
        <v>3.1781663516068148E-2</v>
      </c>
      <c r="J33" s="6">
        <f>+I9/F9-1</f>
        <v>-6.0470324748039816E-3</v>
      </c>
      <c r="K33" s="6">
        <f t="shared" si="50"/>
        <v>0.34167134043746494</v>
      </c>
      <c r="L33" s="6">
        <f t="shared" si="50"/>
        <v>0.42986373525707089</v>
      </c>
      <c r="M33" s="6">
        <f t="shared" si="50"/>
        <v>0.47273546642631814</v>
      </c>
      <c r="N33" s="6">
        <f>+N9/J9-1</f>
        <v>0.51199569661108124</v>
      </c>
      <c r="O33" s="6">
        <f>+O9/K9-1</f>
        <v>0.24705292199648854</v>
      </c>
      <c r="P33" s="6">
        <f>+P9/L9-1</f>
        <v>0.19324097060943379</v>
      </c>
      <c r="Q33" s="6">
        <f t="shared" ref="Q33:R33" si="51">+Q9/M9-1</f>
        <v>0.14999999999999991</v>
      </c>
      <c r="R33" s="6">
        <f t="shared" si="51"/>
        <v>0.14999999999999991</v>
      </c>
      <c r="W33" s="6">
        <f t="shared" ref="W33:AA33" si="52">W9/V9-1</f>
        <v>5.7131477629773775E-2</v>
      </c>
      <c r="X33" s="6">
        <f t="shared" si="52"/>
        <v>0.14911252511721362</v>
      </c>
      <c r="Y33" s="6">
        <f t="shared" si="52"/>
        <v>0.20958105646630232</v>
      </c>
      <c r="Z33" s="6">
        <f t="shared" si="52"/>
        <v>7.8788061319760239E-2</v>
      </c>
      <c r="AA33" s="6">
        <f>AA9/Z9-1</f>
        <v>0.43985035874815037</v>
      </c>
      <c r="AB33" s="6">
        <f t="shared" ref="AB33:AQ33" si="53">AB9/AA9-1</f>
        <v>0.18297785705975889</v>
      </c>
      <c r="AC33" s="6">
        <f t="shared" si="53"/>
        <v>0.17999999999999994</v>
      </c>
      <c r="AD33" s="6">
        <f t="shared" si="53"/>
        <v>0.17999999999999994</v>
      </c>
      <c r="AE33" s="6">
        <f t="shared" si="53"/>
        <v>0.10000000000000009</v>
      </c>
      <c r="AF33" s="6">
        <f t="shared" si="53"/>
        <v>3.0000000000000027E-2</v>
      </c>
      <c r="AG33" s="6">
        <f t="shared" si="53"/>
        <v>3.0000000000000027E-2</v>
      </c>
      <c r="AH33" s="6">
        <f t="shared" si="53"/>
        <v>3.0000000000000027E-2</v>
      </c>
      <c r="AI33" s="6">
        <f t="shared" si="53"/>
        <v>3.0000000000000027E-2</v>
      </c>
      <c r="AJ33" s="6">
        <f t="shared" si="53"/>
        <v>3.0000000000000027E-2</v>
      </c>
      <c r="AK33" s="6">
        <f t="shared" si="53"/>
        <v>3.0000000000000027E-2</v>
      </c>
      <c r="AL33" s="6">
        <f t="shared" si="53"/>
        <v>3.0000000000000027E-2</v>
      </c>
      <c r="AM33" s="6">
        <f t="shared" si="53"/>
        <v>3.0000000000000027E-2</v>
      </c>
      <c r="AN33" s="6">
        <f t="shared" si="53"/>
        <v>3.0000000000000027E-2</v>
      </c>
      <c r="AO33" s="6">
        <f t="shared" si="53"/>
        <v>3.0000000000000027E-2</v>
      </c>
      <c r="AP33" s="6">
        <f t="shared" si="53"/>
        <v>3.0000000000000027E-2</v>
      </c>
      <c r="AQ33" s="6">
        <f t="shared" si="53"/>
        <v>3.0000000000000027E-2</v>
      </c>
    </row>
    <row r="34" spans="2:47" s="6" customFormat="1" x14ac:dyDescent="0.2">
      <c r="B34" s="20"/>
    </row>
    <row r="35" spans="2:47" s="6" customFormat="1" x14ac:dyDescent="0.2">
      <c r="B35" s="20" t="s">
        <v>42</v>
      </c>
      <c r="C35" s="6">
        <f t="shared" ref="C35:G35" si="54">+(C7-C10)/C7</f>
        <v>0.70774822402114657</v>
      </c>
      <c r="D35" s="6">
        <f t="shared" si="54"/>
        <v>0.71980676328502413</v>
      </c>
      <c r="E35" s="6">
        <f t="shared" si="54"/>
        <v>0.71012524520899356</v>
      </c>
      <c r="F35" s="6">
        <f t="shared" si="54"/>
        <v>0.70181058495821724</v>
      </c>
      <c r="G35" s="6">
        <f t="shared" ref="G35:N35" si="55">+(G7-G10)/G7</f>
        <v>0.68582321378141764</v>
      </c>
      <c r="H35" s="6">
        <f t="shared" si="55"/>
        <v>0.70048954161103694</v>
      </c>
      <c r="I35" s="6">
        <f>+(H7-H10)/H7</f>
        <v>0.70048954161103694</v>
      </c>
      <c r="J35" s="6">
        <f>+(I7-I10)/I7</f>
        <v>0.69538817406390052</v>
      </c>
      <c r="K35" s="6">
        <f t="shared" si="55"/>
        <v>0.70858067997841334</v>
      </c>
      <c r="L35" s="6">
        <f t="shared" si="55"/>
        <v>0.66226362625139046</v>
      </c>
      <c r="M35" s="6">
        <f t="shared" ref="M35" si="56">+(M7-M10)/M7</f>
        <v>0.67280548460814626</v>
      </c>
      <c r="N35" s="6">
        <f>+(N7-N10)/N7</f>
        <v>0.66642616642616648</v>
      </c>
      <c r="O35" s="6">
        <f>+(O7-O10)/O7</f>
        <v>0.67041977726104518</v>
      </c>
      <c r="V35" s="6">
        <f>+(V7-V10)/V7</f>
        <v>0.65733841143677207</v>
      </c>
      <c r="W35" s="6">
        <f>+(W7-W10)/W7</f>
        <v>0.66205907657011753</v>
      </c>
      <c r="X35" s="6">
        <f>+(X7-X10)/X7</f>
        <v>0.68615340419419713</v>
      </c>
      <c r="Y35" s="6">
        <f>+(Y7-Y10)/Y7</f>
        <v>0.70967005365909352</v>
      </c>
      <c r="Z35" s="6">
        <f>+(Z7-Z10)/Z7</f>
        <v>0.69036606790721022</v>
      </c>
      <c r="AA35" s="6">
        <f>+(AA7-AA10)/AA7</f>
        <v>0.67729503606838171</v>
      </c>
    </row>
    <row r="36" spans="2:47" s="6" customFormat="1" x14ac:dyDescent="0.2">
      <c r="B36" s="20" t="s">
        <v>43</v>
      </c>
      <c r="C36" s="6">
        <f t="shared" ref="C36:G36" si="57">+(C8-C11)/C8</f>
        <v>0.90562613430127037</v>
      </c>
      <c r="D36" s="6">
        <f t="shared" si="57"/>
        <v>0.90628706998813757</v>
      </c>
      <c r="E36" s="6">
        <f t="shared" si="57"/>
        <v>0.91507893304300492</v>
      </c>
      <c r="F36" s="6">
        <f t="shared" si="57"/>
        <v>0.91028571428571425</v>
      </c>
      <c r="G36" s="6">
        <f t="shared" ref="G36:N36" si="58">+(G8-G11)/G8</f>
        <v>0.91871249318057824</v>
      </c>
      <c r="H36" s="6">
        <f t="shared" si="58"/>
        <v>0.92068273092369479</v>
      </c>
      <c r="I36" s="6">
        <f>+(H8-H11)/H8</f>
        <v>0.92068273092369479</v>
      </c>
      <c r="J36" s="6">
        <f>+(I8-I11)/I8</f>
        <v>0.91577335375191427</v>
      </c>
      <c r="K36" s="6">
        <f t="shared" si="58"/>
        <v>0.7902835788085294</v>
      </c>
      <c r="L36" s="6">
        <f t="shared" si="58"/>
        <v>0.86534466477809258</v>
      </c>
      <c r="M36" s="6">
        <f t="shared" ref="M36" si="59">+(M8-M11)/M8</f>
        <v>0.87590981714894367</v>
      </c>
      <c r="N36" s="6">
        <f>+(N8-N11)/N8</f>
        <v>0.89107703032415475</v>
      </c>
      <c r="O36" s="6">
        <f>+(O8-O11)/O8</f>
        <v>0.91401037805782059</v>
      </c>
      <c r="V36" s="6">
        <f>+(V8-V11)/V8</f>
        <v>0.8850446428571429</v>
      </c>
      <c r="W36" s="6">
        <f>+(W8-W11)/W8</f>
        <v>0.90299085696575232</v>
      </c>
      <c r="X36" s="6">
        <f>+(X8-X11)/X8</f>
        <v>0.90752589884216939</v>
      </c>
      <c r="Y36" s="6">
        <f>+(Y8-Y11)/Y8</f>
        <v>0.90947155645394162</v>
      </c>
      <c r="Z36" s="6">
        <f>+(Z8-Z11)/Z8</f>
        <v>0.91977800201816351</v>
      </c>
      <c r="AA36" s="6">
        <f>+(AA8-AA11)/AA8</f>
        <v>0.85901484798491634</v>
      </c>
    </row>
    <row r="37" spans="2:47" s="6" customFormat="1" x14ac:dyDescent="0.2">
      <c r="B37" s="20"/>
    </row>
    <row r="38" spans="2:47" s="6" customFormat="1" x14ac:dyDescent="0.2">
      <c r="B38" s="20" t="s">
        <v>175</v>
      </c>
      <c r="G38" s="6">
        <f t="shared" ref="G38:P38" si="60">G7/C7-1</f>
        <v>0.16999834792664803</v>
      </c>
      <c r="H38" s="6">
        <f t="shared" si="60"/>
        <v>5.0490883590462943E-2</v>
      </c>
      <c r="I38" s="6">
        <f t="shared" si="60"/>
        <v>4.376037422664858E-2</v>
      </c>
      <c r="J38" s="6">
        <f t="shared" si="60"/>
        <v>-4.0389972144846409E-3</v>
      </c>
      <c r="K38" s="6">
        <f t="shared" si="60"/>
        <v>4.6597006495340265E-2</v>
      </c>
      <c r="L38" s="6">
        <f t="shared" si="60"/>
        <v>6.6904020175048151E-2</v>
      </c>
      <c r="M38" s="6">
        <f t="shared" si="60"/>
        <v>7.5466242590718435E-2</v>
      </c>
      <c r="N38" s="6">
        <f t="shared" si="60"/>
        <v>0.1629142777233954</v>
      </c>
      <c r="O38" s="6">
        <f t="shared" si="60"/>
        <v>0.10240151106314088</v>
      </c>
      <c r="W38" s="6">
        <f t="shared" ref="W38:AA38" si="61">W7/V7-1</f>
        <v>-3.7644201578627801E-2</v>
      </c>
      <c r="X38" s="6">
        <f t="shared" si="61"/>
        <v>0.19793518784055064</v>
      </c>
      <c r="Y38" s="6">
        <f t="shared" si="61"/>
        <v>0.25811548405630558</v>
      </c>
      <c r="Z38" s="6">
        <f t="shared" si="61"/>
        <v>6.1422536819271567E-2</v>
      </c>
      <c r="AA38" s="6">
        <f t="shared" si="61"/>
        <v>8.8487325660607352E-2</v>
      </c>
    </row>
    <row r="39" spans="2:47" s="6" customFormat="1" x14ac:dyDescent="0.2">
      <c r="B39" s="20" t="s">
        <v>176</v>
      </c>
      <c r="G39" s="6">
        <f t="shared" ref="G39:N39" si="62">G8/C8-1</f>
        <v>0.1088929219600725</v>
      </c>
      <c r="H39" s="6">
        <f t="shared" si="62"/>
        <v>0.18149466192170816</v>
      </c>
      <c r="I39" s="6">
        <f t="shared" si="62"/>
        <v>6.6412629286880742E-2</v>
      </c>
      <c r="J39" s="6">
        <f t="shared" si="62"/>
        <v>0.22514285714285709</v>
      </c>
      <c r="K39" s="6">
        <f t="shared" si="62"/>
        <v>1.481723949809056</v>
      </c>
      <c r="L39" s="6">
        <f t="shared" si="62"/>
        <v>1.6581325301204819</v>
      </c>
      <c r="M39" s="6">
        <f t="shared" si="62"/>
        <v>1.8754466564573762</v>
      </c>
      <c r="N39" s="6">
        <f t="shared" si="62"/>
        <v>1.6763059701492535</v>
      </c>
      <c r="O39" s="6">
        <f>O8/K8-1</f>
        <v>0.48274346010112112</v>
      </c>
      <c r="W39" s="6">
        <f t="shared" ref="W39:AA39" si="63">W8/V8-1</f>
        <v>0.44040178571428568</v>
      </c>
      <c r="X39" s="6">
        <f t="shared" si="63"/>
        <v>1.7201301720130235E-2</v>
      </c>
      <c r="Y39" s="6">
        <f t="shared" si="63"/>
        <v>5.5149299207800206E-2</v>
      </c>
      <c r="Z39" s="6">
        <f t="shared" si="63"/>
        <v>0.14467224949465773</v>
      </c>
      <c r="AA39" s="6">
        <f>AA8/Z8-1</f>
        <v>1.6759586276488396</v>
      </c>
    </row>
    <row r="40" spans="2:47" s="6" customFormat="1" x14ac:dyDescent="0.2">
      <c r="B40" s="20"/>
      <c r="AT40" s="6" t="s">
        <v>187</v>
      </c>
      <c r="AU40" s="6">
        <v>0.01</v>
      </c>
    </row>
    <row r="41" spans="2:47" s="6" customFormat="1" x14ac:dyDescent="0.2">
      <c r="B41" s="20" t="s">
        <v>181</v>
      </c>
      <c r="G41" s="6">
        <f t="shared" ref="G41:N41" si="64">+G14/C14-1</f>
        <v>-0.21650399290150846</v>
      </c>
      <c r="H41" s="6">
        <f t="shared" si="64"/>
        <v>-0.28597285067873301</v>
      </c>
      <c r="I41" s="6">
        <f t="shared" si="64"/>
        <v>-0.25845864661654139</v>
      </c>
      <c r="J41" s="6">
        <f t="shared" si="64"/>
        <v>-0.26058325493885226</v>
      </c>
      <c r="K41" s="6">
        <f t="shared" si="64"/>
        <v>1.4597961494903737</v>
      </c>
      <c r="L41" s="6">
        <f t="shared" si="64"/>
        <v>1.9695817490494298</v>
      </c>
      <c r="M41" s="6">
        <f t="shared" si="64"/>
        <v>1.961977186311787</v>
      </c>
      <c r="N41" s="6">
        <f t="shared" si="64"/>
        <v>2.0725190839694658</v>
      </c>
      <c r="O41" s="6">
        <f>+O14/K14-1</f>
        <v>-8.1491712707182362E-2</v>
      </c>
      <c r="P41" s="6">
        <f t="shared" ref="P41:R41" si="65">+P14/L14-1</f>
        <v>-9.9999999999999867E-2</v>
      </c>
      <c r="Q41" s="6">
        <f t="shared" si="65"/>
        <v>-9.9999999999999867E-2</v>
      </c>
      <c r="R41" s="6">
        <f t="shared" si="65"/>
        <v>-9.9999999999999978E-2</v>
      </c>
      <c r="W41" s="6">
        <f t="shared" ref="W41:AA41" si="66">W14/V14-1</f>
        <v>0.19339984650805842</v>
      </c>
      <c r="X41" s="6">
        <f t="shared" si="66"/>
        <v>-0.13135048231511259</v>
      </c>
      <c r="Y41" s="6">
        <f t="shared" si="66"/>
        <v>-0.19322598556357584</v>
      </c>
      <c r="Z41" s="6">
        <f t="shared" si="66"/>
        <v>-0.25510438173893091</v>
      </c>
      <c r="AA41" s="6">
        <f>AA14/Z14-1</f>
        <v>1.8540190945488142</v>
      </c>
      <c r="AB41" s="6">
        <f t="shared" ref="AB41:AQ41" si="67">AB14/AA14-1</f>
        <v>-9.5662026545807688E-2</v>
      </c>
      <c r="AC41" s="6">
        <f t="shared" si="67"/>
        <v>5.0000000000000044E-2</v>
      </c>
      <c r="AD41" s="6">
        <f t="shared" si="67"/>
        <v>5.0000000000000044E-2</v>
      </c>
      <c r="AE41" s="6">
        <f t="shared" si="67"/>
        <v>5.0000000000000044E-2</v>
      </c>
      <c r="AF41" s="6">
        <f t="shared" si="67"/>
        <v>5.0000000000000044E-2</v>
      </c>
      <c r="AG41" s="6">
        <f t="shared" si="67"/>
        <v>5.0000000000000044E-2</v>
      </c>
      <c r="AH41" s="6">
        <f t="shared" si="67"/>
        <v>5.0000000000000044E-2</v>
      </c>
      <c r="AI41" s="6">
        <f t="shared" si="67"/>
        <v>5.0000000000000044E-2</v>
      </c>
      <c r="AJ41" s="6">
        <f t="shared" si="67"/>
        <v>5.0000000000000044E-2</v>
      </c>
      <c r="AK41" s="6">
        <f t="shared" si="67"/>
        <v>5.0000000000000044E-2</v>
      </c>
      <c r="AL41" s="6">
        <f t="shared" si="67"/>
        <v>5.0000000000000044E-2</v>
      </c>
      <c r="AM41" s="6">
        <f t="shared" si="67"/>
        <v>5.0000000000000044E-2</v>
      </c>
      <c r="AN41" s="6">
        <f t="shared" si="67"/>
        <v>5.0000000000000044E-2</v>
      </c>
      <c r="AO41" s="6">
        <f t="shared" si="67"/>
        <v>5.0000000000000044E-2</v>
      </c>
      <c r="AP41" s="6">
        <f t="shared" si="67"/>
        <v>5.0000000000000044E-2</v>
      </c>
      <c r="AQ41" s="6">
        <f t="shared" si="67"/>
        <v>5.0000000000000044E-2</v>
      </c>
      <c r="AT41" s="6" t="s">
        <v>182</v>
      </c>
      <c r="AU41" s="6">
        <v>-0.03</v>
      </c>
    </row>
    <row r="42" spans="2:47" s="6" customFormat="1" x14ac:dyDescent="0.2">
      <c r="B42" s="20" t="s">
        <v>179</v>
      </c>
      <c r="G42" s="6">
        <f t="shared" ref="G42:N42" si="68">G16/C16-1</f>
        <v>-9.121061359867344E-3</v>
      </c>
      <c r="H42" s="6">
        <f t="shared" si="68"/>
        <v>4.0444091990483821E-2</v>
      </c>
      <c r="I42" s="6">
        <f t="shared" si="68"/>
        <v>8.2071713147410463E-2</v>
      </c>
      <c r="J42" s="6">
        <f t="shared" si="68"/>
        <v>0.15956558061821213</v>
      </c>
      <c r="K42" s="6">
        <f t="shared" si="68"/>
        <v>0.93138075313807533</v>
      </c>
      <c r="L42" s="6">
        <f t="shared" si="68"/>
        <v>0.84070121951219523</v>
      </c>
      <c r="M42" s="6">
        <f t="shared" si="68"/>
        <v>0.73269513991163482</v>
      </c>
      <c r="N42" s="6">
        <f t="shared" si="68"/>
        <v>0.60951008645533133</v>
      </c>
      <c r="O42" s="6">
        <f>O16/K16-1</f>
        <v>-2.3830155979202794E-2</v>
      </c>
      <c r="P42" s="6">
        <f t="shared" ref="P42:R43" si="69">P16/L16-1</f>
        <v>-9.9999999999999978E-2</v>
      </c>
      <c r="Q42" s="6">
        <f t="shared" si="69"/>
        <v>-9.9999999999999867E-2</v>
      </c>
      <c r="R42" s="6">
        <f t="shared" si="69"/>
        <v>-9.9999999999999978E-2</v>
      </c>
      <c r="W42" s="6">
        <f t="shared" ref="W42:AA42" si="70">W16/V16-1</f>
        <v>5.7921635434412311E-2</v>
      </c>
      <c r="X42" s="6">
        <f t="shared" si="70"/>
        <v>-2.2946859903381633E-2</v>
      </c>
      <c r="Y42" s="6">
        <f t="shared" si="70"/>
        <v>1.339101771734641E-2</v>
      </c>
      <c r="Z42" s="6">
        <f t="shared" si="70"/>
        <v>6.7899979670664745E-2</v>
      </c>
      <c r="AA42" s="6">
        <f>AA16/Z16-1</f>
        <v>0.77232057871692361</v>
      </c>
      <c r="AB42" s="6">
        <f t="shared" ref="AB42:AQ42" si="71">AB16/AA16-1</f>
        <v>-8.111707841031135E-2</v>
      </c>
      <c r="AC42" s="6">
        <f t="shared" si="71"/>
        <v>0.10000000000000009</v>
      </c>
      <c r="AD42" s="6">
        <f t="shared" si="71"/>
        <v>0.10000000000000009</v>
      </c>
      <c r="AE42" s="6">
        <f t="shared" si="71"/>
        <v>0.10000000000000009</v>
      </c>
      <c r="AF42" s="6">
        <f t="shared" si="71"/>
        <v>-3.0000000000000027E-2</v>
      </c>
      <c r="AG42" s="6">
        <f t="shared" si="71"/>
        <v>-2.9999999999999916E-2</v>
      </c>
      <c r="AH42" s="6">
        <f t="shared" si="71"/>
        <v>-3.0000000000000138E-2</v>
      </c>
      <c r="AI42" s="6">
        <f t="shared" si="71"/>
        <v>-3.0000000000000138E-2</v>
      </c>
      <c r="AJ42" s="6">
        <f t="shared" si="71"/>
        <v>-3.0000000000000027E-2</v>
      </c>
      <c r="AK42" s="6">
        <f t="shared" si="71"/>
        <v>-3.0000000000000027E-2</v>
      </c>
      <c r="AL42" s="6">
        <f t="shared" si="71"/>
        <v>-3.0000000000000027E-2</v>
      </c>
      <c r="AM42" s="6">
        <f t="shared" si="71"/>
        <v>-3.0000000000000027E-2</v>
      </c>
      <c r="AN42" s="6">
        <f t="shared" si="71"/>
        <v>-3.0000000000000027E-2</v>
      </c>
      <c r="AO42" s="6">
        <f t="shared" si="71"/>
        <v>-3.0000000000000027E-2</v>
      </c>
      <c r="AP42" s="6">
        <f t="shared" si="71"/>
        <v>-3.0000000000000027E-2</v>
      </c>
      <c r="AQ42" s="6">
        <f t="shared" si="71"/>
        <v>-3.0000000000000027E-2</v>
      </c>
      <c r="AT42" s="6" t="s">
        <v>183</v>
      </c>
      <c r="AU42" s="6">
        <v>6.5000000000000002E-2</v>
      </c>
    </row>
    <row r="43" spans="2:47" s="6" customFormat="1" x14ac:dyDescent="0.2">
      <c r="B43" s="20" t="s">
        <v>180</v>
      </c>
      <c r="G43" s="6">
        <f t="shared" ref="G43:O43" si="72">G17/C17-1</f>
        <v>8.4112149532710179E-2</v>
      </c>
      <c r="H43" s="6">
        <f t="shared" si="72"/>
        <v>0.19021739130434789</v>
      </c>
      <c r="I43" s="6">
        <f t="shared" si="72"/>
        <v>0.20123839009287936</v>
      </c>
      <c r="J43" s="6">
        <f t="shared" si="72"/>
        <v>0.12972972972972974</v>
      </c>
      <c r="K43" s="6">
        <f t="shared" si="72"/>
        <v>3.5172413793103452</v>
      </c>
      <c r="L43" s="6">
        <f t="shared" si="72"/>
        <v>1.9155251141552512</v>
      </c>
      <c r="M43" s="6">
        <f t="shared" si="72"/>
        <v>1.8350515463917527</v>
      </c>
      <c r="N43" s="6">
        <f t="shared" si="72"/>
        <v>1.4162679425837319</v>
      </c>
      <c r="O43" s="6">
        <f t="shared" si="72"/>
        <v>-0.39631043256997456</v>
      </c>
      <c r="P43" s="6">
        <f t="shared" si="69"/>
        <v>-5.0000000000000155E-2</v>
      </c>
      <c r="Q43" s="6">
        <f t="shared" si="69"/>
        <v>-5.0000000000000044E-2</v>
      </c>
      <c r="R43" s="6">
        <f t="shared" si="69"/>
        <v>-5.0000000000000044E-2</v>
      </c>
      <c r="W43" s="6">
        <f t="shared" ref="W43:AA43" si="73">W17/V17-1</f>
        <v>0.13224107665301355</v>
      </c>
      <c r="X43" s="6">
        <f t="shared" si="73"/>
        <v>-0.30387596899224811</v>
      </c>
      <c r="Y43" s="6">
        <f t="shared" si="73"/>
        <v>2.5983667409057221E-2</v>
      </c>
      <c r="Z43" s="6">
        <f t="shared" si="73"/>
        <v>0.15195369030390737</v>
      </c>
      <c r="AA43" s="6">
        <f t="shared" si="73"/>
        <v>2.1149497487437188</v>
      </c>
      <c r="AB43" s="6">
        <f t="shared" ref="AB43:AQ43" si="74">AB17/AA17-1</f>
        <v>-0.15978019762048812</v>
      </c>
      <c r="AC43" s="6">
        <f t="shared" si="74"/>
        <v>0.14999999999999991</v>
      </c>
      <c r="AD43" s="6">
        <f t="shared" si="74"/>
        <v>0.14999999999999991</v>
      </c>
      <c r="AE43" s="6">
        <f t="shared" si="74"/>
        <v>0.14999999999999991</v>
      </c>
      <c r="AF43" s="6">
        <f t="shared" si="74"/>
        <v>0.14999999999999991</v>
      </c>
      <c r="AG43" s="6">
        <f t="shared" si="74"/>
        <v>-3.0000000000000027E-2</v>
      </c>
      <c r="AH43" s="6">
        <f t="shared" si="74"/>
        <v>-3.0000000000000027E-2</v>
      </c>
      <c r="AI43" s="6">
        <f t="shared" si="74"/>
        <v>-3.0000000000000138E-2</v>
      </c>
      <c r="AJ43" s="6">
        <f t="shared" si="74"/>
        <v>-2.9999999999999916E-2</v>
      </c>
      <c r="AK43" s="6">
        <f t="shared" si="74"/>
        <v>-3.0000000000000027E-2</v>
      </c>
      <c r="AL43" s="6">
        <f t="shared" si="74"/>
        <v>-3.0000000000000027E-2</v>
      </c>
      <c r="AM43" s="6">
        <f t="shared" si="74"/>
        <v>-3.0000000000000027E-2</v>
      </c>
      <c r="AN43" s="6">
        <f t="shared" si="74"/>
        <v>-2.9999999999999916E-2</v>
      </c>
      <c r="AO43" s="6">
        <f t="shared" si="74"/>
        <v>-3.0000000000000027E-2</v>
      </c>
      <c r="AP43" s="6">
        <f t="shared" si="74"/>
        <v>-3.0000000000000027E-2</v>
      </c>
      <c r="AQ43" s="6">
        <f t="shared" si="74"/>
        <v>-3.0000000000000027E-2</v>
      </c>
      <c r="AT43" s="6" t="s">
        <v>184</v>
      </c>
      <c r="AU43" s="1">
        <f>NPV(AU42,AB25:EU25)</f>
        <v>642694.65725008619</v>
      </c>
    </row>
    <row r="44" spans="2:47" s="6" customFormat="1" x14ac:dyDescent="0.2">
      <c r="AT44" s="6" t="s">
        <v>1</v>
      </c>
      <c r="AU44" s="1">
        <v>4687.3559999999998</v>
      </c>
    </row>
    <row r="45" spans="2:47" s="6" customFormat="1" x14ac:dyDescent="0.2">
      <c r="B45" s="20"/>
      <c r="AT45" s="6" t="s">
        <v>0</v>
      </c>
      <c r="AU45" s="1">
        <f>+AU43/AU44</f>
        <v>137.11240563978632</v>
      </c>
    </row>
    <row r="46" spans="2:47" s="6" customFormat="1" x14ac:dyDescent="0.2">
      <c r="B46" s="20" t="s">
        <v>41</v>
      </c>
      <c r="C46" s="6">
        <f t="shared" ref="C46:G46" si="75">+C13/C9</f>
        <v>0.7501946535167402</v>
      </c>
      <c r="D46" s="6">
        <f t="shared" si="75"/>
        <v>0.75860792299148461</v>
      </c>
      <c r="E46" s="6">
        <f t="shared" si="75"/>
        <v>0.75460775047258977</v>
      </c>
      <c r="F46" s="6">
        <f t="shared" si="75"/>
        <v>0.7426651735722285</v>
      </c>
      <c r="G46" s="6">
        <f t="shared" ref="G46:N46" si="76">+G13/G9</f>
        <v>0.7337072349971957</v>
      </c>
      <c r="H46" s="6">
        <f t="shared" si="76"/>
        <v>0.75071567617084622</v>
      </c>
      <c r="I46" s="6">
        <f>+H13/H9</f>
        <v>0.75071567617084622</v>
      </c>
      <c r="J46" s="6">
        <f>+I13/I9</f>
        <v>0.74402884182063989</v>
      </c>
      <c r="K46" s="6">
        <f t="shared" si="76"/>
        <v>0.73965387509405567</v>
      </c>
      <c r="L46" s="6">
        <f t="shared" si="76"/>
        <v>0.74837831344598382</v>
      </c>
      <c r="M46" s="6">
        <f t="shared" ref="M46" si="77">+M13/M9</f>
        <v>0.76032741738066101</v>
      </c>
      <c r="N46" s="6">
        <f>+N13/N9</f>
        <v>0.75814714671979511</v>
      </c>
      <c r="O46" s="6">
        <f>+O13/O9</f>
        <v>0.78057119871279168</v>
      </c>
      <c r="P46" s="6">
        <f>+P13/P9</f>
        <v>0.78</v>
      </c>
      <c r="V46" s="6">
        <f>+V13/V9</f>
        <v>0.70248263043766868</v>
      </c>
      <c r="W46" s="6">
        <f>+W13/W9</f>
        <v>0.72714333556597455</v>
      </c>
      <c r="X46" s="6">
        <f>+X13/X9</f>
        <v>0.73908925318761387</v>
      </c>
      <c r="Y46" s="6">
        <f>+Y13/Y9</f>
        <v>0.75134776977983919</v>
      </c>
      <c r="Z46" s="6">
        <f>+Z13/Z9</f>
        <v>0.74114296881543318</v>
      </c>
      <c r="AA46" s="6">
        <f>+AA13/AA9</f>
        <v>0.75204560437429713</v>
      </c>
      <c r="AB46" s="6">
        <f t="shared" ref="AB46:AQ46" si="78">+AB13/AB9</f>
        <v>0.78013964717779938</v>
      </c>
      <c r="AC46" s="6">
        <f t="shared" si="78"/>
        <v>0.75</v>
      </c>
      <c r="AD46" s="6">
        <f t="shared" si="78"/>
        <v>0.75</v>
      </c>
      <c r="AE46" s="6">
        <f t="shared" si="78"/>
        <v>0.75</v>
      </c>
      <c r="AF46" s="6">
        <f t="shared" si="78"/>
        <v>0.75000000000000011</v>
      </c>
      <c r="AG46" s="6">
        <f t="shared" si="78"/>
        <v>0.75</v>
      </c>
      <c r="AH46" s="6">
        <f t="shared" si="78"/>
        <v>0.75</v>
      </c>
      <c r="AI46" s="6">
        <f t="shared" si="78"/>
        <v>0.75000000000000011</v>
      </c>
      <c r="AJ46" s="6">
        <f t="shared" si="78"/>
        <v>0.75</v>
      </c>
      <c r="AK46" s="6">
        <f t="shared" si="78"/>
        <v>0.75</v>
      </c>
      <c r="AL46" s="6">
        <f t="shared" si="78"/>
        <v>0.75</v>
      </c>
      <c r="AM46" s="6">
        <f t="shared" si="78"/>
        <v>0.75</v>
      </c>
      <c r="AN46" s="6">
        <f t="shared" si="78"/>
        <v>0.75</v>
      </c>
      <c r="AO46" s="6">
        <f t="shared" si="78"/>
        <v>0.75</v>
      </c>
      <c r="AP46" s="6">
        <f t="shared" si="78"/>
        <v>0.75000000000000011</v>
      </c>
      <c r="AQ46" s="6">
        <f t="shared" si="78"/>
        <v>0.75</v>
      </c>
      <c r="AT46" s="6" t="s">
        <v>185</v>
      </c>
      <c r="AU46">
        <v>195.68</v>
      </c>
    </row>
    <row r="47" spans="2:47" s="6" customFormat="1" x14ac:dyDescent="0.2">
      <c r="B47" s="20" t="s">
        <v>46</v>
      </c>
      <c r="C47" s="6">
        <f t="shared" ref="C47:G47" si="79">+C19/C9</f>
        <v>0.40332208668569947</v>
      </c>
      <c r="D47" s="6">
        <f t="shared" si="79"/>
        <v>0.41885721337776133</v>
      </c>
      <c r="E47" s="6">
        <f t="shared" si="79"/>
        <v>0.44151701323251419</v>
      </c>
      <c r="F47" s="6">
        <f t="shared" si="79"/>
        <v>0.4463605823068309</v>
      </c>
      <c r="G47" s="6">
        <f t="shared" ref="G47:N47" si="80">+G19/G9</f>
        <v>0.4602355580482333</v>
      </c>
      <c r="H47" s="6">
        <f t="shared" si="80"/>
        <v>0.45894881484026107</v>
      </c>
      <c r="I47" s="6">
        <f>+H19/H9</f>
        <v>0.45894881484026107</v>
      </c>
      <c r="J47" s="6">
        <f>+I19/I9</f>
        <v>0.43442992338891395</v>
      </c>
      <c r="K47" s="6">
        <f t="shared" si="80"/>
        <v>0.17414931861884458</v>
      </c>
      <c r="L47" s="6">
        <f t="shared" si="80"/>
        <v>0.23744694482261552</v>
      </c>
      <c r="M47" s="6">
        <f t="shared" ref="M47" si="81">+M19/M9</f>
        <v>0.28977968176254593</v>
      </c>
      <c r="N47" s="6">
        <f>+N19/N9</f>
        <v>0.3292301124235093</v>
      </c>
      <c r="O47" s="6">
        <f>+O19/O9</f>
        <v>0.41968356127648165</v>
      </c>
      <c r="P47" s="6">
        <f>+P19/P9</f>
        <v>0.41118456375838924</v>
      </c>
      <c r="V47" s="6">
        <f>+V19/V9</f>
        <v>0.15240961189538435</v>
      </c>
      <c r="W47" s="6">
        <f>+W19/W9</f>
        <v>0.16803415941058272</v>
      </c>
      <c r="X47" s="6">
        <f>+X19/X9</f>
        <v>0.31034608378870676</v>
      </c>
      <c r="Y47" s="6">
        <f>+Y19/Y9</f>
        <v>0.42842514230641809</v>
      </c>
      <c r="Z47" s="6">
        <f>+Z19/Z9</f>
        <v>0.45246935983695802</v>
      </c>
      <c r="AA47" s="6">
        <f>+AA19/AA9</f>
        <v>0.26104238569822003</v>
      </c>
      <c r="AB47" s="6">
        <f t="shared" ref="AB47:AQ47" si="82">+AB19/AB9</f>
        <v>0.43121920837096323</v>
      </c>
      <c r="AC47" s="6">
        <f t="shared" si="82"/>
        <v>0.4277256542461112</v>
      </c>
      <c r="AD47" s="6">
        <f t="shared" si="82"/>
        <v>0.45216910949932027</v>
      </c>
      <c r="AE47" s="6">
        <f t="shared" si="82"/>
        <v>0.45437844652456749</v>
      </c>
      <c r="AF47" s="6">
        <f t="shared" si="82"/>
        <v>0.45162231894924565</v>
      </c>
      <c r="AG47" s="6">
        <f t="shared" si="82"/>
        <v>0.46072289406600375</v>
      </c>
      <c r="AH47" s="6">
        <f t="shared" si="82"/>
        <v>0.46913548724913151</v>
      </c>
      <c r="AI47" s="6">
        <f t="shared" si="82"/>
        <v>0.4768970244699095</v>
      </c>
      <c r="AJ47" s="6">
        <f t="shared" si="82"/>
        <v>0.48404222198694397</v>
      </c>
      <c r="AK47" s="6">
        <f t="shared" si="82"/>
        <v>0.4906037138551822</v>
      </c>
      <c r="AL47" s="6">
        <f t="shared" si="82"/>
        <v>0.49661217198579444</v>
      </c>
      <c r="AM47" s="6">
        <f t="shared" si="82"/>
        <v>0.50209641919037851</v>
      </c>
      <c r="AN47" s="6">
        <f t="shared" si="82"/>
        <v>0.50708353561768005</v>
      </c>
      <c r="AO47" s="6">
        <f t="shared" si="82"/>
        <v>0.51159895896723884</v>
      </c>
      <c r="AP47" s="6">
        <f t="shared" si="82"/>
        <v>0.51566657884196865</v>
      </c>
      <c r="AQ47" s="6">
        <f t="shared" si="82"/>
        <v>0.51930882558058455</v>
      </c>
      <c r="AT47" s="6" t="s">
        <v>186</v>
      </c>
      <c r="AU47" s="6">
        <f>AU45/AU46-1</f>
        <v>-0.29930291475988191</v>
      </c>
    </row>
    <row r="48" spans="2:47" s="6" customFormat="1" x14ac:dyDescent="0.2">
      <c r="B48" s="20" t="s">
        <v>38</v>
      </c>
      <c r="C48" s="6">
        <f t="shared" ref="C48:G48" si="83">+C22/C21</f>
        <v>8.0014886490509862E-2</v>
      </c>
      <c r="D48" s="6">
        <f t="shared" si="83"/>
        <v>7.1684587813620068E-2</v>
      </c>
      <c r="E48" s="6">
        <f t="shared" si="83"/>
        <v>7.8813305364099487E-2</v>
      </c>
      <c r="F48" s="6">
        <f t="shared" si="83"/>
        <v>7.2099447513812157E-2</v>
      </c>
      <c r="G48" s="6">
        <f t="shared" ref="G48:N48" si="84">+G22/G21</f>
        <v>1.7187500000000001E-2</v>
      </c>
      <c r="H48" s="6">
        <f t="shared" si="84"/>
        <v>6.3240043057050596E-2</v>
      </c>
      <c r="I48" s="6">
        <f>+H22/H21</f>
        <v>6.3240043057050596E-2</v>
      </c>
      <c r="J48" s="6">
        <f>+I22/I21</f>
        <v>7.5825405707890314E-2</v>
      </c>
      <c r="K48" s="6">
        <f t="shared" si="84"/>
        <v>5.0670640834575259E-2</v>
      </c>
      <c r="L48" s="6">
        <f t="shared" si="84"/>
        <v>-5.7855361596009978E-2</v>
      </c>
      <c r="M48" s="6">
        <f t="shared" ref="M48" si="85">+M22/M21</f>
        <v>1.5103349964362081</v>
      </c>
      <c r="N48" s="6">
        <f>+N22/N21</f>
        <v>-0.11745947382407654</v>
      </c>
      <c r="O48" s="6">
        <f>+O22/O21</f>
        <v>-2.3679417122040073E-3</v>
      </c>
      <c r="P48" s="6">
        <f>+P22/P21</f>
        <v>0.15</v>
      </c>
      <c r="V48" s="6">
        <f>+V22/V21</f>
        <v>-0.22911051212938005</v>
      </c>
      <c r="W48" s="6">
        <f>+W22/W21</f>
        <v>-0.21203438395415472</v>
      </c>
      <c r="X48" s="6">
        <f>+X22/X21</f>
        <v>4.286770140428677E-3</v>
      </c>
      <c r="Y48" s="6">
        <f>+Y22/Y21</f>
        <v>7.5518738941611707E-2</v>
      </c>
      <c r="Z48" s="6">
        <f>+Z22/Z21</f>
        <v>6.7231900377558454E-2</v>
      </c>
      <c r="AA48" s="6">
        <f>+AA22/AA21</f>
        <v>0.37797498991528844</v>
      </c>
      <c r="AB48" s="6">
        <f t="shared" ref="AB48:AQ48" si="86">+AB22/AB21</f>
        <v>0.11384902557889962</v>
      </c>
      <c r="AC48" s="6">
        <f t="shared" si="86"/>
        <v>0.15</v>
      </c>
      <c r="AD48" s="6">
        <f t="shared" si="86"/>
        <v>0.15</v>
      </c>
      <c r="AE48" s="6">
        <f t="shared" si="86"/>
        <v>0.15</v>
      </c>
      <c r="AF48" s="6">
        <f t="shared" si="86"/>
        <v>0.15</v>
      </c>
      <c r="AG48" s="6">
        <f t="shared" si="86"/>
        <v>0.15</v>
      </c>
      <c r="AH48" s="6">
        <f t="shared" si="86"/>
        <v>0.15</v>
      </c>
      <c r="AI48" s="6">
        <f t="shared" si="86"/>
        <v>0.15</v>
      </c>
      <c r="AJ48" s="6">
        <f t="shared" si="86"/>
        <v>0.14999999999999997</v>
      </c>
      <c r="AK48" s="6">
        <f t="shared" si="86"/>
        <v>0.15</v>
      </c>
      <c r="AL48" s="6">
        <f t="shared" si="86"/>
        <v>0.15</v>
      </c>
      <c r="AM48" s="6">
        <f t="shared" si="86"/>
        <v>0.15</v>
      </c>
      <c r="AN48" s="6">
        <f t="shared" si="86"/>
        <v>0.15</v>
      </c>
      <c r="AO48" s="6">
        <f t="shared" si="86"/>
        <v>0.15</v>
      </c>
      <c r="AP48" s="6">
        <f t="shared" si="86"/>
        <v>0.15</v>
      </c>
      <c r="AQ48" s="6">
        <f t="shared" si="86"/>
        <v>0.15</v>
      </c>
    </row>
    <row r="49" spans="2:43" s="1" customFormat="1" x14ac:dyDescent="0.2">
      <c r="B49" s="15"/>
    </row>
    <row r="50" spans="2:43" s="1" customFormat="1" x14ac:dyDescent="0.2">
      <c r="B50" s="15" t="s">
        <v>6</v>
      </c>
      <c r="N50" s="1">
        <f>9348-1271-66295</f>
        <v>-58218</v>
      </c>
      <c r="O50" s="1">
        <f>9307-5653-60926</f>
        <v>-57272</v>
      </c>
      <c r="AA50" s="1">
        <f>9348-1271-66295</f>
        <v>-58218</v>
      </c>
      <c r="AB50" s="1">
        <f>+AA50+AB25</f>
        <v>-37713.288799999995</v>
      </c>
      <c r="AC50" s="1">
        <f t="shared" ref="AC50:AQ50" si="87">+AB50+AC25</f>
        <v>-11859.636854799999</v>
      </c>
      <c r="AD50" s="1">
        <f t="shared" si="87"/>
        <v>20690.163377684192</v>
      </c>
      <c r="AE50" s="1">
        <f t="shared" si="87"/>
        <v>56957.184658282</v>
      </c>
      <c r="AF50" s="1">
        <f t="shared" si="87"/>
        <v>94389.724258496513</v>
      </c>
      <c r="AG50" s="1">
        <f t="shared" si="87"/>
        <v>134015.770667959</v>
      </c>
      <c r="AH50" s="1">
        <f t="shared" si="87"/>
        <v>175873.52154955134</v>
      </c>
      <c r="AI50" s="1">
        <f t="shared" si="87"/>
        <v>220002.49435808166</v>
      </c>
      <c r="AJ50" s="1">
        <f t="shared" si="87"/>
        <v>266443.52052181459</v>
      </c>
      <c r="AK50" s="1">
        <f t="shared" si="87"/>
        <v>315238.738738432</v>
      </c>
      <c r="AL50" s="1">
        <f t="shared" si="87"/>
        <v>366431.58727597748</v>
      </c>
      <c r="AM50" s="1">
        <f t="shared" si="87"/>
        <v>420066.79516332678</v>
      </c>
      <c r="AN50" s="1">
        <f t="shared" si="87"/>
        <v>476190.37214835489</v>
      </c>
      <c r="AO50" s="1">
        <f t="shared" si="87"/>
        <v>534849.59729522071</v>
      </c>
      <c r="AP50" s="1">
        <f t="shared" si="87"/>
        <v>596093.00608504459</v>
      </c>
      <c r="AQ50" s="1">
        <f t="shared" si="87"/>
        <v>659970.37587669038</v>
      </c>
    </row>
    <row r="51" spans="2:43" s="1" customFormat="1" x14ac:dyDescent="0.2">
      <c r="B51" s="15"/>
    </row>
    <row r="52" spans="2:43" s="1" customFormat="1" x14ac:dyDescent="0.2">
      <c r="B52" s="15" t="s">
        <v>48</v>
      </c>
      <c r="V52" s="1">
        <f>+V25</f>
        <v>2695</v>
      </c>
      <c r="W52" s="1">
        <f t="shared" ref="W52:AA53" si="88">+W25</f>
        <v>2663</v>
      </c>
      <c r="X52" s="1">
        <f t="shared" si="88"/>
        <v>6736</v>
      </c>
      <c r="Y52" s="1">
        <f t="shared" si="88"/>
        <v>11495</v>
      </c>
      <c r="Z52" s="1">
        <f t="shared" si="88"/>
        <v>14082</v>
      </c>
      <c r="AA52" s="1">
        <f t="shared" si="88"/>
        <v>5895</v>
      </c>
    </row>
    <row r="53" spans="2:43" s="1" customFormat="1" x14ac:dyDescent="0.2">
      <c r="B53" s="15" t="s">
        <v>49</v>
      </c>
      <c r="V53" s="1">
        <v>2724</v>
      </c>
      <c r="W53" s="1">
        <v>2960</v>
      </c>
      <c r="X53" s="1">
        <v>6736</v>
      </c>
      <c r="Y53" s="1">
        <v>11495</v>
      </c>
      <c r="Z53" s="1">
        <v>14082</v>
      </c>
      <c r="AA53" s="1">
        <v>5895</v>
      </c>
    </row>
    <row r="54" spans="2:43" s="1" customFormat="1" x14ac:dyDescent="0.2">
      <c r="B54" s="15" t="s">
        <v>50</v>
      </c>
      <c r="V54" s="1">
        <v>5239</v>
      </c>
      <c r="W54" s="1">
        <v>6335</v>
      </c>
      <c r="X54" s="1">
        <v>5502</v>
      </c>
      <c r="Y54" s="1">
        <v>4455</v>
      </c>
      <c r="Z54" s="1">
        <v>3333</v>
      </c>
      <c r="AA54" s="1">
        <v>9417</v>
      </c>
    </row>
    <row r="55" spans="2:43" s="1" customFormat="1" x14ac:dyDescent="0.2">
      <c r="B55" s="15" t="s">
        <v>51</v>
      </c>
      <c r="V55" s="1">
        <v>569</v>
      </c>
      <c r="W55" s="1">
        <v>570</v>
      </c>
      <c r="X55" s="1">
        <v>539</v>
      </c>
      <c r="Y55" s="1">
        <v>529</v>
      </c>
      <c r="Z55" s="1">
        <v>502</v>
      </c>
      <c r="AA55" s="1">
        <v>593</v>
      </c>
    </row>
    <row r="56" spans="2:43" s="1" customFormat="1" x14ac:dyDescent="0.2">
      <c r="B56" s="15" t="s">
        <v>52</v>
      </c>
      <c r="V56" s="1">
        <v>2185</v>
      </c>
      <c r="W56" s="1">
        <v>1976</v>
      </c>
      <c r="X56" s="1">
        <v>1704</v>
      </c>
      <c r="Y56" s="1">
        <v>1533</v>
      </c>
      <c r="Z56" s="1">
        <v>2171</v>
      </c>
      <c r="AA56" s="1">
        <v>5741</v>
      </c>
    </row>
    <row r="57" spans="2:43" s="1" customFormat="1" x14ac:dyDescent="0.2">
      <c r="B57" s="15" t="s">
        <v>53</v>
      </c>
      <c r="V57" s="1">
        <v>-934</v>
      </c>
      <c r="W57" s="1">
        <v>-1142</v>
      </c>
      <c r="X57" s="1">
        <v>-809</v>
      </c>
      <c r="Y57" s="1">
        <v>-34</v>
      </c>
      <c r="Z57" s="1">
        <v>-501</v>
      </c>
      <c r="AA57" s="1">
        <v>1965</v>
      </c>
    </row>
    <row r="58" spans="2:43" s="1" customFormat="1" x14ac:dyDescent="0.2">
      <c r="B58" s="15" t="s">
        <v>54</v>
      </c>
      <c r="V58" s="1">
        <v>0</v>
      </c>
      <c r="W58" s="1">
        <v>0</v>
      </c>
      <c r="X58" s="1">
        <v>0</v>
      </c>
      <c r="Y58" s="1">
        <v>100</v>
      </c>
      <c r="Z58" s="1">
        <v>0</v>
      </c>
      <c r="AA58" s="1">
        <v>0</v>
      </c>
    </row>
    <row r="59" spans="2:43" s="1" customFormat="1" x14ac:dyDescent="0.2">
      <c r="B59" s="15" t="s">
        <v>55</v>
      </c>
      <c r="V59" s="1">
        <v>28</v>
      </c>
      <c r="W59" s="1">
        <v>169</v>
      </c>
      <c r="X59" s="1">
        <v>198</v>
      </c>
      <c r="Y59" s="1">
        <v>129</v>
      </c>
      <c r="Z59" s="1">
        <v>0</v>
      </c>
      <c r="AA59" s="1">
        <v>157</v>
      </c>
    </row>
    <row r="60" spans="2:43" s="1" customFormat="1" x14ac:dyDescent="0.2">
      <c r="B60" s="15" t="s">
        <v>56</v>
      </c>
      <c r="V60" s="1">
        <v>133</v>
      </c>
      <c r="W60" s="1">
        <v>44</v>
      </c>
      <c r="X60" s="1">
        <v>0</v>
      </c>
      <c r="Y60" s="1">
        <v>0</v>
      </c>
      <c r="Z60" s="1">
        <v>0</v>
      </c>
      <c r="AA60" s="1">
        <v>0</v>
      </c>
    </row>
    <row r="61" spans="2:43" s="1" customFormat="1" x14ac:dyDescent="0.2">
      <c r="B61" s="15" t="s">
        <v>57</v>
      </c>
      <c r="V61" s="1">
        <v>69</v>
      </c>
      <c r="W61" s="1">
        <v>108</v>
      </c>
      <c r="X61" s="1">
        <v>96</v>
      </c>
      <c r="Y61" s="1">
        <v>0</v>
      </c>
      <c r="Z61" s="1">
        <v>132</v>
      </c>
      <c r="AA61" s="1">
        <v>427</v>
      </c>
    </row>
    <row r="62" spans="2:43" s="1" customFormat="1" x14ac:dyDescent="0.2">
      <c r="B62" s="15" t="s">
        <v>58</v>
      </c>
      <c r="V62" s="1">
        <v>-132</v>
      </c>
      <c r="W62" s="1">
        <v>-52</v>
      </c>
      <c r="X62" s="1">
        <v>-75</v>
      </c>
      <c r="Y62" s="1">
        <v>183</v>
      </c>
      <c r="Z62" s="1">
        <v>9</v>
      </c>
      <c r="AA62" s="1">
        <v>404</v>
      </c>
    </row>
    <row r="63" spans="2:43" s="1" customFormat="1" x14ac:dyDescent="0.2">
      <c r="B63" s="15" t="s">
        <v>59</v>
      </c>
      <c r="V63" s="1">
        <v>486</v>
      </c>
      <c r="W63" s="1">
        <v>981</v>
      </c>
      <c r="X63" s="1">
        <v>210</v>
      </c>
      <c r="Y63" s="1">
        <v>-870</v>
      </c>
      <c r="Z63" s="1">
        <v>-187</v>
      </c>
      <c r="AA63" s="1">
        <v>2327</v>
      </c>
    </row>
    <row r="64" spans="2:43" s="1" customFormat="1" x14ac:dyDescent="0.2">
      <c r="B64" s="15" t="s">
        <v>60</v>
      </c>
      <c r="V64" s="1">
        <v>250</v>
      </c>
      <c r="W64" s="1">
        <v>-31</v>
      </c>
      <c r="X64" s="1">
        <v>-294</v>
      </c>
      <c r="Y64" s="1">
        <v>-627</v>
      </c>
      <c r="Z64" s="1">
        <v>27</v>
      </c>
      <c r="AA64" s="1">
        <v>150</v>
      </c>
    </row>
    <row r="65" spans="2:27" s="1" customFormat="1" x14ac:dyDescent="0.2">
      <c r="B65" s="15" t="s">
        <v>61</v>
      </c>
      <c r="V65" s="1">
        <v>-42</v>
      </c>
      <c r="W65" s="1">
        <v>-3</v>
      </c>
      <c r="X65" s="1">
        <v>243</v>
      </c>
      <c r="Y65" s="1">
        <v>-79</v>
      </c>
      <c r="Z65" s="1">
        <v>209</v>
      </c>
      <c r="AA65" s="1">
        <v>121</v>
      </c>
    </row>
    <row r="66" spans="2:27" s="1" customFormat="1" x14ac:dyDescent="0.2">
      <c r="B66" s="15" t="s">
        <v>62</v>
      </c>
      <c r="V66" s="1">
        <v>-294</v>
      </c>
      <c r="W66" s="1">
        <v>217</v>
      </c>
      <c r="X66" s="1">
        <v>186</v>
      </c>
      <c r="Y66" s="1">
        <v>136</v>
      </c>
      <c r="Z66" s="1">
        <v>-279</v>
      </c>
      <c r="AA66" s="1">
        <v>78</v>
      </c>
    </row>
    <row r="67" spans="2:27" s="1" customFormat="1" x14ac:dyDescent="0.2">
      <c r="B67" s="15" t="s">
        <v>63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</row>
    <row r="68" spans="2:27" s="1" customFormat="1" x14ac:dyDescent="0.2">
      <c r="B68" s="15" t="s">
        <v>64</v>
      </c>
      <c r="V68" s="1">
        <v>-283</v>
      </c>
      <c r="W68" s="1">
        <v>331</v>
      </c>
      <c r="X68" s="1">
        <v>-177</v>
      </c>
      <c r="Y68" s="1">
        <v>222</v>
      </c>
      <c r="Z68" s="1">
        <v>-628</v>
      </c>
      <c r="AA68" s="1">
        <v>-5323</v>
      </c>
    </row>
    <row r="69" spans="2:27" s="1" customFormat="1" x14ac:dyDescent="0.2">
      <c r="B69" s="15" t="s">
        <v>65</v>
      </c>
      <c r="V69" s="1">
        <v>-301</v>
      </c>
      <c r="W69" s="1">
        <v>-402</v>
      </c>
      <c r="X69" s="1">
        <v>-295</v>
      </c>
      <c r="Y69" s="1">
        <v>-436</v>
      </c>
      <c r="Z69" s="1">
        <v>-785</v>
      </c>
      <c r="AA69" s="1">
        <v>-1990</v>
      </c>
    </row>
    <row r="70" spans="2:27" s="3" customFormat="1" x14ac:dyDescent="0.2">
      <c r="B70" s="18" t="s">
        <v>66</v>
      </c>
      <c r="V70" s="3">
        <f>SUM(V53:V69)</f>
        <v>9697</v>
      </c>
      <c r="W70" s="3">
        <f>SUM(W53:W69)</f>
        <v>12061</v>
      </c>
      <c r="X70" s="3">
        <f>SUM(X53:X69)</f>
        <v>13764</v>
      </c>
      <c r="Y70" s="3">
        <f>SUM(Y53:Y69)</f>
        <v>16736</v>
      </c>
      <c r="Z70" s="3">
        <f>SUM(Z53:Z69)</f>
        <v>18085</v>
      </c>
      <c r="AA70" s="3">
        <f>SUM(AA53:AA69)</f>
        <v>19962</v>
      </c>
    </row>
    <row r="71" spans="2:27" s="1" customFormat="1" x14ac:dyDescent="0.2">
      <c r="B71" s="15" t="s">
        <v>67</v>
      </c>
      <c r="V71" s="1">
        <v>432</v>
      </c>
      <c r="W71" s="1">
        <v>463</v>
      </c>
      <c r="X71" s="1">
        <v>443</v>
      </c>
      <c r="Y71" s="1">
        <v>424</v>
      </c>
      <c r="Z71" s="1">
        <v>452</v>
      </c>
      <c r="AA71" s="1">
        <v>548</v>
      </c>
    </row>
    <row r="72" spans="2:27" s="3" customFormat="1" x14ac:dyDescent="0.2">
      <c r="B72" s="18" t="s">
        <v>71</v>
      </c>
      <c r="V72" s="3">
        <f>+V70-V71</f>
        <v>9265</v>
      </c>
      <c r="W72" s="3">
        <f>+W70-W71</f>
        <v>11598</v>
      </c>
      <c r="X72" s="3">
        <f>+X70-X71</f>
        <v>13321</v>
      </c>
      <c r="Y72" s="3">
        <f>+Y70-Y71</f>
        <v>16312</v>
      </c>
      <c r="Z72" s="3">
        <f>+Z70-Z71</f>
        <v>17633</v>
      </c>
      <c r="AA72" s="3">
        <f>+AA70-AA71</f>
        <v>19414</v>
      </c>
    </row>
    <row r="73" spans="2:27" s="1" customFormat="1" x14ac:dyDescent="0.2">
      <c r="B73" s="15" t="s">
        <v>68</v>
      </c>
      <c r="V73" s="1">
        <v>-15422</v>
      </c>
      <c r="W73" s="1">
        <v>-11109</v>
      </c>
      <c r="X73" s="1">
        <v>-245</v>
      </c>
      <c r="Y73" s="1">
        <v>-667</v>
      </c>
      <c r="Z73" s="1">
        <v>-689</v>
      </c>
      <c r="AA73" s="1">
        <v>-23070</v>
      </c>
    </row>
    <row r="74" spans="2:27" s="1" customFormat="1" x14ac:dyDescent="0.2">
      <c r="B74" s="15" t="s">
        <v>69</v>
      </c>
      <c r="V74" s="1">
        <v>6488</v>
      </c>
      <c r="W74" s="1">
        <v>1611</v>
      </c>
      <c r="X74" s="1">
        <v>-8974</v>
      </c>
      <c r="Y74" s="1">
        <v>-15816</v>
      </c>
      <c r="Z74" s="1">
        <v>-15623</v>
      </c>
      <c r="AA74" s="1">
        <v>-1733</v>
      </c>
    </row>
    <row r="75" spans="2:27" s="1" customFormat="1" x14ac:dyDescent="0.2">
      <c r="B75" s="15" t="s">
        <v>72</v>
      </c>
      <c r="V75" s="1">
        <v>4235</v>
      </c>
      <c r="W75" s="1">
        <v>5534</v>
      </c>
      <c r="X75" s="1">
        <v>0</v>
      </c>
      <c r="Y75" s="1">
        <v>7000</v>
      </c>
      <c r="Z75" s="1">
        <v>5824</v>
      </c>
      <c r="AA75" s="1">
        <v>5534</v>
      </c>
    </row>
    <row r="76" spans="2:27" s="3" customFormat="1" x14ac:dyDescent="0.2">
      <c r="B76" s="18" t="s">
        <v>70</v>
      </c>
      <c r="V76" s="7">
        <f>+V74+V73+V70</f>
        <v>763</v>
      </c>
      <c r="W76" s="7">
        <f>+W74+W73+W70</f>
        <v>2563</v>
      </c>
      <c r="X76" s="7">
        <f>+X74+X73+X70</f>
        <v>4545</v>
      </c>
      <c r="Y76" s="7">
        <f>+Y74+Y73+Y70</f>
        <v>253</v>
      </c>
      <c r="Z76" s="7">
        <f>+Z74+Z73+Z70</f>
        <v>1773</v>
      </c>
      <c r="AA76" s="7">
        <f>+AA74+AA73+AA70</f>
        <v>-4841</v>
      </c>
    </row>
    <row r="77" spans="2:27" s="3" customFormat="1" x14ac:dyDescent="0.2">
      <c r="B77" s="18" t="s">
        <v>73</v>
      </c>
      <c r="V77" s="3">
        <f>+V76+V75</f>
        <v>4998</v>
      </c>
      <c r="W77" s="3">
        <f>+W76+W75</f>
        <v>8097</v>
      </c>
      <c r="X77" s="3">
        <f>+X76+X75</f>
        <v>4545</v>
      </c>
      <c r="Y77" s="3">
        <f>+Y76+Y75</f>
        <v>7253</v>
      </c>
      <c r="Z77" s="3">
        <f>+Z76+Z75</f>
        <v>7597</v>
      </c>
      <c r="AA77" s="3">
        <f>+AA76+AA75</f>
        <v>693</v>
      </c>
    </row>
    <row r="78" spans="2:27" s="1" customFormat="1" x14ac:dyDescent="0.2">
      <c r="B78" s="15"/>
    </row>
    <row r="79" spans="2:27" s="1" customFormat="1" x14ac:dyDescent="0.2">
      <c r="B79" s="15"/>
    </row>
    <row r="80" spans="2:27" s="1" customFormat="1" x14ac:dyDescent="0.2">
      <c r="B80" s="15"/>
    </row>
    <row r="81" spans="2:2" s="1" customFormat="1" x14ac:dyDescent="0.2">
      <c r="B81" s="15"/>
    </row>
    <row r="82" spans="2:2" s="1" customFormat="1" x14ac:dyDescent="0.2">
      <c r="B82" s="15"/>
    </row>
    <row r="83" spans="2:2" s="1" customFormat="1" x14ac:dyDescent="0.2">
      <c r="B83" s="15"/>
    </row>
    <row r="84" spans="2:2" s="1" customFormat="1" x14ac:dyDescent="0.2">
      <c r="B84" s="15"/>
    </row>
    <row r="85" spans="2:2" s="1" customFormat="1" x14ac:dyDescent="0.2">
      <c r="B85" s="15"/>
    </row>
    <row r="86" spans="2:2" s="1" customFormat="1" x14ac:dyDescent="0.2">
      <c r="B86" s="15"/>
    </row>
    <row r="87" spans="2:2" s="1" customFormat="1" x14ac:dyDescent="0.2">
      <c r="B87" s="15"/>
    </row>
    <row r="88" spans="2:2" s="1" customFormat="1" x14ac:dyDescent="0.2">
      <c r="B88" s="15"/>
    </row>
    <row r="89" spans="2:2" s="1" customFormat="1" x14ac:dyDescent="0.2">
      <c r="B89" s="15"/>
    </row>
    <row r="90" spans="2:2" s="1" customFormat="1" x14ac:dyDescent="0.2">
      <c r="B90" s="15"/>
    </row>
    <row r="91" spans="2:2" s="1" customFormat="1" x14ac:dyDescent="0.2">
      <c r="B91" s="15"/>
    </row>
    <row r="92" spans="2:2" s="1" customFormat="1" x14ac:dyDescent="0.2">
      <c r="B92" s="15"/>
    </row>
    <row r="93" spans="2:2" s="1" customFormat="1" x14ac:dyDescent="0.2">
      <c r="B93" s="15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 S</dc:creator>
  <cp:lastModifiedBy>Bobby S</cp:lastModifiedBy>
  <dcterms:created xsi:type="dcterms:W3CDTF">2025-03-12T15:35:21Z</dcterms:created>
  <dcterms:modified xsi:type="dcterms:W3CDTF">2025-03-17T15:48:31Z</dcterms:modified>
</cp:coreProperties>
</file>