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/>
  <mc:AlternateContent xmlns:mc="http://schemas.openxmlformats.org/markup-compatibility/2006">
    <mc:Choice Requires="x15">
      <x15ac:absPath xmlns:x15ac="http://schemas.microsoft.com/office/spreadsheetml/2010/11/ac" url="https://d.docs.live.net/9907474b3756498a/Value Investing/"/>
    </mc:Choice>
  </mc:AlternateContent>
  <xr:revisionPtr revIDLastSave="880" documentId="8_{F49DBA6B-FE7C-7B45-B7BC-3C72A7F54071}" xr6:coauthVersionLast="47" xr6:coauthVersionMax="47" xr10:uidLastSave="{7AE20439-1EB1-2D42-896A-2D4093E31399}"/>
  <bookViews>
    <workbookView xWindow="30080" yWindow="-33340" windowWidth="30080" windowHeight="31860" firstSheet="1" activeTab="1" xr2:uid="{3A446ED8-7B1C-434A-AEEA-C1404084F8D5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39" i="2" l="1"/>
  <c r="AI16" i="2" l="1"/>
  <c r="Z11" i="2"/>
  <c r="Y11" i="2"/>
  <c r="X11" i="2"/>
  <c r="W11" i="2"/>
  <c r="AI11" i="2" s="1"/>
  <c r="AJ11" i="2" s="1"/>
  <c r="AK11" i="2" s="1"/>
  <c r="AL11" i="2" s="1"/>
  <c r="AM11" i="2" s="1"/>
  <c r="AN11" i="2" s="1"/>
  <c r="AO11" i="2" s="1"/>
  <c r="AH11" i="2"/>
  <c r="Z16" i="2"/>
  <c r="Y16" i="2"/>
  <c r="X16" i="2"/>
  <c r="W16" i="2"/>
  <c r="W20" i="2"/>
  <c r="Z13" i="2"/>
  <c r="Y13" i="2"/>
  <c r="X13" i="2"/>
  <c r="W13" i="2"/>
  <c r="AI13" i="2" s="1"/>
  <c r="Z26" i="2"/>
  <c r="Y26" i="2"/>
  <c r="X26" i="2"/>
  <c r="Z12" i="2"/>
  <c r="Y12" i="2"/>
  <c r="X12" i="2"/>
  <c r="W12" i="2"/>
  <c r="AI12" i="2" s="1"/>
  <c r="Z24" i="2"/>
  <c r="W10" i="2"/>
  <c r="W9" i="2" s="1"/>
  <c r="AD41" i="2"/>
  <c r="AD60" i="2"/>
  <c r="AE47" i="2"/>
  <c r="AE60" i="2"/>
  <c r="AE65" i="2" s="1"/>
  <c r="AF60" i="2"/>
  <c r="AF65" i="2" s="1"/>
  <c r="AG60" i="2"/>
  <c r="AG65" i="2" s="1"/>
  <c r="AH60" i="2"/>
  <c r="W28" i="2"/>
  <c r="Z8" i="2"/>
  <c r="Y8" i="2"/>
  <c r="X8" i="2"/>
  <c r="Z23" i="2"/>
  <c r="Y23" i="2"/>
  <c r="X23" i="2"/>
  <c r="AD18" i="2"/>
  <c r="AD13" i="2"/>
  <c r="AD12" i="2"/>
  <c r="AD11" i="2"/>
  <c r="AD9" i="2"/>
  <c r="AD8" i="2"/>
  <c r="AD14" i="2"/>
  <c r="AD10" i="2"/>
  <c r="AE20" i="2"/>
  <c r="AE18" i="2"/>
  <c r="AE13" i="2"/>
  <c r="AE26" i="2" s="1"/>
  <c r="AE12" i="2"/>
  <c r="AE25" i="2" s="1"/>
  <c r="AE11" i="2"/>
  <c r="AE24" i="2" s="1"/>
  <c r="AE9" i="2"/>
  <c r="AE8" i="2"/>
  <c r="AE23" i="2" s="1"/>
  <c r="AE14" i="2"/>
  <c r="AE10" i="2"/>
  <c r="AE28" i="2" s="1"/>
  <c r="AF20" i="2"/>
  <c r="AF18" i="2"/>
  <c r="AF13" i="2"/>
  <c r="AF26" i="2" s="1"/>
  <c r="AF12" i="2"/>
  <c r="AF25" i="2" s="1"/>
  <c r="AF11" i="2"/>
  <c r="AF24" i="2" s="1"/>
  <c r="AF14" i="2"/>
  <c r="AF9" i="2"/>
  <c r="AF8" i="2"/>
  <c r="AG20" i="2"/>
  <c r="AG18" i="2"/>
  <c r="AG13" i="2"/>
  <c r="AG26" i="2" s="1"/>
  <c r="AG12" i="2"/>
  <c r="AG25" i="2" s="1"/>
  <c r="AG11" i="2"/>
  <c r="AG9" i="2"/>
  <c r="AG8" i="2"/>
  <c r="AG14" i="2"/>
  <c r="AH20" i="2"/>
  <c r="AH18" i="2"/>
  <c r="AH13" i="2"/>
  <c r="AH26" i="2" s="1"/>
  <c r="AH12" i="2"/>
  <c r="AH25" i="2" s="1"/>
  <c r="AH14" i="2"/>
  <c r="AH9" i="2"/>
  <c r="AH8" i="2"/>
  <c r="W26" i="2"/>
  <c r="W25" i="2"/>
  <c r="W23" i="2"/>
  <c r="F16" i="2"/>
  <c r="F14" i="2"/>
  <c r="F10" i="2"/>
  <c r="F15" i="2" s="1"/>
  <c r="C16" i="2"/>
  <c r="C14" i="2"/>
  <c r="C10" i="2"/>
  <c r="C15" i="2" s="1"/>
  <c r="D16" i="2"/>
  <c r="D14" i="2"/>
  <c r="D10" i="2"/>
  <c r="D15" i="2" s="1"/>
  <c r="E16" i="2"/>
  <c r="E14" i="2"/>
  <c r="E10" i="2"/>
  <c r="E15" i="2" s="1"/>
  <c r="F28" i="2"/>
  <c r="D28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V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V23" i="2"/>
  <c r="J16" i="2"/>
  <c r="J14" i="2"/>
  <c r="J10" i="2"/>
  <c r="J28" i="2" s="1"/>
  <c r="N16" i="2"/>
  <c r="N14" i="2"/>
  <c r="N10" i="2"/>
  <c r="N15" i="2" s="1"/>
  <c r="G16" i="2"/>
  <c r="G14" i="2"/>
  <c r="G10" i="2"/>
  <c r="G28" i="2" s="1"/>
  <c r="K16" i="2"/>
  <c r="K14" i="2"/>
  <c r="K10" i="2"/>
  <c r="K15" i="2" s="1"/>
  <c r="K17" i="2" s="1"/>
  <c r="H16" i="2"/>
  <c r="H14" i="2"/>
  <c r="H10" i="2"/>
  <c r="H28" i="2" s="1"/>
  <c r="L16" i="2"/>
  <c r="L14" i="2"/>
  <c r="L10" i="2"/>
  <c r="L15" i="2" s="1"/>
  <c r="L17" i="2" s="1"/>
  <c r="I16" i="2"/>
  <c r="I14" i="2"/>
  <c r="I10" i="2"/>
  <c r="I15" i="2" s="1"/>
  <c r="I17" i="2" s="1"/>
  <c r="M16" i="2"/>
  <c r="M14" i="2"/>
  <c r="M10" i="2"/>
  <c r="O16" i="2"/>
  <c r="O14" i="2"/>
  <c r="O10" i="2"/>
  <c r="O28" i="2" s="1"/>
  <c r="S16" i="2"/>
  <c r="S14" i="2"/>
  <c r="S10" i="2"/>
  <c r="S15" i="2" s="1"/>
  <c r="S29" i="2" s="1"/>
  <c r="P16" i="2"/>
  <c r="P14" i="2"/>
  <c r="P10" i="2"/>
  <c r="T16" i="2"/>
  <c r="T14" i="2"/>
  <c r="T10" i="2"/>
  <c r="T15" i="2" s="1"/>
  <c r="T17" i="2" s="1"/>
  <c r="Q16" i="2"/>
  <c r="Q14" i="2"/>
  <c r="Q10" i="2"/>
  <c r="U16" i="2"/>
  <c r="U14" i="2"/>
  <c r="U10" i="2"/>
  <c r="U15" i="2" s="1"/>
  <c r="U29" i="2" s="1"/>
  <c r="R16" i="2"/>
  <c r="R14" i="2"/>
  <c r="R10" i="2"/>
  <c r="R15" i="2" s="1"/>
  <c r="R29" i="2" s="1"/>
  <c r="V16" i="2"/>
  <c r="V14" i="2"/>
  <c r="V10" i="2"/>
  <c r="V15" i="2" s="1"/>
  <c r="AG5" i="2"/>
  <c r="AH5" i="2"/>
  <c r="AE3" i="2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K6" i="1"/>
  <c r="K10" i="1" s="1"/>
  <c r="K5" i="1"/>
  <c r="K8" i="1" s="1"/>
  <c r="Q15" i="2" l="1"/>
  <c r="Q17" i="2" s="1"/>
  <c r="Q28" i="2"/>
  <c r="T19" i="2"/>
  <c r="T21" i="2" s="1"/>
  <c r="T30" i="2"/>
  <c r="AH16" i="2"/>
  <c r="AG16" i="2"/>
  <c r="M15" i="2"/>
  <c r="M29" i="2" s="1"/>
  <c r="M28" i="2"/>
  <c r="I19" i="2"/>
  <c r="I21" i="2" s="1"/>
  <c r="I30" i="2"/>
  <c r="L19" i="2"/>
  <c r="L21" i="2" s="1"/>
  <c r="L30" i="2"/>
  <c r="K19" i="2"/>
  <c r="K21" i="2" s="1"/>
  <c r="K30" i="2"/>
  <c r="AF16" i="2"/>
  <c r="AE16" i="2"/>
  <c r="AD16" i="2"/>
  <c r="AH23" i="2"/>
  <c r="AH10" i="2"/>
  <c r="AH28" i="2" s="1"/>
  <c r="AH15" i="2"/>
  <c r="AH17" i="2" s="1"/>
  <c r="AH19" i="2" s="1"/>
  <c r="AH21" i="2" s="1"/>
  <c r="AG23" i="2"/>
  <c r="AG10" i="2"/>
  <c r="AG28" i="2" s="1"/>
  <c r="AG24" i="2"/>
  <c r="AH24" i="2"/>
  <c r="AF23" i="2"/>
  <c r="AF10" i="2"/>
  <c r="AF28" i="2" s="1"/>
  <c r="AF15" i="2"/>
  <c r="AD15" i="2"/>
  <c r="AD28" i="2"/>
  <c r="AI8" i="2"/>
  <c r="X10" i="2"/>
  <c r="Y10" i="2"/>
  <c r="Z10" i="2"/>
  <c r="AH65" i="2"/>
  <c r="AH62" i="2"/>
  <c r="AJ12" i="2"/>
  <c r="AI25" i="2"/>
  <c r="X14" i="2"/>
  <c r="X15" i="2" s="1"/>
  <c r="X25" i="2"/>
  <c r="Y14" i="2"/>
  <c r="Y15" i="2" s="1"/>
  <c r="Y29" i="2" s="1"/>
  <c r="Y25" i="2"/>
  <c r="Z14" i="2"/>
  <c r="Z25" i="2"/>
  <c r="AJ13" i="2"/>
  <c r="AI26" i="2"/>
  <c r="X20" i="2"/>
  <c r="AP11" i="2"/>
  <c r="AQ11" i="2" s="1"/>
  <c r="AR11" i="2" s="1"/>
  <c r="AS11" i="2" s="1"/>
  <c r="X29" i="2"/>
  <c r="X17" i="2"/>
  <c r="X18" i="2" s="1"/>
  <c r="Y17" i="2"/>
  <c r="AI24" i="2"/>
  <c r="AI14" i="2"/>
  <c r="W14" i="2"/>
  <c r="W15" i="2" s="1"/>
  <c r="W29" i="2" s="1"/>
  <c r="W24" i="2"/>
  <c r="AH29" i="2"/>
  <c r="AH30" i="2"/>
  <c r="AH36" i="2"/>
  <c r="Y18" i="2"/>
  <c r="Y30" i="2" s="1"/>
  <c r="X30" i="2"/>
  <c r="X24" i="2"/>
  <c r="Y24" i="2"/>
  <c r="AD65" i="2"/>
  <c r="AD62" i="2"/>
  <c r="AE62" i="2"/>
  <c r="AF62" i="2"/>
  <c r="AG62" i="2"/>
  <c r="AE15" i="2"/>
  <c r="AG15" i="2"/>
  <c r="F17" i="2"/>
  <c r="F29" i="2"/>
  <c r="C28" i="2"/>
  <c r="C17" i="2"/>
  <c r="C29" i="2"/>
  <c r="D17" i="2"/>
  <c r="D29" i="2"/>
  <c r="E28" i="2"/>
  <c r="E29" i="2"/>
  <c r="E17" i="2"/>
  <c r="N28" i="2"/>
  <c r="K29" i="2"/>
  <c r="V17" i="2"/>
  <c r="N17" i="2"/>
  <c r="P15" i="2"/>
  <c r="P29" i="2" s="1"/>
  <c r="Q29" i="2"/>
  <c r="I29" i="2"/>
  <c r="V28" i="2"/>
  <c r="V29" i="2"/>
  <c r="P28" i="2"/>
  <c r="L29" i="2"/>
  <c r="R28" i="2"/>
  <c r="S28" i="2"/>
  <c r="N29" i="2"/>
  <c r="T28" i="2"/>
  <c r="U28" i="2"/>
  <c r="O15" i="2"/>
  <c r="I28" i="2"/>
  <c r="M17" i="2"/>
  <c r="K28" i="2"/>
  <c r="T29" i="2"/>
  <c r="L28" i="2"/>
  <c r="U17" i="2"/>
  <c r="U30" i="2" s="1"/>
  <c r="S17" i="2"/>
  <c r="H15" i="2"/>
  <c r="U19" i="2"/>
  <c r="U21" i="2" s="1"/>
  <c r="J15" i="2"/>
  <c r="G15" i="2"/>
  <c r="R17" i="2"/>
  <c r="R19" i="2" l="1"/>
  <c r="R21" i="2" s="1"/>
  <c r="R30" i="2"/>
  <c r="S19" i="2"/>
  <c r="S21" i="2" s="1"/>
  <c r="S30" i="2"/>
  <c r="M19" i="2"/>
  <c r="M21" i="2" s="1"/>
  <c r="M30" i="2"/>
  <c r="N19" i="2"/>
  <c r="N21" i="2" s="1"/>
  <c r="N30" i="2"/>
  <c r="AG17" i="2"/>
  <c r="AG29" i="2"/>
  <c r="AE17" i="2"/>
  <c r="AE29" i="2"/>
  <c r="Y20" i="2"/>
  <c r="Z20" i="2" s="1"/>
  <c r="AI20" i="2"/>
  <c r="AK13" i="2"/>
  <c r="AJ26" i="2"/>
  <c r="AK12" i="2"/>
  <c r="AJ25" i="2"/>
  <c r="Z15" i="2"/>
  <c r="Z28" i="2"/>
  <c r="Z9" i="2"/>
  <c r="Y28" i="2"/>
  <c r="Y9" i="2"/>
  <c r="X28" i="2"/>
  <c r="X9" i="2"/>
  <c r="AI9" i="2" s="1"/>
  <c r="AJ8" i="2"/>
  <c r="AI23" i="2"/>
  <c r="AI10" i="2"/>
  <c r="AD17" i="2"/>
  <c r="AD29" i="2"/>
  <c r="AF17" i="2"/>
  <c r="AF29" i="2"/>
  <c r="Q19" i="2"/>
  <c r="Q21" i="2" s="1"/>
  <c r="Q30" i="2"/>
  <c r="Y19" i="2"/>
  <c r="Y21" i="2" s="1"/>
  <c r="X19" i="2"/>
  <c r="X21" i="2" s="1"/>
  <c r="AJ14" i="2"/>
  <c r="AJ24" i="2"/>
  <c r="W17" i="2"/>
  <c r="W18" i="2" s="1"/>
  <c r="V19" i="2"/>
  <c r="V21" i="2" s="1"/>
  <c r="V30" i="2"/>
  <c r="F19" i="2"/>
  <c r="F21" i="2" s="1"/>
  <c r="F30" i="2"/>
  <c r="C19" i="2"/>
  <c r="C30" i="2"/>
  <c r="D19" i="2"/>
  <c r="D21" i="2" s="1"/>
  <c r="D30" i="2"/>
  <c r="E19" i="2"/>
  <c r="E21" i="2" s="1"/>
  <c r="E30" i="2"/>
  <c r="P17" i="2"/>
  <c r="O17" i="2"/>
  <c r="O29" i="2"/>
  <c r="J17" i="2"/>
  <c r="J29" i="2"/>
  <c r="H17" i="2"/>
  <c r="H29" i="2"/>
  <c r="G17" i="2"/>
  <c r="G29" i="2"/>
  <c r="G19" i="2" l="1"/>
  <c r="G21" i="2" s="1"/>
  <c r="G30" i="2"/>
  <c r="H19" i="2"/>
  <c r="H21" i="2" s="1"/>
  <c r="H30" i="2"/>
  <c r="J19" i="2"/>
  <c r="J21" i="2" s="1"/>
  <c r="J30" i="2"/>
  <c r="O19" i="2"/>
  <c r="O21" i="2" s="1"/>
  <c r="O30" i="2"/>
  <c r="P19" i="2"/>
  <c r="P21" i="2" s="1"/>
  <c r="P30" i="2"/>
  <c r="AF30" i="2"/>
  <c r="AF19" i="2"/>
  <c r="AD19" i="2"/>
  <c r="AD30" i="2"/>
  <c r="AI28" i="2"/>
  <c r="AI15" i="2"/>
  <c r="AK8" i="2"/>
  <c r="AJ23" i="2"/>
  <c r="AJ10" i="2"/>
  <c r="Z29" i="2"/>
  <c r="Z17" i="2"/>
  <c r="AL12" i="2"/>
  <c r="AK25" i="2"/>
  <c r="AK26" i="2"/>
  <c r="AL13" i="2"/>
  <c r="AE19" i="2"/>
  <c r="AE30" i="2"/>
  <c r="AG19" i="2"/>
  <c r="AG30" i="2"/>
  <c r="W30" i="2"/>
  <c r="W19" i="2"/>
  <c r="W21" i="2" s="1"/>
  <c r="AK14" i="2"/>
  <c r="AK24" i="2"/>
  <c r="AG21" i="2" l="1"/>
  <c r="AG36" i="2"/>
  <c r="AE21" i="2"/>
  <c r="AE36" i="2"/>
  <c r="AM13" i="2"/>
  <c r="AL26" i="2"/>
  <c r="AM12" i="2"/>
  <c r="AL25" i="2"/>
  <c r="Z18" i="2"/>
  <c r="Z19" i="2"/>
  <c r="Z21" i="2" s="1"/>
  <c r="AJ9" i="2"/>
  <c r="AJ28" i="2"/>
  <c r="AJ15" i="2"/>
  <c r="AJ29" i="2" s="1"/>
  <c r="AL8" i="2"/>
  <c r="AK23" i="2"/>
  <c r="AK10" i="2"/>
  <c r="AK9" i="2"/>
  <c r="AI17" i="2"/>
  <c r="AI29" i="2"/>
  <c r="AD36" i="2"/>
  <c r="AF21" i="2"/>
  <c r="AF36" i="2"/>
  <c r="AL14" i="2"/>
  <c r="AL24" i="2"/>
  <c r="AK28" i="2" l="1"/>
  <c r="AK15" i="2"/>
  <c r="AK29" i="2" s="1"/>
  <c r="AM8" i="2"/>
  <c r="AL10" i="2"/>
  <c r="AL9" i="2"/>
  <c r="AL23" i="2"/>
  <c r="Z30" i="2"/>
  <c r="AI18" i="2"/>
  <c r="AN12" i="2"/>
  <c r="AM25" i="2"/>
  <c r="AN13" i="2"/>
  <c r="AM26" i="2"/>
  <c r="AM14" i="2"/>
  <c r="AM24" i="2"/>
  <c r="AO13" i="2" l="1"/>
  <c r="AN26" i="2"/>
  <c r="AO12" i="2"/>
  <c r="AN25" i="2"/>
  <c r="AI30" i="2"/>
  <c r="AI19" i="2"/>
  <c r="AL28" i="2"/>
  <c r="AL15" i="2"/>
  <c r="AL29" i="2" s="1"/>
  <c r="AN8" i="2"/>
  <c r="AM10" i="2"/>
  <c r="AM23" i="2"/>
  <c r="AN14" i="2"/>
  <c r="AN24" i="2"/>
  <c r="AM9" i="2" l="1"/>
  <c r="AM28" i="2"/>
  <c r="AM15" i="2"/>
  <c r="AM29" i="2" s="1"/>
  <c r="AO8" i="2"/>
  <c r="AN10" i="2"/>
  <c r="AN9" i="2"/>
  <c r="AN23" i="2"/>
  <c r="AI65" i="2"/>
  <c r="AI21" i="2"/>
  <c r="AI34" i="2"/>
  <c r="AJ16" i="2" s="1"/>
  <c r="AJ17" i="2" s="1"/>
  <c r="AO25" i="2"/>
  <c r="AP12" i="2"/>
  <c r="AP13" i="2"/>
  <c r="AO26" i="2"/>
  <c r="AJ18" i="2"/>
  <c r="AJ30" i="2" s="1"/>
  <c r="AO14" i="2"/>
  <c r="AO24" i="2"/>
  <c r="AQ13" i="2" l="1"/>
  <c r="AP26" i="2"/>
  <c r="AQ12" i="2"/>
  <c r="AP25" i="2"/>
  <c r="AN28" i="2"/>
  <c r="AN15" i="2"/>
  <c r="AN29" i="2" s="1"/>
  <c r="AP8" i="2"/>
  <c r="AO10" i="2"/>
  <c r="AO9" i="2"/>
  <c r="AO23" i="2"/>
  <c r="AJ19" i="2"/>
  <c r="AP14" i="2"/>
  <c r="AP24" i="2"/>
  <c r="AO28" i="2" l="1"/>
  <c r="AO15" i="2"/>
  <c r="AO29" i="2" s="1"/>
  <c r="AQ8" i="2"/>
  <c r="AP23" i="2"/>
  <c r="AP10" i="2"/>
  <c r="AP9" i="2"/>
  <c r="AR12" i="2"/>
  <c r="AQ25" i="2"/>
  <c r="AR13" i="2"/>
  <c r="AQ26" i="2"/>
  <c r="AJ34" i="2"/>
  <c r="AJ65" i="2"/>
  <c r="AK16" i="2"/>
  <c r="AK17" i="2" s="1"/>
  <c r="AQ14" i="2"/>
  <c r="AQ24" i="2"/>
  <c r="AS13" i="2" l="1"/>
  <c r="AS26" i="2" s="1"/>
  <c r="AR26" i="2"/>
  <c r="AS12" i="2"/>
  <c r="AS25" i="2" s="1"/>
  <c r="AR25" i="2"/>
  <c r="AP28" i="2"/>
  <c r="AP15" i="2"/>
  <c r="AP29" i="2" s="1"/>
  <c r="AR8" i="2"/>
  <c r="AQ23" i="2"/>
  <c r="AQ10" i="2"/>
  <c r="AQ9" i="2"/>
  <c r="AK18" i="2"/>
  <c r="AK30" i="2" s="1"/>
  <c r="AR14" i="2"/>
  <c r="AR24" i="2"/>
  <c r="AQ28" i="2" l="1"/>
  <c r="AQ15" i="2"/>
  <c r="AQ29" i="2" s="1"/>
  <c r="AS8" i="2"/>
  <c r="AR10" i="2"/>
  <c r="AR23" i="2"/>
  <c r="AK19" i="2"/>
  <c r="AK65" i="2" s="1"/>
  <c r="AS24" i="2"/>
  <c r="AS14" i="2"/>
  <c r="AR9" i="2" l="1"/>
  <c r="AR28" i="2"/>
  <c r="AR15" i="2"/>
  <c r="AR29" i="2" s="1"/>
  <c r="AS23" i="2"/>
  <c r="AS10" i="2"/>
  <c r="AS9" i="2"/>
  <c r="AK34" i="2"/>
  <c r="AL16" i="2"/>
  <c r="AL17" i="2" s="1"/>
  <c r="AS28" i="2" l="1"/>
  <c r="AS15" i="2"/>
  <c r="AS29" i="2" s="1"/>
  <c r="AL18" i="2"/>
  <c r="AL30" i="2" s="1"/>
  <c r="AL19" i="2" l="1"/>
  <c r="AL65" i="2" s="1"/>
  <c r="AL34" i="2" l="1"/>
  <c r="AM16" i="2"/>
  <c r="AM17" i="2" s="1"/>
  <c r="AM18" i="2" l="1"/>
  <c r="AM30" i="2" s="1"/>
  <c r="AM19" i="2" l="1"/>
  <c r="AM65" i="2" s="1"/>
  <c r="AM34" i="2" l="1"/>
  <c r="AN16" i="2"/>
  <c r="AN17" i="2" s="1"/>
  <c r="AN18" i="2" l="1"/>
  <c r="AN30" i="2" s="1"/>
  <c r="AN19" i="2" l="1"/>
  <c r="AN34" i="2"/>
  <c r="AO16" i="2" s="1"/>
  <c r="AO17" i="2" s="1"/>
  <c r="AO18" i="2" s="1"/>
  <c r="AO30" i="2" s="1"/>
  <c r="AN65" i="2" l="1"/>
  <c r="AO19" i="2"/>
  <c r="AO34" i="2" l="1"/>
  <c r="AP16" i="2" s="1"/>
  <c r="AP17" i="2" s="1"/>
  <c r="AP18" i="2" s="1"/>
  <c r="AP30" i="2" s="1"/>
  <c r="AO65" i="2"/>
  <c r="AP19" i="2" l="1"/>
  <c r="AP34" i="2" l="1"/>
  <c r="AQ16" i="2" s="1"/>
  <c r="AQ17" i="2" s="1"/>
  <c r="AQ18" i="2" s="1"/>
  <c r="AQ30" i="2" s="1"/>
  <c r="AP65" i="2"/>
  <c r="AQ19" i="2" l="1"/>
  <c r="AQ34" i="2" l="1"/>
  <c r="AR16" i="2" s="1"/>
  <c r="AR17" i="2" s="1"/>
  <c r="AR18" i="2" s="1"/>
  <c r="AR30" i="2" s="1"/>
  <c r="AQ65" i="2"/>
  <c r="AR19" i="2"/>
  <c r="AR34" i="2" l="1"/>
  <c r="AS16" i="2" s="1"/>
  <c r="AS17" i="2" s="1"/>
  <c r="AS18" i="2" s="1"/>
  <c r="AR65" i="2"/>
  <c r="AS30" i="2"/>
  <c r="AS19" i="2"/>
  <c r="AT19" i="2"/>
  <c r="AU19" i="2" l="1"/>
  <c r="AT65" i="2"/>
  <c r="AS34" i="2"/>
  <c r="AS65" i="2"/>
  <c r="AV19" i="2" l="1"/>
  <c r="AU65" i="2"/>
  <c r="AW19" i="2" l="1"/>
  <c r="AV65" i="2"/>
  <c r="AX19" i="2" l="1"/>
  <c r="AW65" i="2"/>
  <c r="AY19" i="2" l="1"/>
  <c r="AX65" i="2"/>
  <c r="AZ19" i="2" l="1"/>
  <c r="AY65" i="2"/>
  <c r="BA19" i="2" l="1"/>
  <c r="AZ65" i="2"/>
  <c r="BB19" i="2" l="1"/>
  <c r="BA65" i="2"/>
  <c r="BC19" i="2" l="1"/>
  <c r="BB65" i="2"/>
  <c r="BD19" i="2" l="1"/>
  <c r="BC65" i="2"/>
  <c r="BE19" i="2" l="1"/>
  <c r="BD65" i="2"/>
  <c r="BF19" i="2" l="1"/>
  <c r="BE65" i="2"/>
  <c r="BG19" i="2" l="1"/>
  <c r="BF65" i="2"/>
  <c r="BH19" i="2" l="1"/>
  <c r="BG65" i="2"/>
  <c r="BI19" i="2" l="1"/>
  <c r="BH65" i="2"/>
  <c r="BJ19" i="2" l="1"/>
  <c r="BI65" i="2"/>
  <c r="BK19" i="2" l="1"/>
  <c r="BJ65" i="2"/>
  <c r="BL19" i="2" l="1"/>
  <c r="BK65" i="2"/>
  <c r="BM19" i="2" l="1"/>
  <c r="BL65" i="2"/>
  <c r="BN19" i="2" l="1"/>
  <c r="BM65" i="2"/>
  <c r="BO19" i="2" l="1"/>
  <c r="BN65" i="2"/>
  <c r="BP19" i="2" l="1"/>
  <c r="BO65" i="2"/>
  <c r="BQ19" i="2" l="1"/>
  <c r="BP65" i="2"/>
  <c r="BR19" i="2" l="1"/>
  <c r="BQ65" i="2"/>
  <c r="BS19" i="2" l="1"/>
  <c r="BR65" i="2"/>
  <c r="BT19" i="2" l="1"/>
  <c r="BS65" i="2"/>
  <c r="BU19" i="2" l="1"/>
  <c r="BT65" i="2"/>
  <c r="BV19" i="2" l="1"/>
  <c r="BU65" i="2"/>
  <c r="BW19" i="2" l="1"/>
  <c r="BV65" i="2"/>
  <c r="BX19" i="2" l="1"/>
  <c r="BW65" i="2"/>
  <c r="BY19" i="2" l="1"/>
  <c r="BX65" i="2"/>
  <c r="BZ19" i="2" l="1"/>
  <c r="BY65" i="2"/>
  <c r="CA19" i="2" l="1"/>
  <c r="BZ65" i="2"/>
  <c r="CB19" i="2" l="1"/>
  <c r="CA65" i="2"/>
  <c r="CC19" i="2" l="1"/>
  <c r="CB65" i="2"/>
  <c r="CD19" i="2" l="1"/>
  <c r="CC65" i="2"/>
  <c r="CE19" i="2" l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AV38" i="2" s="1"/>
  <c r="AV40" i="2" s="1"/>
  <c r="AV42" i="2" s="1"/>
  <c r="CD65" i="2"/>
  <c r="AX38" i="2" s="1"/>
  <c r="AX40" i="2" s="1"/>
  <c r="C20" i="2" l="1"/>
  <c r="AD20" i="2" s="1"/>
  <c r="AD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B8" authorId="0" shapeId="0" xr:uid="{429F47C0-0923-F74A-A426-9F1B1DA801A5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2022 acq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Angelo Wong</author>
  </authors>
  <commentList>
    <comment ref="W8" authorId="0" shapeId="0" xr:uid="{23918C38-FD77-A548-9502-3FF72899CFAA}">
      <text>
        <r>
          <rPr>
            <b/>
            <sz val="10"/>
            <color rgb="FF000000"/>
            <rFont val="Tahoma"/>
            <family val="2"/>
          </rPr>
          <t>Angelo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114-116</t>
        </r>
      </text>
    </comment>
    <comment ref="AD64" authorId="0" shapeId="0" xr:uid="{27E5722E-D702-6741-B63A-B5C7776CC49B}">
      <text>
        <r>
          <rPr>
            <b/>
            <sz val="10"/>
            <color rgb="FF000000"/>
            <rFont val="Tahoma"/>
            <family val="2"/>
          </rPr>
          <t>1.091bn from raise. so actually negative. 300M repurchase common stock</t>
        </r>
      </text>
    </comment>
    <comment ref="AE64" authorId="0" shapeId="0" xr:uid="{08A26DB3-DADB-D44E-A377-6A784F8E28EC}">
      <text>
        <r>
          <rPr>
            <b/>
            <sz val="10"/>
            <color rgb="FF000000"/>
            <rFont val="Tahoma"/>
            <family val="2"/>
          </rPr>
          <t>1.091bn from raise. so actually negative. 300M repurchase common stock</t>
        </r>
      </text>
    </comment>
  </commentList>
</comments>
</file>

<file path=xl/sharedStrings.xml><?xml version="1.0" encoding="utf-8"?>
<sst xmlns="http://schemas.openxmlformats.org/spreadsheetml/2006/main" count="144" uniqueCount="126">
  <si>
    <t>Segments</t>
  </si>
  <si>
    <t>Notes</t>
  </si>
  <si>
    <t>Comptition</t>
  </si>
  <si>
    <t>Price</t>
  </si>
  <si>
    <t>Chegg Study</t>
  </si>
  <si>
    <t>AI / subject matter expert study, or chatgpt</t>
  </si>
  <si>
    <t>Will shrink to close to 0</t>
  </si>
  <si>
    <t>Stiff / impossible</t>
  </si>
  <si>
    <t>Shares</t>
  </si>
  <si>
    <t>Q424</t>
  </si>
  <si>
    <t>Chegg Writing</t>
  </si>
  <si>
    <t>Plagiarism detection, grammar, writing fluency, etc. So grammarly / jenni.ai</t>
  </si>
  <si>
    <t>MC</t>
  </si>
  <si>
    <t>Chegg Math</t>
  </si>
  <si>
    <t>Chatgpt for math</t>
  </si>
  <si>
    <t>Cash</t>
  </si>
  <si>
    <t>Chegg Study Pack</t>
  </si>
  <si>
    <t>Cheg study + writing and math</t>
  </si>
  <si>
    <t>Debt</t>
  </si>
  <si>
    <t>Busuu</t>
  </si>
  <si>
    <t>Language learning platform, with live tutors and community to practice alongside</t>
  </si>
  <si>
    <t>Only thing that is not directly rape-able by chatgpt</t>
  </si>
  <si>
    <t>Duolingo</t>
  </si>
  <si>
    <t>EV</t>
  </si>
  <si>
    <t>Chegg Skills</t>
  </si>
  <si>
    <t>Specific skills for jobs.</t>
  </si>
  <si>
    <t>Schools already have a track. So only really useful for ppl that can't afford, or could not, go to school</t>
  </si>
  <si>
    <t>School</t>
  </si>
  <si>
    <t>Ads</t>
  </si>
  <si>
    <t>Who wants to have a max unique impression of 6M users? Would be low af CPM or else!</t>
  </si>
  <si>
    <t>Doesn't matter, no money here.</t>
  </si>
  <si>
    <t>Net Cash</t>
  </si>
  <si>
    <t>Shrinking/dying business</t>
  </si>
  <si>
    <t>Acquisitions</t>
  </si>
  <si>
    <t>Cost</t>
  </si>
  <si>
    <t>Year</t>
  </si>
  <si>
    <t>What</t>
  </si>
  <si>
    <t>Language</t>
  </si>
  <si>
    <t>Mathway</t>
  </si>
  <si>
    <t>Math</t>
  </si>
  <si>
    <t>Thinkful</t>
  </si>
  <si>
    <t>Coding bootcamp</t>
  </si>
  <si>
    <t>Now is "Chegg Skills"</t>
  </si>
  <si>
    <t>History</t>
  </si>
  <si>
    <t>889.4 million in losses</t>
  </si>
  <si>
    <t>Since 2005, have not been profitable.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</si>
  <si>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</si>
  <si>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</si>
  <si>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</si>
  <si>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</si>
  <si>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</si>
  <si>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</si>
  <si>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</si>
  <si>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</si>
  <si>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</si>
  <si>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</si>
  <si>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</si>
  <si>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</si>
  <si>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</si>
  <si>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</si>
  <si>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</si>
  <si>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</si>
  <si>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</si>
  <si>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</si>
  <si>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</si>
  <si>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</si>
  <si>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</si>
  <si>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</si>
  <si>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</si>
  <si>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Subscriptions</t>
  </si>
  <si>
    <t>Subscription Growth</t>
  </si>
  <si>
    <t>Revenue</t>
  </si>
  <si>
    <t>COGs</t>
  </si>
  <si>
    <t>Gross Profit</t>
  </si>
  <si>
    <t>R&amp;D</t>
  </si>
  <si>
    <t>S&amp;M</t>
  </si>
  <si>
    <t>G&amp;A</t>
  </si>
  <si>
    <t>Operating Expense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</si>
  <si>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</si>
  <si>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</si>
  <si>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</si>
  <si>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</si>
  <si>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</si>
  <si>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</si>
  <si>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</si>
  <si>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R&amp;D Growth</t>
  </si>
  <si>
    <t>S&amp;M Growth</t>
  </si>
  <si>
    <t>G&amp;A Growth</t>
  </si>
  <si>
    <t>Gross Margin</t>
  </si>
  <si>
    <t>Operating Margin</t>
  </si>
  <si>
    <t>Maturity</t>
  </si>
  <si>
    <t>Model NI</t>
  </si>
  <si>
    <t>ROIC</t>
  </si>
  <si>
    <t>Reported NI</t>
  </si>
  <si>
    <t>Discount Rate</t>
  </si>
  <si>
    <t>SBC</t>
  </si>
  <si>
    <t>NPV</t>
  </si>
  <si>
    <t>NPV cash flow</t>
  </si>
  <si>
    <t>D&amp;A</t>
  </si>
  <si>
    <t>D/T</t>
  </si>
  <si>
    <t>Price CF</t>
  </si>
  <si>
    <t>Spot Price</t>
  </si>
  <si>
    <t>Loss contingency</t>
  </si>
  <si>
    <t>Difference</t>
  </si>
  <si>
    <t>Impairment</t>
  </si>
  <si>
    <t>Writeoff PPE</t>
  </si>
  <si>
    <t>Amortization</t>
  </si>
  <si>
    <t>Lease</t>
  </si>
  <si>
    <t>Loss sale investments</t>
  </si>
  <si>
    <t>Gain on textook library</t>
  </si>
  <si>
    <t>Deprecation textook</t>
  </si>
  <si>
    <t>FX Gains</t>
  </si>
  <si>
    <t>Lease impairments</t>
  </si>
  <si>
    <t>Other</t>
  </si>
  <si>
    <t>A/R</t>
  </si>
  <si>
    <t>Prepaids</t>
  </si>
  <si>
    <t>A/P</t>
  </si>
  <si>
    <t>D/R</t>
  </si>
  <si>
    <t>Acrrued Liabilities</t>
  </si>
  <si>
    <t>Other liabilities</t>
  </si>
  <si>
    <t>CFFO</t>
  </si>
  <si>
    <t>Capex</t>
  </si>
  <si>
    <t>FCF</t>
  </si>
  <si>
    <t>CFFI</t>
  </si>
  <si>
    <t>CFFF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</si>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</sst>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u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3" fontId="1" fillId="0" borderId="0" xfId="0" applyNumberFormat="1" applyFont="1"/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9" fontId="0" fillId="0" borderId="0" xfId="0" applyNumberFormat="1"/>
    <xf numFmtId="3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114300</xdr:colOff>
      <xdr:row>0</xdr:row>
      <xdr:rowOff>12700</xdr:rowOff>
    </xdr:from>
    <xdr:to>
      <xdr:col>22</xdr:col>
      <xdr:colOff>114300</xdr:colOff>
      <xdr:row>76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1CC965F-EDE7-19E8-AFAB-2820F06DA1CE}"/>
            </a:ext>
          </a:extLst>
        </xdr:cNvPr>
        <xdr:cNvCxnSpPr/>
      </xdr:nvCxnSpPr>
      <xdr:spPr>
        <a:xfrm>
          <a:off x="18275300" y="12700"/>
          <a:ext cx="0" cy="12852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88900</xdr:colOff>
      <xdr:row>0</xdr:row>
      <xdr:rowOff>0</xdr:rowOff>
    </xdr:from>
    <xdr:to>
      <xdr:col>34</xdr:col>
      <xdr:colOff>88900</xdr:colOff>
      <xdr:row>76</xdr:row>
      <xdr:rowOff>50800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CB75213-1DDA-A842-93B4-7ADC48ABD5BD}"/>
            </a:ext>
          </a:extLst>
        </xdr:cNvPr>
        <xdr:cNvCxnSpPr/>
      </xdr:nvCxnSpPr>
      <xdr:spPr>
        <a:xfrm>
          <a:off x="28155900" y="0"/>
          <a:ext cx="0" cy="12852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9DD5D-01B6-D947-9A1A-B3062AB09141}">
  <dimension ref="B3:L26"/>
  <sheetViews>
    <sheetView workbookViewId="0">
      <selection activeCell="K7" sqref="K7"/>
    </sheetView>
  </sheetViews>
  <sheetFormatPr defaultColWidth="11" defaultRowHeight="15.95"/>
  <sheetData>
    <row r="3" spans="2:12">
      <c r="B3" s="6" t="s">
        <v>0</v>
      </c>
      <c r="D3" t="s">
        <v>1</v>
      </c>
      <c r="E3" t="s">
        <v>2</v>
      </c>
      <c r="J3" t="s">
        <v>3</v>
      </c>
      <c r="K3">
        <v>1.07</v>
      </c>
    </row>
    <row r="4" spans="2:12">
      <c r="B4" t="s">
        <v>4</v>
      </c>
      <c r="C4" t="s">
        <v>5</v>
      </c>
      <c r="D4" t="s">
        <v>6</v>
      </c>
      <c r="E4" t="s">
        <v>7</v>
      </c>
      <c r="J4" t="s">
        <v>8</v>
      </c>
      <c r="K4" s="1">
        <v>105.10899999999999</v>
      </c>
      <c r="L4" t="s">
        <v>9</v>
      </c>
    </row>
    <row r="5" spans="2:12">
      <c r="B5" t="s">
        <v>10</v>
      </c>
      <c r="C5" t="s">
        <v>11</v>
      </c>
      <c r="D5" t="s">
        <v>6</v>
      </c>
      <c r="E5" t="s">
        <v>7</v>
      </c>
      <c r="J5" t="s">
        <v>12</v>
      </c>
      <c r="K5" s="1">
        <f>K4*K3</f>
        <v>112.46662999999999</v>
      </c>
    </row>
    <row r="6" spans="2:12">
      <c r="B6" t="s">
        <v>13</v>
      </c>
      <c r="C6" t="s">
        <v>14</v>
      </c>
      <c r="D6" t="s">
        <v>6</v>
      </c>
      <c r="E6" t="s">
        <v>7</v>
      </c>
      <c r="J6" t="s">
        <v>15</v>
      </c>
      <c r="K6" s="1">
        <f>161.475+154.249</f>
        <v>315.72399999999999</v>
      </c>
      <c r="L6" t="s">
        <v>9</v>
      </c>
    </row>
    <row r="7" spans="2:12">
      <c r="B7" t="s">
        <v>16</v>
      </c>
      <c r="C7" t="s">
        <v>17</v>
      </c>
      <c r="D7" t="s">
        <v>6</v>
      </c>
      <c r="E7" t="s">
        <v>7</v>
      </c>
      <c r="J7" t="s">
        <v>18</v>
      </c>
      <c r="K7" s="1">
        <v>127.34399999999999</v>
      </c>
      <c r="L7" t="s">
        <v>9</v>
      </c>
    </row>
    <row r="8" spans="2:12">
      <c r="B8" s="5" t="s">
        <v>19</v>
      </c>
      <c r="C8" t="s">
        <v>20</v>
      </c>
      <c r="D8" t="s">
        <v>21</v>
      </c>
      <c r="E8" t="s">
        <v>22</v>
      </c>
      <c r="J8" t="s">
        <v>23</v>
      </c>
      <c r="K8" s="1">
        <f>+K5-K6+K7</f>
        <v>-75.913369999999986</v>
      </c>
    </row>
    <row r="9" spans="2:12">
      <c r="B9" t="s">
        <v>24</v>
      </c>
      <c r="C9" t="s">
        <v>25</v>
      </c>
      <c r="D9" t="s">
        <v>26</v>
      </c>
      <c r="E9" t="s">
        <v>27</v>
      </c>
    </row>
    <row r="10" spans="2:12">
      <c r="B10" t="s">
        <v>28</v>
      </c>
      <c r="D10" t="s">
        <v>29</v>
      </c>
      <c r="E10" t="s">
        <v>30</v>
      </c>
      <c r="J10" t="s">
        <v>31</v>
      </c>
      <c r="K10" s="1">
        <f>K6-K7</f>
        <v>188.38</v>
      </c>
    </row>
    <row r="16" spans="2:12">
      <c r="B16" t="s">
        <v>32</v>
      </c>
    </row>
    <row r="19" spans="2:6">
      <c r="B19" t="s">
        <v>33</v>
      </c>
      <c r="C19" t="s">
        <v>34</v>
      </c>
      <c r="D19" t="s">
        <v>35</v>
      </c>
      <c r="E19" t="s">
        <v>36</v>
      </c>
      <c r="F19" t="s">
        <v>1</v>
      </c>
    </row>
    <row r="20" spans="2:6">
      <c r="B20" t="s">
        <v>19</v>
      </c>
      <c r="C20">
        <v>436</v>
      </c>
      <c r="D20">
        <v>2022</v>
      </c>
      <c r="E20" t="s">
        <v>37</v>
      </c>
    </row>
    <row r="21" spans="2:6">
      <c r="B21" t="s">
        <v>38</v>
      </c>
      <c r="C21">
        <v>100</v>
      </c>
      <c r="D21">
        <v>2020</v>
      </c>
      <c r="E21" t="s">
        <v>39</v>
      </c>
    </row>
    <row r="22" spans="2:6">
      <c r="B22" t="s">
        <v>40</v>
      </c>
      <c r="C22">
        <v>80</v>
      </c>
      <c r="D22">
        <v>2019</v>
      </c>
      <c r="E22" t="s">
        <v>41</v>
      </c>
      <c r="F22" t="s">
        <v>42</v>
      </c>
    </row>
    <row r="25" spans="2:6">
      <c r="B25" t="s">
        <v>43</v>
      </c>
      <c r="C25" t="s">
        <v>44</v>
      </c>
    </row>
    <row r="26" spans="2:6">
      <c r="C26" t="s">
        <v>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D742-6DF0-884B-9750-CA47F059FE88}">
  <dimension ref="A1:DI65"/>
  <sheetViews>
    <sheetView tabSelected="1" workbookViewId="0">
      <pane xSplit="2" ySplit="3" topLeftCell="AI4" activePane="bottomRight" state="frozen"/>
      <selection pane="bottomRight" activeCell="AX42" sqref="AX42"/>
      <selection pane="bottomLeft" activeCell="A4" sqref="A4"/>
      <selection pane="topRight" activeCell="C1" sqref="C1"/>
    </sheetView>
  </sheetViews>
  <sheetFormatPr defaultColWidth="10.875" defaultRowHeight="15.95"/>
  <cols>
    <col min="1" max="1" width="10.875" style="1"/>
    <col min="2" max="2" width="19" style="8" customWidth="1"/>
    <col min="3" max="16384" width="10.875" style="3"/>
  </cols>
  <sheetData>
    <row r="1" spans="1:45" s="2" customFormat="1">
      <c r="A1"/>
      <c r="B1" s="7"/>
    </row>
    <row r="2" spans="1:45" s="2" customFormat="1">
      <c r="A2"/>
      <c r="B2" s="7"/>
    </row>
    <row r="3" spans="1:45" s="2" customFormat="1">
      <c r="B3" s="7"/>
      <c r="C3" s="2" t="s">
        <v>46</v>
      </c>
      <c r="D3" s="2" t="s">
        <v>47</v>
      </c>
      <c r="E3" s="2" t="s">
        <v>48</v>
      </c>
      <c r="F3" s="2" t="s">
        <v>49</v>
      </c>
      <c r="G3" s="2" t="s">
        <v>50</v>
      </c>
      <c r="H3" s="2" t="s">
        <v>51</v>
      </c>
      <c r="I3" s="2" t="s">
        <v>52</v>
      </c>
      <c r="J3" s="2" t="s">
        <v>53</v>
      </c>
      <c r="K3" s="2" t="s">
        <v>54</v>
      </c>
      <c r="L3" s="2" t="s">
        <v>55</v>
      </c>
      <c r="M3" s="2" t="s">
        <v>56</v>
      </c>
      <c r="N3" s="2" t="s">
        <v>57</v>
      </c>
      <c r="O3" s="2" t="s">
        <v>58</v>
      </c>
      <c r="P3" s="2" t="s">
        <v>59</v>
      </c>
      <c r="Q3" s="2" t="s">
        <v>60</v>
      </c>
      <c r="R3" s="2" t="s">
        <v>61</v>
      </c>
      <c r="S3" s="2" t="s">
        <v>62</v>
      </c>
      <c r="T3" s="2" t="s">
        <v>63</v>
      </c>
      <c r="U3" s="2" t="s">
        <v>64</v>
      </c>
      <c r="V3" s="2" t="s">
        <v>9</v>
      </c>
      <c r="W3" s="2" t="s">
        <v>65</v>
      </c>
      <c r="X3" s="2" t="s">
        <v>66</v>
      </c>
      <c r="Y3" s="2" t="s">
        <v>67</v>
      </c>
      <c r="Z3" s="2" t="s">
        <v>68</v>
      </c>
      <c r="AD3" s="2">
        <v>2020</v>
      </c>
      <c r="AE3" s="2">
        <f>+AD3+1</f>
        <v>2021</v>
      </c>
      <c r="AF3" s="2">
        <f t="shared" ref="AF3:BJ3" si="0">+AE3+1</f>
        <v>2022</v>
      </c>
      <c r="AG3" s="2">
        <f t="shared" si="0"/>
        <v>2023</v>
      </c>
      <c r="AH3" s="2">
        <f t="shared" si="0"/>
        <v>2024</v>
      </c>
      <c r="AI3" s="2">
        <f t="shared" si="0"/>
        <v>2025</v>
      </c>
      <c r="AJ3" s="2">
        <f t="shared" si="0"/>
        <v>2026</v>
      </c>
      <c r="AK3" s="2">
        <f t="shared" si="0"/>
        <v>2027</v>
      </c>
      <c r="AL3" s="2">
        <f t="shared" si="0"/>
        <v>2028</v>
      </c>
      <c r="AM3" s="2">
        <f t="shared" si="0"/>
        <v>2029</v>
      </c>
      <c r="AN3" s="2">
        <f t="shared" si="0"/>
        <v>2030</v>
      </c>
      <c r="AO3" s="2">
        <f t="shared" si="0"/>
        <v>2031</v>
      </c>
      <c r="AP3" s="2">
        <f t="shared" si="0"/>
        <v>2032</v>
      </c>
      <c r="AQ3" s="2">
        <f t="shared" si="0"/>
        <v>2033</v>
      </c>
      <c r="AR3" s="2">
        <f t="shared" si="0"/>
        <v>2034</v>
      </c>
      <c r="AS3" s="2">
        <f t="shared" si="0"/>
        <v>2035</v>
      </c>
    </row>
    <row r="4" spans="1:45">
      <c r="A4" s="3"/>
      <c r="B4" s="8" t="s">
        <v>69</v>
      </c>
      <c r="AF4" s="3">
        <v>8.1</v>
      </c>
      <c r="AG4" s="3">
        <v>7.7</v>
      </c>
      <c r="AH4" s="3">
        <v>6.6</v>
      </c>
    </row>
    <row r="5" spans="1:45" s="4" customFormat="1">
      <c r="B5" s="9" t="s">
        <v>70</v>
      </c>
      <c r="AG5" s="4">
        <f t="shared" ref="AG5" si="1">AG4/AF4-1</f>
        <v>-4.9382716049382602E-2</v>
      </c>
      <c r="AH5" s="4">
        <f>AH4/AG4-1</f>
        <v>-0.1428571428571429</v>
      </c>
    </row>
    <row r="6" spans="1:45">
      <c r="A6" s="3"/>
    </row>
    <row r="7" spans="1:45">
      <c r="A7" s="3"/>
    </row>
    <row r="8" spans="1:45" s="12" customFormat="1">
      <c r="A8" s="10"/>
      <c r="B8" s="11" t="s">
        <v>71</v>
      </c>
      <c r="C8" s="12">
        <v>131.59</v>
      </c>
      <c r="D8" s="12">
        <v>153.00899999999999</v>
      </c>
      <c r="E8" s="12">
        <v>154.018</v>
      </c>
      <c r="F8" s="12">
        <v>205.721</v>
      </c>
      <c r="G8" s="12">
        <v>198.37799999999999</v>
      </c>
      <c r="H8" s="12">
        <v>198.47800000000001</v>
      </c>
      <c r="I8" s="12">
        <v>171.94200000000001</v>
      </c>
      <c r="J8" s="12">
        <v>207.46700000000001</v>
      </c>
      <c r="K8" s="12">
        <v>202.244</v>
      </c>
      <c r="L8" s="12">
        <v>194.721</v>
      </c>
      <c r="M8" s="12">
        <v>164.739</v>
      </c>
      <c r="N8" s="12">
        <v>205.19300000000001</v>
      </c>
      <c r="O8" s="12">
        <v>187.601</v>
      </c>
      <c r="P8" s="12">
        <v>182.85300000000001</v>
      </c>
      <c r="Q8" s="12">
        <v>157.85400000000001</v>
      </c>
      <c r="R8" s="12">
        <v>187.98699999999999</v>
      </c>
      <c r="S8" s="12">
        <v>174.35</v>
      </c>
      <c r="T8" s="12">
        <v>163.14699999999999</v>
      </c>
      <c r="U8" s="12">
        <v>136.59299999999999</v>
      </c>
      <c r="V8" s="12">
        <v>143.48400000000001</v>
      </c>
      <c r="W8" s="12">
        <v>115</v>
      </c>
      <c r="X8" s="12">
        <f>T8*0.75</f>
        <v>122.36024999999999</v>
      </c>
      <c r="Y8" s="12">
        <f t="shared" ref="Y8:Z8" si="2">U8*0.75</f>
        <v>102.44475</v>
      </c>
      <c r="Z8" s="12">
        <f t="shared" si="2"/>
        <v>107.613</v>
      </c>
      <c r="AD8" s="12">
        <f>SUM(C8:F8)</f>
        <v>644.33799999999997</v>
      </c>
      <c r="AE8" s="12">
        <f>SUM(G8:J8)</f>
        <v>776.26499999999999</v>
      </c>
      <c r="AF8" s="12">
        <f>SUM(K8:N8)</f>
        <v>766.89700000000005</v>
      </c>
      <c r="AG8" s="12">
        <f>SUM(O8:R8)</f>
        <v>716.29499999999996</v>
      </c>
      <c r="AH8" s="12">
        <f>SUM(S8:V8)</f>
        <v>617.57399999999996</v>
      </c>
      <c r="AI8" s="12">
        <f>SUM(W8:Z8)</f>
        <v>447.41800000000001</v>
      </c>
      <c r="AJ8" s="12">
        <f>AI8*(0.7)</f>
        <v>313.19259999999997</v>
      </c>
      <c r="AK8" s="12">
        <f>AJ8*1.1</f>
        <v>344.51186000000001</v>
      </c>
      <c r="AL8" s="12">
        <f t="shared" ref="AL8:AN8" si="3">AK8*1.1</f>
        <v>378.96304600000002</v>
      </c>
      <c r="AM8" s="12">
        <f t="shared" si="3"/>
        <v>416.85935060000003</v>
      </c>
      <c r="AN8" s="12">
        <f t="shared" ref="AN8:AO8" si="4">AM8*1.05</f>
        <v>437.70231813000004</v>
      </c>
      <c r="AO8" s="12">
        <f>AN8*1.05</f>
        <v>459.58743403650004</v>
      </c>
      <c r="AP8" s="12">
        <f t="shared" ref="AP8:AR8" si="5">AO8*1.03</f>
        <v>473.37505705759503</v>
      </c>
      <c r="AQ8" s="12">
        <f t="shared" si="5"/>
        <v>487.57630876932291</v>
      </c>
      <c r="AR8" s="12">
        <f>AQ8*1.03</f>
        <v>502.20359803240262</v>
      </c>
      <c r="AS8" s="12">
        <f t="shared" ref="AS8" si="6">AR8*1.03</f>
        <v>517.2697059733747</v>
      </c>
    </row>
    <row r="9" spans="1:45">
      <c r="B9" s="8" t="s">
        <v>72</v>
      </c>
      <c r="C9" s="3">
        <v>42.39</v>
      </c>
      <c r="D9" s="3">
        <v>43.524000000000001</v>
      </c>
      <c r="E9" s="3">
        <v>62.37</v>
      </c>
      <c r="F9" s="3">
        <v>57.133000000000003</v>
      </c>
      <c r="G9" s="3">
        <v>71.384</v>
      </c>
      <c r="H9" s="3">
        <v>60.707999999999998</v>
      </c>
      <c r="I9" s="3">
        <v>67.102000000000004</v>
      </c>
      <c r="J9" s="3">
        <v>55.71</v>
      </c>
      <c r="K9" s="3">
        <v>55.085000000000001</v>
      </c>
      <c r="L9" s="3">
        <v>45.683999999999997</v>
      </c>
      <c r="M9" s="3">
        <v>45.203000000000003</v>
      </c>
      <c r="N9" s="3">
        <v>51.423999999999999</v>
      </c>
      <c r="O9" s="3">
        <v>49.15</v>
      </c>
      <c r="P9" s="3">
        <v>47.411999999999999</v>
      </c>
      <c r="Q9" s="3">
        <v>83.575000000000003</v>
      </c>
      <c r="R9" s="3">
        <v>45.804000000000002</v>
      </c>
      <c r="S9" s="3">
        <v>46.497</v>
      </c>
      <c r="T9" s="3">
        <v>45.411000000000001</v>
      </c>
      <c r="U9" s="3">
        <v>43.42</v>
      </c>
      <c r="V9" s="3">
        <v>45.598999999999997</v>
      </c>
      <c r="W9" s="3">
        <f>+W8-W10</f>
        <v>37.949999999999989</v>
      </c>
      <c r="X9" s="3">
        <f t="shared" ref="X9:Z9" si="7">+X8-X10</f>
        <v>36.708075000000008</v>
      </c>
      <c r="Y9" s="3">
        <f t="shared" si="7"/>
        <v>30.733425000000011</v>
      </c>
      <c r="Z9" s="3">
        <f t="shared" si="7"/>
        <v>32.283900000000003</v>
      </c>
      <c r="AD9" s="17">
        <f>SUM(C9:F9)</f>
        <v>205.417</v>
      </c>
      <c r="AE9" s="17">
        <f>SUM(G9:J9)</f>
        <v>254.904</v>
      </c>
      <c r="AF9" s="17">
        <f>SUM(K9:N9)</f>
        <v>197.39600000000002</v>
      </c>
      <c r="AG9" s="17">
        <f>SUM(O9:R9)</f>
        <v>225.941</v>
      </c>
      <c r="AH9" s="17">
        <f>SUM(S9:V9)</f>
        <v>180.92699999999999</v>
      </c>
      <c r="AI9" s="17">
        <f>SUM(W9:Z9)</f>
        <v>137.67540000000002</v>
      </c>
      <c r="AJ9" s="3">
        <f>+AJ8-AJ10</f>
        <v>93.957780000000014</v>
      </c>
      <c r="AK9" s="3">
        <f t="shared" ref="AK9:AS9" si="8">+AK8-AK10</f>
        <v>103.35355800000002</v>
      </c>
      <c r="AL9" s="3">
        <f t="shared" si="8"/>
        <v>113.68891380000002</v>
      </c>
      <c r="AM9" s="3">
        <f t="shared" si="8"/>
        <v>125.05780518</v>
      </c>
      <c r="AN9" s="3">
        <f t="shared" si="8"/>
        <v>131.31069543900003</v>
      </c>
      <c r="AO9" s="3">
        <f t="shared" si="8"/>
        <v>137.87623021095004</v>
      </c>
      <c r="AP9" s="3">
        <f t="shared" si="8"/>
        <v>142.01251711727855</v>
      </c>
      <c r="AQ9" s="3">
        <f t="shared" si="8"/>
        <v>146.27289263079689</v>
      </c>
      <c r="AR9" s="3">
        <f t="shared" si="8"/>
        <v>150.6610794097208</v>
      </c>
      <c r="AS9" s="3">
        <f t="shared" si="8"/>
        <v>155.18091179201241</v>
      </c>
    </row>
    <row r="10" spans="1:45">
      <c r="B10" s="8" t="s">
        <v>73</v>
      </c>
      <c r="C10" s="3">
        <f>C8-C9</f>
        <v>89.2</v>
      </c>
      <c r="D10" s="3">
        <f>D8-D9</f>
        <v>109.48499999999999</v>
      </c>
      <c r="E10" s="3">
        <f>E8-E9</f>
        <v>91.647999999999996</v>
      </c>
      <c r="F10" s="3">
        <f>F8-F9</f>
        <v>148.58799999999999</v>
      </c>
      <c r="G10" s="3">
        <f>G8-G9</f>
        <v>126.99399999999999</v>
      </c>
      <c r="H10" s="3">
        <f>H8-H9</f>
        <v>137.77000000000001</v>
      </c>
      <c r="I10" s="3">
        <f>I8-I9</f>
        <v>104.84</v>
      </c>
      <c r="J10" s="3">
        <f>J8-J9</f>
        <v>151.75700000000001</v>
      </c>
      <c r="K10" s="3">
        <f>K8-K9</f>
        <v>147.15899999999999</v>
      </c>
      <c r="L10" s="3">
        <f>L8-L9</f>
        <v>149.03700000000001</v>
      </c>
      <c r="M10" s="3">
        <f>M8-M9</f>
        <v>119.536</v>
      </c>
      <c r="N10" s="3">
        <f>N8-N9</f>
        <v>153.76900000000001</v>
      </c>
      <c r="O10" s="3">
        <f>O8-O9</f>
        <v>138.45099999999999</v>
      </c>
      <c r="P10" s="3">
        <f>P8-P9</f>
        <v>135.441</v>
      </c>
      <c r="Q10" s="3">
        <f>Q8-Q9</f>
        <v>74.279000000000011</v>
      </c>
      <c r="R10" s="3">
        <f>R8-R9</f>
        <v>142.18299999999999</v>
      </c>
      <c r="S10" s="3">
        <f>S8-S9</f>
        <v>127.85299999999999</v>
      </c>
      <c r="T10" s="3">
        <f>T8-T9</f>
        <v>117.73599999999999</v>
      </c>
      <c r="U10" s="3">
        <f>U8-U9</f>
        <v>93.172999999999988</v>
      </c>
      <c r="V10" s="3">
        <f>V8-V9</f>
        <v>97.885000000000019</v>
      </c>
      <c r="W10" s="3">
        <f>W8*0.67</f>
        <v>77.050000000000011</v>
      </c>
      <c r="X10" s="3">
        <f t="shared" ref="X10:Z10" si="9">X8*0.7</f>
        <v>85.652174999999986</v>
      </c>
      <c r="Y10" s="3">
        <f t="shared" si="9"/>
        <v>71.711324999999988</v>
      </c>
      <c r="Z10" s="3">
        <f t="shared" si="9"/>
        <v>75.329099999999997</v>
      </c>
      <c r="AD10" s="3">
        <f>AD8-AD9</f>
        <v>438.92099999999994</v>
      </c>
      <c r="AE10" s="3">
        <f>AE8-AE9</f>
        <v>521.36099999999999</v>
      </c>
      <c r="AF10" s="3">
        <f>AF8-AF9</f>
        <v>569.50099999999998</v>
      </c>
      <c r="AG10" s="3">
        <f>AG8-AG9</f>
        <v>490.35399999999993</v>
      </c>
      <c r="AH10" s="3">
        <f>AH8-AH9</f>
        <v>436.64699999999993</v>
      </c>
      <c r="AI10" s="3">
        <f>AI8-AI9</f>
        <v>309.74259999999998</v>
      </c>
      <c r="AJ10" s="3">
        <f>AJ8*0.7</f>
        <v>219.23481999999996</v>
      </c>
      <c r="AK10" s="3">
        <f t="shared" ref="AK10:AS10" si="10">AK8*0.7</f>
        <v>241.15830199999999</v>
      </c>
      <c r="AL10" s="3">
        <f t="shared" si="10"/>
        <v>265.2741322</v>
      </c>
      <c r="AM10" s="3">
        <f t="shared" si="10"/>
        <v>291.80154542000002</v>
      </c>
      <c r="AN10" s="3">
        <f t="shared" si="10"/>
        <v>306.39162269100001</v>
      </c>
      <c r="AO10" s="3">
        <f t="shared" si="10"/>
        <v>321.71120382555</v>
      </c>
      <c r="AP10" s="3">
        <f t="shared" si="10"/>
        <v>331.36253994031648</v>
      </c>
      <c r="AQ10" s="3">
        <f t="shared" si="10"/>
        <v>341.30341613852602</v>
      </c>
      <c r="AR10" s="3">
        <f t="shared" si="10"/>
        <v>351.54251862268183</v>
      </c>
      <c r="AS10" s="3">
        <f t="shared" si="10"/>
        <v>362.08879418136229</v>
      </c>
    </row>
    <row r="11" spans="1:45">
      <c r="B11" s="8" t="s">
        <v>74</v>
      </c>
      <c r="C11" s="3">
        <v>39.540999999999997</v>
      </c>
      <c r="D11" s="3">
        <v>40.374000000000002</v>
      </c>
      <c r="E11" s="3">
        <v>44.040999999999997</v>
      </c>
      <c r="F11" s="3">
        <v>46.948999999999998</v>
      </c>
      <c r="G11" s="3">
        <v>46.131</v>
      </c>
      <c r="H11" s="3">
        <v>41.594999999999999</v>
      </c>
      <c r="I11" s="3">
        <v>43.268999999999998</v>
      </c>
      <c r="J11" s="3">
        <v>47.826000000000001</v>
      </c>
      <c r="K11" s="3">
        <v>52.414999999999999</v>
      </c>
      <c r="L11" s="3">
        <v>52.48</v>
      </c>
      <c r="M11" s="3">
        <v>45.426000000000002</v>
      </c>
      <c r="N11" s="3">
        <v>46.316000000000003</v>
      </c>
      <c r="O11" s="3">
        <v>46.906999999999996</v>
      </c>
      <c r="P11" s="3">
        <v>52.872</v>
      </c>
      <c r="Q11" s="3">
        <v>46.201999999999998</v>
      </c>
      <c r="R11" s="3">
        <v>45.723999999999997</v>
      </c>
      <c r="S11" s="3">
        <v>44.435000000000002</v>
      </c>
      <c r="T11" s="3">
        <v>43.651000000000003</v>
      </c>
      <c r="U11" s="3">
        <v>41.337000000000003</v>
      </c>
      <c r="V11" s="3">
        <v>41.008000000000003</v>
      </c>
      <c r="W11" s="3">
        <f>S11*0.9</f>
        <v>39.991500000000002</v>
      </c>
      <c r="X11" s="3">
        <f t="shared" ref="X11:Z11" si="11">T11*0.9</f>
        <v>39.285900000000005</v>
      </c>
      <c r="Y11" s="3">
        <f t="shared" si="11"/>
        <v>37.203300000000006</v>
      </c>
      <c r="Z11" s="3">
        <f t="shared" si="11"/>
        <v>36.907200000000003</v>
      </c>
      <c r="AD11" s="17">
        <f>SUM(C11:F11)</f>
        <v>170.90499999999997</v>
      </c>
      <c r="AE11" s="17">
        <f>SUM(G11:J11)</f>
        <v>178.821</v>
      </c>
      <c r="AF11" s="17">
        <f>SUM(K11:N11)</f>
        <v>196.637</v>
      </c>
      <c r="AG11" s="17">
        <f>SUM(O11:R11)</f>
        <v>191.70499999999998</v>
      </c>
      <c r="AH11" s="17">
        <f>SUM(S11:V11)</f>
        <v>170.43100000000001</v>
      </c>
      <c r="AI11" s="17">
        <f>SUM(W11:Z11)</f>
        <v>153.3879</v>
      </c>
      <c r="AJ11" s="3">
        <f>AI11*0.7</f>
        <v>107.37152999999999</v>
      </c>
      <c r="AK11" s="3">
        <f>AJ11*0.97</f>
        <v>104.1503841</v>
      </c>
      <c r="AL11" s="3">
        <f t="shared" ref="AL11:AS11" si="12">AK11*0.97</f>
        <v>101.02587257699999</v>
      </c>
      <c r="AM11" s="3">
        <f t="shared" si="12"/>
        <v>97.995096399689984</v>
      </c>
      <c r="AN11" s="3">
        <f t="shared" si="12"/>
        <v>95.055243507699288</v>
      </c>
      <c r="AO11" s="3">
        <f t="shared" si="12"/>
        <v>92.203586202468301</v>
      </c>
      <c r="AP11" s="3">
        <f t="shared" si="12"/>
        <v>89.437478616394245</v>
      </c>
      <c r="AQ11" s="3">
        <f t="shared" si="12"/>
        <v>86.75435425790242</v>
      </c>
      <c r="AR11" s="3">
        <f t="shared" si="12"/>
        <v>84.15172363016535</v>
      </c>
      <c r="AS11" s="3">
        <f t="shared" si="12"/>
        <v>81.627171921260384</v>
      </c>
    </row>
    <row r="12" spans="1:45">
      <c r="B12" s="8" t="s">
        <v>75</v>
      </c>
      <c r="C12" s="3">
        <v>20.238</v>
      </c>
      <c r="D12" s="3">
        <v>15.757999999999999</v>
      </c>
      <c r="E12" s="3">
        <v>24.625</v>
      </c>
      <c r="F12" s="3">
        <v>21.292999999999999</v>
      </c>
      <c r="G12" s="3">
        <v>26.213999999999999</v>
      </c>
      <c r="H12" s="3">
        <v>21.686</v>
      </c>
      <c r="I12" s="3">
        <v>27.239000000000001</v>
      </c>
      <c r="J12" s="3">
        <v>30.074999999999999</v>
      </c>
      <c r="K12" s="3">
        <v>42.497999999999998</v>
      </c>
      <c r="L12" s="3">
        <v>35.279000000000003</v>
      </c>
      <c r="M12" s="3">
        <v>31.803000000000001</v>
      </c>
      <c r="N12" s="3">
        <v>38.08</v>
      </c>
      <c r="O12" s="3">
        <v>37.017000000000003</v>
      </c>
      <c r="P12" s="3">
        <v>30.956</v>
      </c>
      <c r="Q12" s="3">
        <v>28.872</v>
      </c>
      <c r="R12" s="3">
        <v>29.745999999999999</v>
      </c>
      <c r="S12" s="3">
        <v>30.375</v>
      </c>
      <c r="T12" s="3">
        <v>23.545000000000002</v>
      </c>
      <c r="U12" s="3">
        <v>26.507999999999999</v>
      </c>
      <c r="V12" s="3">
        <v>27.901</v>
      </c>
      <c r="W12" s="3">
        <f>S12*0.9</f>
        <v>27.337500000000002</v>
      </c>
      <c r="X12" s="3">
        <f t="shared" ref="X12:Z13" si="13">T12*0.9</f>
        <v>21.190500000000004</v>
      </c>
      <c r="Y12" s="3">
        <f t="shared" si="13"/>
        <v>23.857199999999999</v>
      </c>
      <c r="Z12" s="3">
        <f t="shared" si="13"/>
        <v>25.110900000000001</v>
      </c>
      <c r="AD12" s="17">
        <f>SUM(C12:F12)</f>
        <v>81.913999999999987</v>
      </c>
      <c r="AE12" s="17">
        <f>SUM(G12:J12)</f>
        <v>105.214</v>
      </c>
      <c r="AF12" s="17">
        <f>SUM(K12:N12)</f>
        <v>147.66</v>
      </c>
      <c r="AG12" s="17">
        <f>SUM(O12:R12)</f>
        <v>126.59099999999999</v>
      </c>
      <c r="AH12" s="17">
        <f>SUM(S12:V12)</f>
        <v>108.32899999999999</v>
      </c>
      <c r="AI12" s="17">
        <f>SUM(W12:Z12)</f>
        <v>97.496099999999998</v>
      </c>
      <c r="AJ12" s="3">
        <f>AI12*0.75</f>
        <v>73.122074999999995</v>
      </c>
      <c r="AK12" s="3">
        <f>AJ12*1.1</f>
        <v>80.434282499999995</v>
      </c>
      <c r="AL12" s="3">
        <f t="shared" ref="AL12:AN12" si="14">AK12*1.1</f>
        <v>88.47771075</v>
      </c>
      <c r="AM12" s="3">
        <f t="shared" si="14"/>
        <v>97.325481825000011</v>
      </c>
      <c r="AN12" s="3">
        <f>AM12*1.05</f>
        <v>102.19175591625002</v>
      </c>
      <c r="AO12" s="3">
        <f t="shared" ref="AO12" si="15">AN12*1.05</f>
        <v>107.30134371206252</v>
      </c>
      <c r="AP12" s="3">
        <f t="shared" ref="AP12:AS12" si="16">AO12*1.03</f>
        <v>110.5203840234244</v>
      </c>
      <c r="AQ12" s="3">
        <f t="shared" si="16"/>
        <v>113.83599554412713</v>
      </c>
      <c r="AR12" s="3">
        <f t="shared" si="16"/>
        <v>117.25107541045095</v>
      </c>
      <c r="AS12" s="3">
        <f t="shared" si="16"/>
        <v>120.76860767276449</v>
      </c>
    </row>
    <row r="13" spans="1:45">
      <c r="B13" s="8" t="s">
        <v>76</v>
      </c>
      <c r="C13" s="3">
        <v>26.145</v>
      </c>
      <c r="D13" s="3">
        <v>31.292000000000002</v>
      </c>
      <c r="E13" s="3">
        <v>40.783999999999999</v>
      </c>
      <c r="F13" s="3">
        <v>31.128</v>
      </c>
      <c r="G13" s="3">
        <v>37.869999999999997</v>
      </c>
      <c r="H13" s="3">
        <v>39.719000000000001</v>
      </c>
      <c r="I13" s="3">
        <v>33.970999999999997</v>
      </c>
      <c r="J13" s="3">
        <v>47.459000000000003</v>
      </c>
      <c r="K13" s="3">
        <v>46.87</v>
      </c>
      <c r="L13" s="3">
        <v>53.935000000000002</v>
      </c>
      <c r="M13" s="3">
        <v>53.741999999999997</v>
      </c>
      <c r="N13" s="3">
        <v>61.7</v>
      </c>
      <c r="O13" s="3">
        <v>58.972999999999999</v>
      </c>
      <c r="P13" s="3">
        <v>70.308999999999997</v>
      </c>
      <c r="Q13" s="3">
        <v>53.475000000000001</v>
      </c>
      <c r="R13" s="3">
        <v>53.426000000000002</v>
      </c>
      <c r="S13" s="3">
        <v>55.533999999999999</v>
      </c>
      <c r="T13" s="3">
        <v>54.015999999999998</v>
      </c>
      <c r="U13" s="3">
        <v>51.91</v>
      </c>
      <c r="V13" s="3">
        <v>56.295999999999999</v>
      </c>
      <c r="W13" s="3">
        <f>S13*0.9</f>
        <v>49.980600000000003</v>
      </c>
      <c r="X13" s="3">
        <f t="shared" si="13"/>
        <v>48.614399999999996</v>
      </c>
      <c r="Y13" s="3">
        <f t="shared" si="13"/>
        <v>46.719000000000001</v>
      </c>
      <c r="Z13" s="3">
        <f t="shared" si="13"/>
        <v>50.666400000000003</v>
      </c>
      <c r="AD13" s="17">
        <f>SUM(C13:F13)</f>
        <v>129.34899999999999</v>
      </c>
      <c r="AE13" s="17">
        <f>SUM(G13:J13)</f>
        <v>159.01900000000001</v>
      </c>
      <c r="AF13" s="17">
        <f>SUM(K13:N13)</f>
        <v>216.24700000000001</v>
      </c>
      <c r="AG13" s="17">
        <f>SUM(O13:R13)</f>
        <v>236.18299999999999</v>
      </c>
      <c r="AH13" s="17">
        <f>SUM(S13:V13)</f>
        <v>217.75599999999997</v>
      </c>
      <c r="AI13" s="17">
        <f>SUM(W13:Z13)</f>
        <v>195.9804</v>
      </c>
      <c r="AJ13" s="3">
        <f>AI13*0.8</f>
        <v>156.78432000000001</v>
      </c>
      <c r="AK13" s="3">
        <f t="shared" ref="AK13" si="17">AJ13*0.8</f>
        <v>125.42745600000001</v>
      </c>
      <c r="AL13" s="3">
        <f>AK13*0.9</f>
        <v>112.8847104</v>
      </c>
      <c r="AM13" s="3">
        <f t="shared" ref="AM13:AS13" si="18">AL13*1.03</f>
        <v>116.27125171200001</v>
      </c>
      <c r="AN13" s="3">
        <f t="shared" si="18"/>
        <v>119.75938926336001</v>
      </c>
      <c r="AO13" s="3">
        <f t="shared" si="18"/>
        <v>123.35217094126081</v>
      </c>
      <c r="AP13" s="3">
        <f t="shared" si="18"/>
        <v>127.05273606949864</v>
      </c>
      <c r="AQ13" s="3">
        <f t="shared" si="18"/>
        <v>130.8643181515836</v>
      </c>
      <c r="AR13" s="3">
        <f t="shared" si="18"/>
        <v>134.7902476961311</v>
      </c>
      <c r="AS13" s="3">
        <f t="shared" si="18"/>
        <v>138.83395512701503</v>
      </c>
    </row>
    <row r="14" spans="1:45">
      <c r="B14" s="8" t="s">
        <v>77</v>
      </c>
      <c r="C14" s="3">
        <f>SUM(C11:C13)</f>
        <v>85.923999999999992</v>
      </c>
      <c r="D14" s="3">
        <f>SUM(D11:D13)</f>
        <v>87.424000000000007</v>
      </c>
      <c r="E14" s="3">
        <f>SUM(E11:E13)</f>
        <v>109.44999999999999</v>
      </c>
      <c r="F14" s="3">
        <f>SUM(F11:F13)</f>
        <v>99.36999999999999</v>
      </c>
      <c r="G14" s="3">
        <f>SUM(G11:G13)</f>
        <v>110.215</v>
      </c>
      <c r="H14" s="3">
        <f>SUM(H11:H13)</f>
        <v>103</v>
      </c>
      <c r="I14" s="3">
        <f>SUM(I11:I13)</f>
        <v>104.47899999999998</v>
      </c>
      <c r="J14" s="3">
        <f>SUM(J11:J13)</f>
        <v>125.36</v>
      </c>
      <c r="K14" s="3">
        <f>SUM(K11:K13)</f>
        <v>141.78299999999999</v>
      </c>
      <c r="L14" s="3">
        <f>SUM(L11:L13)</f>
        <v>141.69400000000002</v>
      </c>
      <c r="M14" s="3">
        <f>SUM(M11:M13)</f>
        <v>130.971</v>
      </c>
      <c r="N14" s="3">
        <f>SUM(N11:N13)</f>
        <v>146.096</v>
      </c>
      <c r="O14" s="3">
        <f>SUM(O11:O13)</f>
        <v>142.89699999999999</v>
      </c>
      <c r="P14" s="3">
        <f>SUM(P11:P13)</f>
        <v>154.137</v>
      </c>
      <c r="Q14" s="3">
        <f>SUM(Q11:Q13)</f>
        <v>128.54900000000001</v>
      </c>
      <c r="R14" s="3">
        <f>SUM(R11:R13)</f>
        <v>128.89600000000002</v>
      </c>
      <c r="S14" s="3">
        <f>SUM(S11:S13)</f>
        <v>130.34399999999999</v>
      </c>
      <c r="T14" s="3">
        <f>SUM(T11:T13)</f>
        <v>121.21199999999999</v>
      </c>
      <c r="U14" s="3">
        <f>SUM(U11:U13)</f>
        <v>119.755</v>
      </c>
      <c r="V14" s="3">
        <f>SUM(V11:V13)</f>
        <v>125.20500000000001</v>
      </c>
      <c r="W14" s="3">
        <f t="shared" ref="W14:Z14" si="19">SUM(W11:W13)</f>
        <v>117.30960000000002</v>
      </c>
      <c r="X14" s="3">
        <f t="shared" si="19"/>
        <v>109.0908</v>
      </c>
      <c r="Y14" s="3">
        <f t="shared" si="19"/>
        <v>107.77950000000001</v>
      </c>
      <c r="Z14" s="3">
        <f t="shared" si="19"/>
        <v>112.68450000000001</v>
      </c>
      <c r="AD14" s="3">
        <f>SUM(AD11:AD13)</f>
        <v>382.16799999999995</v>
      </c>
      <c r="AE14" s="3">
        <f>SUM(AE11:AE13)</f>
        <v>443.05399999999997</v>
      </c>
      <c r="AF14" s="3">
        <f>SUM(AF11:AF13)</f>
        <v>560.5440000000001</v>
      </c>
      <c r="AG14" s="3">
        <f>SUM(AG11:AG13)</f>
        <v>554.47900000000004</v>
      </c>
      <c r="AH14" s="3">
        <f>SUM(AH11:AH13)</f>
        <v>496.51599999999996</v>
      </c>
      <c r="AI14" s="3">
        <f t="shared" ref="AI14:AS14" si="20">SUM(AI11:AI13)</f>
        <v>446.86440000000005</v>
      </c>
      <c r="AJ14" s="3">
        <f t="shared" si="20"/>
        <v>337.27792499999998</v>
      </c>
      <c r="AK14" s="3">
        <f t="shared" si="20"/>
        <v>310.0121226</v>
      </c>
      <c r="AL14" s="3">
        <f t="shared" si="20"/>
        <v>302.38829372700002</v>
      </c>
      <c r="AM14" s="3">
        <f t="shared" si="20"/>
        <v>311.59182993669003</v>
      </c>
      <c r="AN14" s="3">
        <f t="shared" si="20"/>
        <v>317.00638868730931</v>
      </c>
      <c r="AO14" s="3">
        <f t="shared" si="20"/>
        <v>322.8571008557916</v>
      </c>
      <c r="AP14" s="3">
        <f t="shared" si="20"/>
        <v>327.01059870931726</v>
      </c>
      <c r="AQ14" s="3">
        <f t="shared" si="20"/>
        <v>331.45466795361313</v>
      </c>
      <c r="AR14" s="3">
        <f t="shared" si="20"/>
        <v>336.19304673674742</v>
      </c>
      <c r="AS14" s="3">
        <f t="shared" si="20"/>
        <v>341.2297347210399</v>
      </c>
    </row>
    <row r="15" spans="1:45">
      <c r="B15" s="8" t="s">
        <v>78</v>
      </c>
      <c r="C15" s="3">
        <f>+C10-C14</f>
        <v>3.2760000000000105</v>
      </c>
      <c r="D15" s="3">
        <f>+D10-D14</f>
        <v>22.060999999999979</v>
      </c>
      <c r="E15" s="3">
        <f>+E10-E14</f>
        <v>-17.801999999999992</v>
      </c>
      <c r="F15" s="3">
        <f>+F10-F14</f>
        <v>49.218000000000004</v>
      </c>
      <c r="G15" s="3">
        <f>+G10-G14</f>
        <v>16.778999999999982</v>
      </c>
      <c r="H15" s="3">
        <f>+H10-H14</f>
        <v>34.77000000000001</v>
      </c>
      <c r="I15" s="3">
        <f>+I10-I14</f>
        <v>0.36100000000001842</v>
      </c>
      <c r="J15" s="3">
        <f>+J10-J14</f>
        <v>26.397000000000006</v>
      </c>
      <c r="K15" s="3">
        <f>+K10-K14</f>
        <v>5.3760000000000048</v>
      </c>
      <c r="L15" s="3">
        <f>+L10-L14</f>
        <v>7.3429999999999893</v>
      </c>
      <c r="M15" s="3">
        <f>+M10-M14</f>
        <v>-11.435000000000002</v>
      </c>
      <c r="N15" s="3">
        <f>+N10-N14</f>
        <v>7.6730000000000018</v>
      </c>
      <c r="O15" s="3">
        <f>+O10-O14</f>
        <v>-4.445999999999998</v>
      </c>
      <c r="P15" s="3">
        <f>+P10-P14</f>
        <v>-18.695999999999998</v>
      </c>
      <c r="Q15" s="3">
        <f>+Q10-Q14</f>
        <v>-54.269999999999996</v>
      </c>
      <c r="R15" s="3">
        <f>+R10-R14</f>
        <v>13.286999999999978</v>
      </c>
      <c r="S15" s="3">
        <f>+S10-S14</f>
        <v>-2.4909999999999997</v>
      </c>
      <c r="T15" s="3">
        <f>+T10-T14</f>
        <v>-3.4759999999999991</v>
      </c>
      <c r="U15" s="3">
        <f>+U10-U14</f>
        <v>-26.582000000000008</v>
      </c>
      <c r="V15" s="3">
        <f>+V10-V14</f>
        <v>-27.319999999999993</v>
      </c>
      <c r="W15" s="3">
        <f t="shared" ref="W15:Z15" si="21">+W10-W14</f>
        <v>-40.259600000000006</v>
      </c>
      <c r="X15" s="3">
        <f t="shared" si="21"/>
        <v>-23.438625000000016</v>
      </c>
      <c r="Y15" s="3">
        <f t="shared" si="21"/>
        <v>-36.068175000000025</v>
      </c>
      <c r="Z15" s="3">
        <f t="shared" si="21"/>
        <v>-37.355400000000017</v>
      </c>
      <c r="AD15" s="3">
        <f>+AD10-AD14</f>
        <v>56.752999999999986</v>
      </c>
      <c r="AE15" s="3">
        <f>+AE10-AE14</f>
        <v>78.307000000000016</v>
      </c>
      <c r="AF15" s="3">
        <f>+AF10-AF14</f>
        <v>8.9569999999998799</v>
      </c>
      <c r="AG15" s="3">
        <f>+AG10-AG14</f>
        <v>-64.125000000000114</v>
      </c>
      <c r="AH15" s="3">
        <f>+AH10-AH14</f>
        <v>-59.869000000000028</v>
      </c>
      <c r="AI15" s="3">
        <f>+AI10-AI14</f>
        <v>-137.12180000000006</v>
      </c>
      <c r="AJ15" s="3">
        <f t="shared" ref="AJ15:AS15" si="22">+AJ10-AJ14</f>
        <v>-118.04310500000003</v>
      </c>
      <c r="AK15" s="3">
        <f t="shared" si="22"/>
        <v>-68.853820600000006</v>
      </c>
      <c r="AL15" s="3">
        <f t="shared" si="22"/>
        <v>-37.114161527000022</v>
      </c>
      <c r="AM15" s="3">
        <f t="shared" si="22"/>
        <v>-19.790284516690008</v>
      </c>
      <c r="AN15" s="3">
        <f t="shared" si="22"/>
        <v>-10.614765996309302</v>
      </c>
      <c r="AO15" s="3">
        <f t="shared" si="22"/>
        <v>-1.1458970302415992</v>
      </c>
      <c r="AP15" s="3">
        <f t="shared" si="22"/>
        <v>4.3519412309992163</v>
      </c>
      <c r="AQ15" s="3">
        <f t="shared" si="22"/>
        <v>9.8487481849128926</v>
      </c>
      <c r="AR15" s="3">
        <f t="shared" si="22"/>
        <v>15.349471885934406</v>
      </c>
      <c r="AS15" s="3">
        <f t="shared" si="22"/>
        <v>20.859059460322385</v>
      </c>
    </row>
    <row r="16" spans="1:45">
      <c r="B16" s="8" t="s">
        <v>79</v>
      </c>
      <c r="C16" s="3">
        <f>-13.427+4.96</f>
        <v>-8.4669999999999987</v>
      </c>
      <c r="D16" s="3">
        <f>-13.425+3.24</f>
        <v>-10.185</v>
      </c>
      <c r="E16" s="3">
        <f>-17.468-0.804</f>
        <v>-18.271999999999998</v>
      </c>
      <c r="F16" s="3">
        <f>-21.977+1.287</f>
        <v>-20.69</v>
      </c>
      <c r="G16" s="3">
        <f>-1.929-77.208</f>
        <v>-79.137</v>
      </c>
      <c r="H16" s="3">
        <f>1.92-1.701</f>
        <v>0.21899999999999986</v>
      </c>
      <c r="I16" s="3">
        <f>-1.633+8.67</f>
        <v>7.0369999999999999</v>
      </c>
      <c r="J16" s="3">
        <f>-1.633+1.146</f>
        <v>-0.4870000000000001</v>
      </c>
      <c r="K16" s="3">
        <f>-1.597+6.18</f>
        <v>4.5830000000000002</v>
      </c>
      <c r="L16" s="3">
        <f>-1.616+1.809</f>
        <v>0.19299999999999984</v>
      </c>
      <c r="M16" s="3">
        <f>-1.525+97.258</f>
        <v>95.73299999999999</v>
      </c>
      <c r="N16" s="3">
        <f>-1.302-4.218</f>
        <v>-5.52</v>
      </c>
      <c r="O16" s="3">
        <f>-1.268+12.076</f>
        <v>10.808</v>
      </c>
      <c r="P16" s="3">
        <f>-1.114+64.103</f>
        <v>62.988999999999997</v>
      </c>
      <c r="Q16" s="3">
        <f>-0.733+40.492</f>
        <v>39.759</v>
      </c>
      <c r="R16" s="3">
        <f>-0.658+5.139</f>
        <v>4.4809999999999999</v>
      </c>
      <c r="S16" s="3">
        <f>-0.65+10.78</f>
        <v>10.129999999999999</v>
      </c>
      <c r="T16" s="3">
        <f>-0.651+7.119</f>
        <v>6.468</v>
      </c>
      <c r="U16" s="3">
        <f>7.586-0.658</f>
        <v>6.9279999999999999</v>
      </c>
      <c r="V16" s="3">
        <f>25.841-0.631</f>
        <v>25.21</v>
      </c>
      <c r="W16" s="3">
        <f>188*0.05/4</f>
        <v>2.35</v>
      </c>
      <c r="X16" s="3">
        <f t="shared" ref="X16:Z16" si="23">188*0.05/4</f>
        <v>2.35</v>
      </c>
      <c r="Y16" s="3">
        <f t="shared" si="23"/>
        <v>2.35</v>
      </c>
      <c r="Z16" s="3">
        <f t="shared" si="23"/>
        <v>2.35</v>
      </c>
      <c r="AD16" s="17">
        <f>SUM(C16:F16)</f>
        <v>-57.614000000000004</v>
      </c>
      <c r="AE16" s="17">
        <f>SUM(G16:J16)</f>
        <v>-72.367999999999995</v>
      </c>
      <c r="AF16" s="17">
        <f>SUM(K16:N16)</f>
        <v>94.98899999999999</v>
      </c>
      <c r="AG16" s="17">
        <f>SUM(O16:R16)</f>
        <v>118.03699999999999</v>
      </c>
      <c r="AH16" s="17">
        <f>SUM(S16:V16)</f>
        <v>48.736000000000004</v>
      </c>
      <c r="AI16" s="17">
        <f>AH34*($AV$36)</f>
        <v>9.4</v>
      </c>
      <c r="AJ16" s="17">
        <f t="shared" ref="AJ16:AS16" si="24">AI34*($AV$36)</f>
        <v>4.2911279999999978</v>
      </c>
      <c r="AK16" s="17">
        <f t="shared" si="24"/>
        <v>-0.2589510800000035</v>
      </c>
      <c r="AL16" s="17">
        <f t="shared" si="24"/>
        <v>-3.0234619472000039</v>
      </c>
      <c r="AM16" s="17">
        <f t="shared" si="24"/>
        <v>-4.6289668861680049</v>
      </c>
      <c r="AN16" s="17">
        <f t="shared" si="24"/>
        <v>-5.6057369422823262</v>
      </c>
      <c r="AO16" s="17">
        <f t="shared" si="24"/>
        <v>-6.2545570598259914</v>
      </c>
      <c r="AP16" s="17">
        <f t="shared" si="24"/>
        <v>-6.5505752234286945</v>
      </c>
      <c r="AQ16" s="17">
        <f t="shared" si="24"/>
        <v>-6.6385205831258736</v>
      </c>
      <c r="AR16" s="17">
        <f t="shared" si="24"/>
        <v>-6.5101114790543919</v>
      </c>
      <c r="AS16" s="17">
        <f t="shared" si="24"/>
        <v>-6.1565370627791918</v>
      </c>
    </row>
    <row r="17" spans="1:113">
      <c r="B17" s="8" t="s">
        <v>80</v>
      </c>
      <c r="C17" s="3">
        <f>+C15+C16</f>
        <v>-5.1909999999999883</v>
      </c>
      <c r="D17" s="3">
        <f>+D15+D16</f>
        <v>11.875999999999978</v>
      </c>
      <c r="E17" s="3">
        <f>+E15+E16</f>
        <v>-36.073999999999991</v>
      </c>
      <c r="F17" s="3">
        <f>+F15+F16</f>
        <v>28.528000000000002</v>
      </c>
      <c r="G17" s="3">
        <f>+G15+G16</f>
        <v>-62.358000000000018</v>
      </c>
      <c r="H17" s="3">
        <f>+H15+H16</f>
        <v>34.989000000000011</v>
      </c>
      <c r="I17" s="3">
        <f>+I15+I16</f>
        <v>7.3980000000000183</v>
      </c>
      <c r="J17" s="3">
        <f>+J15+J16</f>
        <v>25.910000000000004</v>
      </c>
      <c r="K17" s="3">
        <f>+K15+K16</f>
        <v>9.959000000000005</v>
      </c>
      <c r="L17" s="3">
        <f>+L15+L16</f>
        <v>7.5359999999999889</v>
      </c>
      <c r="M17" s="3">
        <f>+M15+M16</f>
        <v>84.297999999999988</v>
      </c>
      <c r="N17" s="3">
        <f>+N15+N16</f>
        <v>2.1530000000000022</v>
      </c>
      <c r="O17" s="3">
        <f>+O15+O16</f>
        <v>6.3620000000000019</v>
      </c>
      <c r="P17" s="3">
        <f>+P15+P16</f>
        <v>44.292999999999999</v>
      </c>
      <c r="Q17" s="3">
        <f>+Q15+Q16</f>
        <v>-14.510999999999996</v>
      </c>
      <c r="R17" s="3">
        <f>+R15+R16</f>
        <v>17.767999999999979</v>
      </c>
      <c r="S17" s="3">
        <f>+S15+S16</f>
        <v>7.6389999999999993</v>
      </c>
      <c r="T17" s="3">
        <f>+T15+T16</f>
        <v>2.9920000000000009</v>
      </c>
      <c r="U17" s="3">
        <f>+U15+U16</f>
        <v>-19.654000000000007</v>
      </c>
      <c r="V17" s="3">
        <f>+V15+V16</f>
        <v>-2.1099999999999923</v>
      </c>
      <c r="W17" s="3">
        <f t="shared" ref="W17:Z17" si="25">+W15+W16</f>
        <v>-37.909600000000005</v>
      </c>
      <c r="X17" s="3">
        <f t="shared" si="25"/>
        <v>-21.088625000000015</v>
      </c>
      <c r="Y17" s="3">
        <f t="shared" si="25"/>
        <v>-33.718175000000024</v>
      </c>
      <c r="Z17" s="3">
        <f t="shared" si="25"/>
        <v>-35.005400000000016</v>
      </c>
      <c r="AD17" s="3">
        <f>+AD15+AD16</f>
        <v>-0.86100000000001842</v>
      </c>
      <c r="AE17" s="3">
        <f>+AE15+AE16</f>
        <v>5.9390000000000214</v>
      </c>
      <c r="AF17" s="3">
        <f>+AF15+AF16</f>
        <v>103.94599999999987</v>
      </c>
      <c r="AG17" s="3">
        <f>+AG15+AG16</f>
        <v>53.911999999999878</v>
      </c>
      <c r="AH17" s="3">
        <f>+AH15+AH16</f>
        <v>-11.133000000000024</v>
      </c>
      <c r="AI17" s="3">
        <f>+AI15+AI16</f>
        <v>-127.72180000000006</v>
      </c>
      <c r="AJ17" s="3">
        <f t="shared" ref="AJ17:AS17" si="26">+AJ15+AJ16</f>
        <v>-113.75197700000002</v>
      </c>
      <c r="AK17" s="3">
        <f t="shared" si="26"/>
        <v>-69.112771680000009</v>
      </c>
      <c r="AL17" s="3">
        <f t="shared" si="26"/>
        <v>-40.137623474200026</v>
      </c>
      <c r="AM17" s="3">
        <f t="shared" si="26"/>
        <v>-24.419251402858013</v>
      </c>
      <c r="AN17" s="3">
        <f t="shared" si="26"/>
        <v>-16.220502938591629</v>
      </c>
      <c r="AO17" s="3">
        <f t="shared" si="26"/>
        <v>-7.4004540900675906</v>
      </c>
      <c r="AP17" s="3">
        <f t="shared" si="26"/>
        <v>-2.1986339924294782</v>
      </c>
      <c r="AQ17" s="3">
        <f t="shared" si="26"/>
        <v>3.210227601787019</v>
      </c>
      <c r="AR17" s="3">
        <f t="shared" si="26"/>
        <v>8.8393604068800151</v>
      </c>
      <c r="AS17" s="3">
        <f t="shared" si="26"/>
        <v>14.702522397543193</v>
      </c>
    </row>
    <row r="18" spans="1:113">
      <c r="B18" s="8" t="s">
        <v>81</v>
      </c>
      <c r="C18" s="3">
        <v>0.52200000000000002</v>
      </c>
      <c r="D18" s="3">
        <v>1.2869999999999999</v>
      </c>
      <c r="E18" s="3">
        <v>1.0660000000000001</v>
      </c>
      <c r="F18" s="3">
        <v>2.4849999999999999</v>
      </c>
      <c r="G18" s="3">
        <v>2.8210000000000002</v>
      </c>
      <c r="H18" s="3">
        <v>2.2250000000000001</v>
      </c>
      <c r="I18" s="3">
        <v>0.747</v>
      </c>
      <c r="J18" s="3">
        <v>1.4039999999999999</v>
      </c>
      <c r="K18" s="3">
        <v>4.2169999999999996</v>
      </c>
      <c r="L18" s="3">
        <v>0.06</v>
      </c>
      <c r="M18" s="3">
        <v>-167.26400000000001</v>
      </c>
      <c r="N18" s="3">
        <v>0.29499999999999998</v>
      </c>
      <c r="O18" s="3">
        <v>4.1760000000000002</v>
      </c>
      <c r="P18" s="3">
        <v>19.681000000000001</v>
      </c>
      <c r="Q18" s="3">
        <v>0.17199999999999999</v>
      </c>
      <c r="R18" s="3">
        <v>8</v>
      </c>
      <c r="S18" s="3">
        <v>9.0589999999999993</v>
      </c>
      <c r="T18" s="3">
        <v>138.345</v>
      </c>
      <c r="U18" s="3">
        <v>-2.7229999999999999</v>
      </c>
      <c r="V18" s="3">
        <v>-4.0209999999999999</v>
      </c>
      <c r="W18" s="3">
        <f>W17*0.2</f>
        <v>-7.5819200000000011</v>
      </c>
      <c r="X18" s="3">
        <f t="shared" ref="X18:Z18" si="27">X17*0.2</f>
        <v>-4.2177250000000033</v>
      </c>
      <c r="Y18" s="3">
        <f t="shared" si="27"/>
        <v>-6.7436350000000047</v>
      </c>
      <c r="Z18" s="3">
        <f t="shared" si="27"/>
        <v>-7.0010800000000035</v>
      </c>
      <c r="AD18" s="17">
        <f>SUM(C18:F18)</f>
        <v>5.3599999999999994</v>
      </c>
      <c r="AE18" s="17">
        <f>SUM(G18:J18)</f>
        <v>7.1970000000000001</v>
      </c>
      <c r="AF18" s="17">
        <f>SUM(K18:N18)</f>
        <v>-162.69200000000004</v>
      </c>
      <c r="AG18" s="17">
        <f>SUM(O18:R18)</f>
        <v>32.028999999999996</v>
      </c>
      <c r="AH18" s="17">
        <f>SUM(S18:V18)</f>
        <v>140.66</v>
      </c>
      <c r="AI18" s="17">
        <f>SUM(W18:Z18)</f>
        <v>-25.544360000000012</v>
      </c>
      <c r="AJ18" s="3">
        <f>AJ17*0.2</f>
        <v>-22.750395400000006</v>
      </c>
      <c r="AK18" s="3">
        <f t="shared" ref="AK18:AS18" si="28">AK17*0.2</f>
        <v>-13.822554336000003</v>
      </c>
      <c r="AL18" s="3">
        <f t="shared" si="28"/>
        <v>-8.0275246948400056</v>
      </c>
      <c r="AM18" s="3">
        <f t="shared" si="28"/>
        <v>-4.8838502805716031</v>
      </c>
      <c r="AN18" s="3">
        <f t="shared" si="28"/>
        <v>-3.244100587718326</v>
      </c>
      <c r="AO18" s="3">
        <f t="shared" si="28"/>
        <v>-1.4800908180135182</v>
      </c>
      <c r="AP18" s="3">
        <f t="shared" si="28"/>
        <v>-0.43972679848589569</v>
      </c>
      <c r="AQ18" s="3">
        <f t="shared" si="28"/>
        <v>0.64204552035740381</v>
      </c>
      <c r="AR18" s="3">
        <f t="shared" si="28"/>
        <v>1.7678720813760032</v>
      </c>
      <c r="AS18" s="3">
        <f t="shared" si="28"/>
        <v>2.9405044795086388</v>
      </c>
    </row>
    <row r="19" spans="1:113">
      <c r="B19" s="8" t="s">
        <v>82</v>
      </c>
      <c r="C19" s="3">
        <f>+C17-C18</f>
        <v>-5.7129999999999885</v>
      </c>
      <c r="D19" s="3">
        <f>+D17-D18</f>
        <v>10.588999999999977</v>
      </c>
      <c r="E19" s="3">
        <f>+E17-E18</f>
        <v>-37.139999999999993</v>
      </c>
      <c r="F19" s="3">
        <f>+F17-F18</f>
        <v>26.043000000000003</v>
      </c>
      <c r="G19" s="3">
        <f>+G17-G18</f>
        <v>-65.179000000000016</v>
      </c>
      <c r="H19" s="3">
        <f>+H17-H18</f>
        <v>32.76400000000001</v>
      </c>
      <c r="I19" s="3">
        <f>+I17-I18</f>
        <v>6.6510000000000185</v>
      </c>
      <c r="J19" s="3">
        <f>+J17-J18</f>
        <v>24.506000000000004</v>
      </c>
      <c r="K19" s="3">
        <f>+K17-K18</f>
        <v>5.7420000000000053</v>
      </c>
      <c r="L19" s="3">
        <f>+L17-L18</f>
        <v>7.4759999999999893</v>
      </c>
      <c r="M19" s="3">
        <f>+M17-M18</f>
        <v>251.56200000000001</v>
      </c>
      <c r="N19" s="3">
        <f>+N17-N18</f>
        <v>1.8580000000000023</v>
      </c>
      <c r="O19" s="3">
        <f>+O17-O18</f>
        <v>2.1860000000000017</v>
      </c>
      <c r="P19" s="3">
        <f>+P17-P18</f>
        <v>24.611999999999998</v>
      </c>
      <c r="Q19" s="3">
        <f>+Q17-Q18</f>
        <v>-14.682999999999996</v>
      </c>
      <c r="R19" s="3">
        <f>+R17-R18</f>
        <v>9.7679999999999794</v>
      </c>
      <c r="S19" s="3">
        <f>+S17-S18</f>
        <v>-1.42</v>
      </c>
      <c r="T19" s="3">
        <f>+T17-T18</f>
        <v>-135.35300000000001</v>
      </c>
      <c r="U19" s="3">
        <f>+U17-U18</f>
        <v>-16.931000000000008</v>
      </c>
      <c r="V19" s="3">
        <f>+V17-V18</f>
        <v>1.9110000000000076</v>
      </c>
      <c r="W19" s="3">
        <f t="shared" ref="W19:Z19" si="29">+W17-W18</f>
        <v>-30.327680000000004</v>
      </c>
      <c r="X19" s="3">
        <f t="shared" si="29"/>
        <v>-16.870900000000013</v>
      </c>
      <c r="Y19" s="3">
        <f t="shared" si="29"/>
        <v>-26.974540000000019</v>
      </c>
      <c r="Z19" s="3">
        <f t="shared" si="29"/>
        <v>-28.004320000000014</v>
      </c>
      <c r="AD19" s="3">
        <f>+AD17-AD18</f>
        <v>-6.2210000000000178</v>
      </c>
      <c r="AE19" s="3">
        <f>+AE17-AE18</f>
        <v>-1.2579999999999787</v>
      </c>
      <c r="AF19" s="3">
        <f>+AF17-AF18</f>
        <v>266.63799999999992</v>
      </c>
      <c r="AG19" s="3">
        <f>+AG17-AG18</f>
        <v>21.882999999999882</v>
      </c>
      <c r="AH19" s="3">
        <f>+AH17-AH18</f>
        <v>-151.79300000000001</v>
      </c>
      <c r="AI19" s="3">
        <f>+AI17-AI18</f>
        <v>-102.17744000000005</v>
      </c>
      <c r="AJ19" s="3">
        <f t="shared" ref="AJ19:AS19" si="30">+AJ17-AJ18</f>
        <v>-91.001581600000023</v>
      </c>
      <c r="AK19" s="3">
        <f t="shared" si="30"/>
        <v>-55.290217344000006</v>
      </c>
      <c r="AL19" s="3">
        <f t="shared" si="30"/>
        <v>-32.110098779360023</v>
      </c>
      <c r="AM19" s="3">
        <f t="shared" si="30"/>
        <v>-19.535401122286409</v>
      </c>
      <c r="AN19" s="3">
        <f t="shared" si="30"/>
        <v>-12.976402350873304</v>
      </c>
      <c r="AO19" s="3">
        <f t="shared" si="30"/>
        <v>-5.9203632720540726</v>
      </c>
      <c r="AP19" s="3">
        <f t="shared" si="30"/>
        <v>-1.7589071939435825</v>
      </c>
      <c r="AQ19" s="3">
        <f t="shared" si="30"/>
        <v>2.5681820814296152</v>
      </c>
      <c r="AR19" s="3">
        <f t="shared" si="30"/>
        <v>7.0714883255040117</v>
      </c>
      <c r="AS19" s="3">
        <f t="shared" si="30"/>
        <v>11.762017918034555</v>
      </c>
      <c r="AT19" s="3">
        <f>AS19*(1+$AV$35)</f>
        <v>11.644397738854209</v>
      </c>
      <c r="AU19" s="3">
        <f t="shared" ref="AU19:DF19" si="31">AT19*(1+$AV$35)</f>
        <v>11.527953761465668</v>
      </c>
      <c r="AV19" s="3">
        <f t="shared" si="31"/>
        <v>11.412674223851011</v>
      </c>
      <c r="AW19" s="3">
        <f t="shared" si="31"/>
        <v>11.298547481612502</v>
      </c>
      <c r="AX19" s="3">
        <f t="shared" si="31"/>
        <v>11.185562006796378</v>
      </c>
      <c r="AY19" s="3">
        <f t="shared" si="31"/>
        <v>11.073706386728414</v>
      </c>
      <c r="AZ19" s="3">
        <f t="shared" si="31"/>
        <v>10.962969322861129</v>
      </c>
      <c r="BA19" s="3">
        <f t="shared" si="31"/>
        <v>10.853339629632517</v>
      </c>
      <c r="BB19" s="3">
        <f t="shared" si="31"/>
        <v>10.744806233336192</v>
      </c>
      <c r="BC19" s="3">
        <f t="shared" si="31"/>
        <v>10.63735817100283</v>
      </c>
      <c r="BD19" s="3">
        <f t="shared" si="31"/>
        <v>10.530984589292801</v>
      </c>
      <c r="BE19" s="3">
        <f t="shared" si="31"/>
        <v>10.425674743399874</v>
      </c>
      <c r="BF19" s="3">
        <f t="shared" si="31"/>
        <v>10.321417995965875</v>
      </c>
      <c r="BG19" s="3">
        <f t="shared" si="31"/>
        <v>10.218203816006216</v>
      </c>
      <c r="BH19" s="3">
        <f t="shared" si="31"/>
        <v>10.116021777846154</v>
      </c>
      <c r="BI19" s="3">
        <f t="shared" si="31"/>
        <v>10.014861560067692</v>
      </c>
      <c r="BJ19" s="3">
        <f t="shared" si="31"/>
        <v>9.9147129444670146</v>
      </c>
      <c r="BK19" s="3">
        <f t="shared" si="31"/>
        <v>9.8155658150223442</v>
      </c>
      <c r="BL19" s="3">
        <f t="shared" si="31"/>
        <v>9.7174101568721198</v>
      </c>
      <c r="BM19" s="3">
        <f t="shared" si="31"/>
        <v>9.6202360553033994</v>
      </c>
      <c r="BN19" s="3">
        <f t="shared" si="31"/>
        <v>9.524033694750365</v>
      </c>
      <c r="BO19" s="3">
        <f t="shared" si="31"/>
        <v>9.4287933578028618</v>
      </c>
      <c r="BP19" s="3">
        <f t="shared" si="31"/>
        <v>9.3345054242248331</v>
      </c>
      <c r="BQ19" s="3">
        <f t="shared" si="31"/>
        <v>9.2411603699825839</v>
      </c>
      <c r="BR19" s="3">
        <f t="shared" si="31"/>
        <v>9.1487487662827576</v>
      </c>
      <c r="BS19" s="3">
        <f t="shared" si="31"/>
        <v>9.0572612786199294</v>
      </c>
      <c r="BT19" s="3">
        <f t="shared" si="31"/>
        <v>8.9666886658337308</v>
      </c>
      <c r="BU19" s="3">
        <f t="shared" si="31"/>
        <v>8.8770217791753936</v>
      </c>
      <c r="BV19" s="3">
        <f t="shared" si="31"/>
        <v>8.7882515613836389</v>
      </c>
      <c r="BW19" s="3">
        <f t="shared" si="31"/>
        <v>8.7003690457698024</v>
      </c>
      <c r="BX19" s="3">
        <f t="shared" si="31"/>
        <v>8.613365355312105</v>
      </c>
      <c r="BY19" s="3">
        <f t="shared" si="31"/>
        <v>8.5272317017589838</v>
      </c>
      <c r="BZ19" s="3">
        <f t="shared" si="31"/>
        <v>8.4419593847413932</v>
      </c>
      <c r="CA19" s="3">
        <f t="shared" si="31"/>
        <v>8.3575397908939788</v>
      </c>
      <c r="CB19" s="3">
        <f t="shared" si="31"/>
        <v>8.2739643929850395</v>
      </c>
      <c r="CC19" s="3">
        <f t="shared" si="31"/>
        <v>8.1912247490551895</v>
      </c>
      <c r="CD19" s="3">
        <f t="shared" si="31"/>
        <v>8.1093125015646379</v>
      </c>
      <c r="CE19" s="3">
        <f t="shared" si="31"/>
        <v>8.0282193765489911</v>
      </c>
      <c r="CF19" s="3">
        <f t="shared" si="31"/>
        <v>7.9479371827835008</v>
      </c>
      <c r="CG19" s="3">
        <f t="shared" si="31"/>
        <v>7.8684578109556655</v>
      </c>
      <c r="CH19" s="3">
        <f t="shared" si="31"/>
        <v>7.7897732328461089</v>
      </c>
      <c r="CI19" s="3">
        <f t="shared" si="31"/>
        <v>7.7118755005176478</v>
      </c>
      <c r="CJ19" s="3">
        <f t="shared" si="31"/>
        <v>7.6347567455124716</v>
      </c>
      <c r="CK19" s="3">
        <f t="shared" si="31"/>
        <v>7.5584091780573468</v>
      </c>
      <c r="CL19" s="3">
        <f t="shared" si="31"/>
        <v>7.4828250862767733</v>
      </c>
      <c r="CM19" s="3">
        <f t="shared" si="31"/>
        <v>7.4079968354140053</v>
      </c>
      <c r="CN19" s="3">
        <f t="shared" si="31"/>
        <v>7.3339168670598651</v>
      </c>
      <c r="CO19" s="3">
        <f t="shared" si="31"/>
        <v>7.260577698389266</v>
      </c>
      <c r="CP19" s="3">
        <f t="shared" si="31"/>
        <v>7.1879719214053734</v>
      </c>
      <c r="CQ19" s="3">
        <f t="shared" si="31"/>
        <v>7.1160922021913198</v>
      </c>
      <c r="CR19" s="3">
        <f t="shared" si="31"/>
        <v>7.0449312801694068</v>
      </c>
      <c r="CS19" s="3">
        <f t="shared" si="31"/>
        <v>6.974481967367713</v>
      </c>
      <c r="CT19" s="3">
        <f t="shared" si="31"/>
        <v>6.9047371476940356</v>
      </c>
      <c r="CU19" s="3">
        <f t="shared" si="31"/>
        <v>6.8356897762170954</v>
      </c>
      <c r="CV19" s="3">
        <f t="shared" si="31"/>
        <v>6.7673328784549245</v>
      </c>
      <c r="CW19" s="3">
        <f t="shared" si="31"/>
        <v>6.6996595496703755</v>
      </c>
      <c r="CX19" s="3">
        <f t="shared" si="31"/>
        <v>6.6326629541736715</v>
      </c>
      <c r="CY19" s="3">
        <f t="shared" si="31"/>
        <v>6.5663363246319344</v>
      </c>
      <c r="CZ19" s="3">
        <f t="shared" si="31"/>
        <v>6.5006729613856153</v>
      </c>
      <c r="DA19" s="3">
        <f t="shared" si="31"/>
        <v>6.4356662317717594</v>
      </c>
      <c r="DB19" s="3">
        <f t="shared" si="31"/>
        <v>6.3713095694540414</v>
      </c>
      <c r="DC19" s="3">
        <f t="shared" si="31"/>
        <v>6.3075964737595012</v>
      </c>
      <c r="DD19" s="3">
        <f t="shared" si="31"/>
        <v>6.244520509021906</v>
      </c>
      <c r="DE19" s="3">
        <f t="shared" si="31"/>
        <v>6.1820753039316871</v>
      </c>
      <c r="DF19" s="3">
        <f t="shared" si="31"/>
        <v>6.12025455089237</v>
      </c>
      <c r="DG19" s="3">
        <f t="shared" ref="DG19:DI19" si="32">DF19*(1+$AV$35)</f>
        <v>6.059052005383446</v>
      </c>
      <c r="DH19" s="3">
        <f t="shared" si="32"/>
        <v>5.9984614853296119</v>
      </c>
      <c r="DI19" s="3">
        <f t="shared" si="32"/>
        <v>5.9384768704763156</v>
      </c>
    </row>
    <row r="20" spans="1:113">
      <c r="B20" s="8" t="s">
        <v>8</v>
      </c>
      <c r="C20" s="3">
        <f>C19/C21</f>
        <v>114.25999999999976</v>
      </c>
      <c r="D20" s="3">
        <v>133.851</v>
      </c>
      <c r="E20" s="3">
        <v>126.194</v>
      </c>
      <c r="F20" s="3">
        <v>141.297</v>
      </c>
      <c r="G20" s="3">
        <v>134.352</v>
      </c>
      <c r="H20" s="3">
        <v>168.28200000000001</v>
      </c>
      <c r="I20" s="3">
        <v>146.69900000000001</v>
      </c>
      <c r="J20" s="3">
        <v>166.83600000000001</v>
      </c>
      <c r="K20" s="3">
        <v>133.27000000000001</v>
      </c>
      <c r="L20" s="3">
        <v>149.57400000000001</v>
      </c>
      <c r="M20" s="3">
        <v>148.04499999999999</v>
      </c>
      <c r="N20" s="3">
        <v>127.518</v>
      </c>
      <c r="O20" s="3">
        <v>124.304</v>
      </c>
      <c r="P20" s="3">
        <v>117.977</v>
      </c>
      <c r="Q20" s="3">
        <v>115.407</v>
      </c>
      <c r="R20" s="3">
        <v>118.902</v>
      </c>
      <c r="S20" s="3">
        <v>102.343</v>
      </c>
      <c r="T20" s="3">
        <v>102.604</v>
      </c>
      <c r="U20" s="3">
        <v>103.723</v>
      </c>
      <c r="V20" s="3">
        <v>104.51300000000001</v>
      </c>
      <c r="W20" s="3">
        <f>V20</f>
        <v>104.51300000000001</v>
      </c>
      <c r="X20" s="3">
        <f t="shared" ref="X20:Z20" si="33">W20</f>
        <v>104.51300000000001</v>
      </c>
      <c r="Y20" s="3">
        <f t="shared" si="33"/>
        <v>104.51300000000001</v>
      </c>
      <c r="Z20" s="3">
        <f t="shared" si="33"/>
        <v>104.51300000000001</v>
      </c>
      <c r="AD20" s="3">
        <f>AVERAGE(C20:F20)</f>
        <v>128.90049999999994</v>
      </c>
      <c r="AE20" s="3">
        <f>AVERAGE(G20:J20)</f>
        <v>154.04225000000002</v>
      </c>
      <c r="AF20" s="3">
        <f>AVERAGE(K20:N20)</f>
        <v>139.60175000000001</v>
      </c>
      <c r="AG20" s="3">
        <f>AVERAGE(O20:R20)</f>
        <v>119.14749999999999</v>
      </c>
      <c r="AH20" s="3">
        <f>AVERAGE(S20:V20)</f>
        <v>103.29575</v>
      </c>
      <c r="AI20" s="3">
        <f>AVERAGE(W20:Z20)</f>
        <v>104.51300000000001</v>
      </c>
    </row>
    <row r="21" spans="1:113" s="15" customFormat="1">
      <c r="A21" s="13"/>
      <c r="B21" s="14" t="s">
        <v>83</v>
      </c>
      <c r="C21" s="15">
        <v>-0.05</v>
      </c>
      <c r="D21" s="15">
        <f>+D19/D20</f>
        <v>7.9110354050399151E-2</v>
      </c>
      <c r="E21" s="15">
        <f>+E19/E20</f>
        <v>-0.29430876269870193</v>
      </c>
      <c r="F21" s="15">
        <f>+F19/F20</f>
        <v>0.18431389201469248</v>
      </c>
      <c r="G21" s="15">
        <f>+G19/G20</f>
        <v>-0.48513606049779695</v>
      </c>
      <c r="H21" s="15">
        <f>+H19/H20</f>
        <v>0.19469699670790702</v>
      </c>
      <c r="I21" s="15">
        <f>+I19/I20</f>
        <v>4.5337732363547247E-2</v>
      </c>
      <c r="J21" s="15">
        <f>+J19/J20</f>
        <v>0.14688676304874249</v>
      </c>
      <c r="K21" s="15">
        <f>+K19/K20</f>
        <v>4.3085465596158209E-2</v>
      </c>
      <c r="L21" s="15">
        <f>+L19/L20</f>
        <v>4.9981948734405639E-2</v>
      </c>
      <c r="M21" s="15">
        <f>+M19/M20</f>
        <v>1.6992265865108584</v>
      </c>
      <c r="N21" s="15">
        <f>+N19/N20</f>
        <v>1.45704920089713E-2</v>
      </c>
      <c r="O21" s="15">
        <f>+O19/O20</f>
        <v>1.7585918393615667E-2</v>
      </c>
      <c r="P21" s="15">
        <f>+P19/P20</f>
        <v>0.20861693380913227</v>
      </c>
      <c r="Q21" s="15">
        <f>+Q19/Q20</f>
        <v>-0.12722798443768574</v>
      </c>
      <c r="R21" s="15">
        <f>+R19/R20</f>
        <v>8.2151687944693769E-2</v>
      </c>
      <c r="S21" s="15">
        <f>+S19/S20</f>
        <v>-1.3874910839041263E-2</v>
      </c>
      <c r="T21" s="15">
        <f>+T19/T20</f>
        <v>-1.3191785895286734</v>
      </c>
      <c r="U21" s="15">
        <f>+U19/U20</f>
        <v>-0.1632328413177406</v>
      </c>
      <c r="V21" s="15">
        <f>+V19/V20</f>
        <v>1.8284806674767805E-2</v>
      </c>
      <c r="W21" s="15">
        <f t="shared" ref="W21:Z21" si="34">+W19/W20</f>
        <v>-0.29018093442920978</v>
      </c>
      <c r="X21" s="15">
        <f t="shared" si="34"/>
        <v>-0.16142393769196189</v>
      </c>
      <c r="Y21" s="15">
        <f t="shared" si="34"/>
        <v>-0.25809746155980612</v>
      </c>
      <c r="Z21" s="15">
        <f t="shared" si="34"/>
        <v>-0.26795058987877118</v>
      </c>
      <c r="AD21" s="15">
        <f>+AD19/AD20</f>
        <v>-4.8262031566983998E-2</v>
      </c>
      <c r="AE21" s="15">
        <f>+AE19/AE20</f>
        <v>-8.1665906593806469E-3</v>
      </c>
      <c r="AF21" s="15">
        <f>+AF19/AF20</f>
        <v>1.909990383358374</v>
      </c>
      <c r="AG21" s="15">
        <f>+AG19/AG20</f>
        <v>0.18366310665351671</v>
      </c>
      <c r="AH21" s="15">
        <f>+AH19/AH20</f>
        <v>-1.46949898713161</v>
      </c>
      <c r="AI21" s="15">
        <f>+AI19/AI20</f>
        <v>-0.97765292355974898</v>
      </c>
    </row>
    <row r="23" spans="1:113" s="4" customFormat="1">
      <c r="A23" s="16"/>
      <c r="B23" s="9" t="s">
        <v>84</v>
      </c>
      <c r="G23" s="4">
        <f t="shared" ref="G23:U23" si="35">G8/C8-1</f>
        <v>0.50754616612204551</v>
      </c>
      <c r="H23" s="4">
        <f t="shared" si="35"/>
        <v>0.29716552621087655</v>
      </c>
      <c r="I23" s="4">
        <f t="shared" si="35"/>
        <v>0.116376007999065</v>
      </c>
      <c r="J23" s="4">
        <f t="shared" si="35"/>
        <v>8.4872229864720872E-3</v>
      </c>
      <c r="K23" s="4">
        <f t="shared" si="35"/>
        <v>1.9488048069846498E-2</v>
      </c>
      <c r="L23" s="4">
        <f t="shared" si="35"/>
        <v>-1.8929050071040621E-2</v>
      </c>
      <c r="M23" s="4">
        <f t="shared" si="35"/>
        <v>-4.1892033360086511E-2</v>
      </c>
      <c r="N23" s="4">
        <f t="shared" si="35"/>
        <v>-1.0960779304660551E-2</v>
      </c>
      <c r="O23" s="4">
        <f t="shared" si="35"/>
        <v>-7.2402642352801583E-2</v>
      </c>
      <c r="P23" s="4">
        <f t="shared" si="35"/>
        <v>-6.0948742046312399E-2</v>
      </c>
      <c r="Q23" s="4">
        <f t="shared" si="35"/>
        <v>-4.1793382259209921E-2</v>
      </c>
      <c r="R23" s="4">
        <f t="shared" si="35"/>
        <v>-8.3852763008484765E-2</v>
      </c>
      <c r="S23" s="4">
        <f t="shared" si="35"/>
        <v>-7.0633951844606413E-2</v>
      </c>
      <c r="T23" s="4">
        <f t="shared" si="35"/>
        <v>-0.10776962915566068</v>
      </c>
      <c r="U23" s="4">
        <f t="shared" si="35"/>
        <v>-0.13468774943935546</v>
      </c>
      <c r="V23" s="4">
        <f>V8/R8-1</f>
        <v>-0.23673445504210389</v>
      </c>
      <c r="W23" s="4">
        <f>W8/S8-1</f>
        <v>-0.34040722684255809</v>
      </c>
      <c r="X23" s="4">
        <f t="shared" ref="X23:Z23" si="36">X8/T8-1</f>
        <v>-0.25</v>
      </c>
      <c r="Y23" s="4">
        <f t="shared" si="36"/>
        <v>-0.25</v>
      </c>
      <c r="Z23" s="4">
        <f t="shared" si="36"/>
        <v>-0.25</v>
      </c>
      <c r="AE23" s="4">
        <f>AE8/AD8-1</f>
        <v>0.2047481290875286</v>
      </c>
      <c r="AF23" s="4">
        <f>AF8/AE8-1</f>
        <v>-1.2068043773711179E-2</v>
      </c>
      <c r="AG23" s="4">
        <f>AG8/AF8-1</f>
        <v>-6.5982785171933234E-2</v>
      </c>
      <c r="AH23" s="4">
        <f>AH8/AG8-1</f>
        <v>-0.13782170753669931</v>
      </c>
      <c r="AI23" s="4">
        <f>AI8/AH8-1</f>
        <v>-0.27552325713193881</v>
      </c>
      <c r="AJ23" s="4">
        <f t="shared" ref="AJ23:AS23" si="37">AJ8/AI8-1</f>
        <v>-0.30000000000000004</v>
      </c>
      <c r="AK23" s="4">
        <f t="shared" si="37"/>
        <v>0.10000000000000009</v>
      </c>
      <c r="AL23" s="4">
        <f t="shared" si="37"/>
        <v>0.10000000000000009</v>
      </c>
      <c r="AM23" s="4">
        <f t="shared" si="37"/>
        <v>0.10000000000000009</v>
      </c>
      <c r="AN23" s="4">
        <f t="shared" si="37"/>
        <v>5.0000000000000044E-2</v>
      </c>
      <c r="AO23" s="4">
        <f t="shared" si="37"/>
        <v>5.0000000000000044E-2</v>
      </c>
      <c r="AP23" s="4">
        <f t="shared" si="37"/>
        <v>3.0000000000000027E-2</v>
      </c>
      <c r="AQ23" s="4">
        <f t="shared" si="37"/>
        <v>3.0000000000000027E-2</v>
      </c>
      <c r="AR23" s="4">
        <f t="shared" si="37"/>
        <v>3.0000000000000027E-2</v>
      </c>
      <c r="AS23" s="4">
        <f t="shared" si="37"/>
        <v>3.0000000000000027E-2</v>
      </c>
    </row>
    <row r="24" spans="1:113" s="4" customFormat="1">
      <c r="A24" s="16"/>
      <c r="B24" s="9" t="s">
        <v>85</v>
      </c>
      <c r="G24" s="4">
        <f t="shared" ref="G24:U24" si="38">G11/C11-1</f>
        <v>0.16666245163248283</v>
      </c>
      <c r="H24" s="4">
        <f t="shared" si="38"/>
        <v>3.0242235101798132E-2</v>
      </c>
      <c r="I24" s="4">
        <f t="shared" si="38"/>
        <v>-1.7529120592175484E-2</v>
      </c>
      <c r="J24" s="4">
        <f t="shared" si="38"/>
        <v>1.8679844086135988E-2</v>
      </c>
      <c r="K24" s="4">
        <f t="shared" si="38"/>
        <v>0.13622076261082561</v>
      </c>
      <c r="L24" s="4">
        <f t="shared" si="38"/>
        <v>0.26169010698401252</v>
      </c>
      <c r="M24" s="4">
        <f t="shared" si="38"/>
        <v>4.9850932538306969E-2</v>
      </c>
      <c r="N24" s="4">
        <f t="shared" si="38"/>
        <v>-3.1572784677790233E-2</v>
      </c>
      <c r="O24" s="4">
        <f t="shared" si="38"/>
        <v>-0.10508442239816851</v>
      </c>
      <c r="P24" s="4">
        <f t="shared" si="38"/>
        <v>7.4695121951220411E-3</v>
      </c>
      <c r="Q24" s="4">
        <f t="shared" si="38"/>
        <v>1.7082727953154464E-2</v>
      </c>
      <c r="R24" s="4">
        <f t="shared" si="38"/>
        <v>-1.2781760082908877E-2</v>
      </c>
      <c r="S24" s="4">
        <f t="shared" si="38"/>
        <v>-5.2700023450657607E-2</v>
      </c>
      <c r="T24" s="4">
        <f t="shared" si="38"/>
        <v>-0.17440233015584805</v>
      </c>
      <c r="U24" s="4">
        <f t="shared" si="38"/>
        <v>-0.10529847192762209</v>
      </c>
      <c r="V24" s="4">
        <f>V11/R11-1</f>
        <v>-0.10314058262619186</v>
      </c>
      <c r="W24" s="4">
        <f>W11/S11-1</f>
        <v>-9.9999999999999978E-2</v>
      </c>
      <c r="X24" s="4">
        <f t="shared" ref="X24:Z26" si="39">X11/T11-1</f>
        <v>-9.9999999999999978E-2</v>
      </c>
      <c r="Y24" s="4">
        <f t="shared" si="39"/>
        <v>-9.9999999999999978E-2</v>
      </c>
      <c r="Z24" s="4">
        <f t="shared" si="39"/>
        <v>-9.9999999999999978E-2</v>
      </c>
      <c r="AE24" s="4">
        <f>AE11/AD11-1</f>
        <v>4.631812995523843E-2</v>
      </c>
      <c r="AF24" s="4">
        <f>AF11/AE11-1</f>
        <v>9.963035661359676E-2</v>
      </c>
      <c r="AG24" s="4">
        <f>AG11/AF11-1</f>
        <v>-2.5081749619857985E-2</v>
      </c>
      <c r="AH24" s="4">
        <f>AH11/AG11-1</f>
        <v>-0.11097258809107735</v>
      </c>
      <c r="AI24" s="4">
        <f>AI11/AH11-1</f>
        <v>-0.10000000000000009</v>
      </c>
      <c r="AJ24" s="4">
        <f t="shared" ref="AJ24:AS24" si="40">AJ11/AI11-1</f>
        <v>-0.30000000000000004</v>
      </c>
      <c r="AK24" s="4">
        <f t="shared" si="40"/>
        <v>-2.9999999999999916E-2</v>
      </c>
      <c r="AL24" s="4">
        <f t="shared" si="40"/>
        <v>-3.0000000000000138E-2</v>
      </c>
      <c r="AM24" s="4">
        <f t="shared" si="40"/>
        <v>-3.0000000000000027E-2</v>
      </c>
      <c r="AN24" s="4">
        <f t="shared" si="40"/>
        <v>-2.9999999999999916E-2</v>
      </c>
      <c r="AO24" s="4">
        <f t="shared" si="40"/>
        <v>-3.0000000000000138E-2</v>
      </c>
      <c r="AP24" s="4">
        <f t="shared" si="40"/>
        <v>-3.0000000000000138E-2</v>
      </c>
      <c r="AQ24" s="4">
        <f t="shared" si="40"/>
        <v>-2.9999999999999916E-2</v>
      </c>
      <c r="AR24" s="4">
        <f t="shared" si="40"/>
        <v>-3.0000000000000027E-2</v>
      </c>
      <c r="AS24" s="4">
        <f t="shared" si="40"/>
        <v>-3.0000000000000027E-2</v>
      </c>
    </row>
    <row r="25" spans="1:113" s="4" customFormat="1">
      <c r="A25" s="16"/>
      <c r="B25" s="9" t="s">
        <v>86</v>
      </c>
      <c r="G25" s="4">
        <f t="shared" ref="G25:G26" si="41">G12/C12-1</f>
        <v>0.29528609546397866</v>
      </c>
      <c r="H25" s="4">
        <f t="shared" ref="H25:H26" si="42">H12/D12-1</f>
        <v>0.37618987181114361</v>
      </c>
      <c r="I25" s="4">
        <f t="shared" ref="I25:I26" si="43">I12/E12-1</f>
        <v>0.10615228426395951</v>
      </c>
      <c r="J25" s="4">
        <f t="shared" ref="J25:J26" si="44">J12/F12-1</f>
        <v>0.41243601183487533</v>
      </c>
      <c r="K25" s="4">
        <f t="shared" ref="K25:K26" si="45">K12/G12-1</f>
        <v>0.62119478141451134</v>
      </c>
      <c r="L25" s="4">
        <f t="shared" ref="L25:L26" si="46">L12/H12-1</f>
        <v>0.62680992345291919</v>
      </c>
      <c r="M25" s="4">
        <f t="shared" ref="M25:M26" si="47">M12/I12-1</f>
        <v>0.16755387495869889</v>
      </c>
      <c r="N25" s="4">
        <f t="shared" ref="N25:N26" si="48">N12/J12-1</f>
        <v>0.26616791354945968</v>
      </c>
      <c r="O25" s="4">
        <f t="shared" ref="O25:O26" si="49">O12/K12-1</f>
        <v>-0.12897077509529853</v>
      </c>
      <c r="P25" s="4">
        <f t="shared" ref="P25:P26" si="50">P12/L12-1</f>
        <v>-0.12253748689021804</v>
      </c>
      <c r="Q25" s="4">
        <f t="shared" ref="Q25:Q26" si="51">Q12/M12-1</f>
        <v>-9.2161116875766447E-2</v>
      </c>
      <c r="R25" s="4">
        <f t="shared" ref="R25:R26" si="52">R12/N12-1</f>
        <v>-0.21885504201680672</v>
      </c>
      <c r="S25" s="4">
        <f t="shared" ref="S25:S26" si="53">S12/O12-1</f>
        <v>-0.17943107221006571</v>
      </c>
      <c r="T25" s="4">
        <f t="shared" ref="T25:T26" si="54">T12/P12-1</f>
        <v>-0.23940431580307531</v>
      </c>
      <c r="U25" s="4">
        <f t="shared" ref="U25:W26" si="55">U12/Q12-1</f>
        <v>-8.187863674147966E-2</v>
      </c>
      <c r="V25" s="4">
        <f t="shared" si="55"/>
        <v>-6.2025146238149587E-2</v>
      </c>
      <c r="W25" s="4">
        <f t="shared" si="55"/>
        <v>-9.9999999999999978E-2</v>
      </c>
      <c r="X25" s="4">
        <f t="shared" si="39"/>
        <v>-9.9999999999999867E-2</v>
      </c>
      <c r="Y25" s="4">
        <f t="shared" si="39"/>
        <v>-9.9999999999999978E-2</v>
      </c>
      <c r="Z25" s="4">
        <f t="shared" si="39"/>
        <v>-9.9999999999999978E-2</v>
      </c>
      <c r="AE25" s="4">
        <f t="shared" ref="AE25" si="56">AE12/AD12-1</f>
        <v>0.28444466147422931</v>
      </c>
      <c r="AF25" s="4">
        <f t="shared" ref="AF25" si="57">AF12/AE12-1</f>
        <v>0.40342539966164193</v>
      </c>
      <c r="AG25" s="4">
        <f t="shared" ref="AG25:AH26" si="58">AG12/AF12-1</f>
        <v>-0.14268590004063386</v>
      </c>
      <c r="AH25" s="4">
        <f t="shared" si="58"/>
        <v>-0.1442598604956119</v>
      </c>
      <c r="AI25" s="4">
        <f t="shared" ref="AI25:AS25" si="59">AI12/AH12-1</f>
        <v>-9.9999999999999978E-2</v>
      </c>
      <c r="AJ25" s="4">
        <f t="shared" si="59"/>
        <v>-0.25</v>
      </c>
      <c r="AK25" s="4">
        <f t="shared" si="59"/>
        <v>0.10000000000000009</v>
      </c>
      <c r="AL25" s="4">
        <f t="shared" si="59"/>
        <v>0.10000000000000009</v>
      </c>
      <c r="AM25" s="4">
        <f t="shared" si="59"/>
        <v>0.10000000000000009</v>
      </c>
      <c r="AN25" s="4">
        <f t="shared" si="59"/>
        <v>5.0000000000000044E-2</v>
      </c>
      <c r="AO25" s="4">
        <f t="shared" si="59"/>
        <v>5.0000000000000044E-2</v>
      </c>
      <c r="AP25" s="4">
        <f t="shared" si="59"/>
        <v>3.0000000000000027E-2</v>
      </c>
      <c r="AQ25" s="4">
        <f t="shared" si="59"/>
        <v>3.0000000000000027E-2</v>
      </c>
      <c r="AR25" s="4">
        <f t="shared" si="59"/>
        <v>3.0000000000000027E-2</v>
      </c>
      <c r="AS25" s="4">
        <f t="shared" si="59"/>
        <v>3.0000000000000027E-2</v>
      </c>
    </row>
    <row r="26" spans="1:113" s="4" customFormat="1">
      <c r="A26" s="16"/>
      <c r="B26" s="9" t="s">
        <v>87</v>
      </c>
      <c r="G26" s="4">
        <f t="shared" si="41"/>
        <v>0.44846050870147258</v>
      </c>
      <c r="H26" s="4">
        <f t="shared" si="42"/>
        <v>0.2693020580340022</v>
      </c>
      <c r="I26" s="4">
        <f t="shared" si="43"/>
        <v>-0.16705080423695573</v>
      </c>
      <c r="J26" s="4">
        <f t="shared" si="44"/>
        <v>0.52464019532253925</v>
      </c>
      <c r="K26" s="4">
        <f t="shared" si="45"/>
        <v>0.23765513599154997</v>
      </c>
      <c r="L26" s="4">
        <f t="shared" si="46"/>
        <v>0.35791434829678503</v>
      </c>
      <c r="M26" s="4">
        <f t="shared" si="47"/>
        <v>0.58199640870153968</v>
      </c>
      <c r="N26" s="4">
        <f t="shared" si="48"/>
        <v>0.300069533702775</v>
      </c>
      <c r="O26" s="4">
        <f t="shared" si="49"/>
        <v>0.25822487732024757</v>
      </c>
      <c r="P26" s="4">
        <f t="shared" si="50"/>
        <v>0.30358765180309621</v>
      </c>
      <c r="Q26" s="4">
        <f t="shared" si="51"/>
        <v>-4.968181310706643E-3</v>
      </c>
      <c r="R26" s="4">
        <f t="shared" si="52"/>
        <v>-0.13410048622366288</v>
      </c>
      <c r="S26" s="4">
        <f t="shared" si="53"/>
        <v>-5.8314822037203506E-2</v>
      </c>
      <c r="T26" s="4">
        <f t="shared" si="54"/>
        <v>-0.23173420188027138</v>
      </c>
      <c r="U26" s="4">
        <f t="shared" si="55"/>
        <v>-2.926601215521285E-2</v>
      </c>
      <c r="V26" s="4">
        <f t="shared" ref="V26:W26" si="60">V13/R13-1</f>
        <v>5.3719162954366739E-2</v>
      </c>
      <c r="W26" s="4">
        <f t="shared" si="60"/>
        <v>-9.9999999999999978E-2</v>
      </c>
      <c r="X26" s="4">
        <f t="shared" si="39"/>
        <v>-0.10000000000000009</v>
      </c>
      <c r="Y26" s="4">
        <f t="shared" si="39"/>
        <v>-9.9999999999999867E-2</v>
      </c>
      <c r="Z26" s="4">
        <f t="shared" si="39"/>
        <v>-9.9999999999999978E-2</v>
      </c>
      <c r="AE26" s="4">
        <f t="shared" ref="AE26" si="61">AE13/AD13-1</f>
        <v>0.22937943084214041</v>
      </c>
      <c r="AF26" s="4">
        <f t="shared" ref="AF26" si="62">AF13/AE13-1</f>
        <v>0.35988152359152048</v>
      </c>
      <c r="AG26" s="4">
        <f t="shared" si="58"/>
        <v>9.2190874324267869E-2</v>
      </c>
      <c r="AH26" s="4">
        <f t="shared" si="58"/>
        <v>-7.8020009907571741E-2</v>
      </c>
      <c r="AI26" s="4">
        <f t="shared" ref="AI26:AS26" si="63">AI13/AH13-1</f>
        <v>-9.9999999999999867E-2</v>
      </c>
      <c r="AJ26" s="4">
        <f t="shared" si="63"/>
        <v>-0.19999999999999996</v>
      </c>
      <c r="AK26" s="4">
        <f t="shared" si="63"/>
        <v>-0.19999999999999996</v>
      </c>
      <c r="AL26" s="4">
        <f t="shared" si="63"/>
        <v>-9.9999999999999978E-2</v>
      </c>
      <c r="AM26" s="4">
        <f t="shared" si="63"/>
        <v>3.0000000000000027E-2</v>
      </c>
      <c r="AN26" s="4">
        <f t="shared" si="63"/>
        <v>3.0000000000000027E-2</v>
      </c>
      <c r="AO26" s="4">
        <f t="shared" si="63"/>
        <v>3.0000000000000027E-2</v>
      </c>
      <c r="AP26" s="4">
        <f t="shared" si="63"/>
        <v>3.0000000000000027E-2</v>
      </c>
      <c r="AQ26" s="4">
        <f t="shared" si="63"/>
        <v>3.0000000000000027E-2</v>
      </c>
      <c r="AR26" s="4">
        <f t="shared" si="63"/>
        <v>3.0000000000000027E-2</v>
      </c>
      <c r="AS26" s="4">
        <f t="shared" si="63"/>
        <v>3.0000000000000027E-2</v>
      </c>
    </row>
    <row r="27" spans="1:113" s="4" customFormat="1">
      <c r="A27" s="16"/>
      <c r="B27" s="9"/>
    </row>
    <row r="28" spans="1:113" s="4" customFormat="1">
      <c r="A28" s="16"/>
      <c r="B28" s="9" t="s">
        <v>88</v>
      </c>
      <c r="C28" s="4">
        <f t="shared" ref="C28:V28" si="64">C10/C8</f>
        <v>0.67786305950300174</v>
      </c>
      <c r="D28" s="4">
        <f t="shared" si="64"/>
        <v>0.7155461443444503</v>
      </c>
      <c r="E28" s="4">
        <f t="shared" si="64"/>
        <v>0.59504733213001071</v>
      </c>
      <c r="F28" s="4">
        <f t="shared" si="64"/>
        <v>0.7222792033871116</v>
      </c>
      <c r="G28" s="4">
        <f t="shared" si="64"/>
        <v>0.64016171148010359</v>
      </c>
      <c r="H28" s="4">
        <f t="shared" si="64"/>
        <v>0.69413234716190209</v>
      </c>
      <c r="I28" s="4">
        <f t="shared" si="64"/>
        <v>0.60974049388747364</v>
      </c>
      <c r="J28" s="4">
        <f t="shared" si="64"/>
        <v>0.73147536716682648</v>
      </c>
      <c r="K28" s="4">
        <f t="shared" si="64"/>
        <v>0.72763098039991292</v>
      </c>
      <c r="L28" s="4">
        <f t="shared" si="64"/>
        <v>0.76538740043446785</v>
      </c>
      <c r="M28" s="4">
        <f t="shared" si="64"/>
        <v>0.72560838659940874</v>
      </c>
      <c r="N28" s="4">
        <f t="shared" si="64"/>
        <v>0.74938716233009894</v>
      </c>
      <c r="O28" s="4">
        <f t="shared" si="64"/>
        <v>0.73800779313543097</v>
      </c>
      <c r="P28" s="4">
        <f t="shared" si="64"/>
        <v>0.74070975045528376</v>
      </c>
      <c r="Q28" s="4">
        <f t="shared" si="64"/>
        <v>0.47055506987469436</v>
      </c>
      <c r="R28" s="4">
        <f t="shared" si="64"/>
        <v>0.75634485363349591</v>
      </c>
      <c r="S28" s="4">
        <f t="shared" si="64"/>
        <v>0.73331230283911675</v>
      </c>
      <c r="T28" s="4">
        <f t="shared" si="64"/>
        <v>0.72165592992822425</v>
      </c>
      <c r="U28" s="4">
        <f t="shared" si="64"/>
        <v>0.6821213385751832</v>
      </c>
      <c r="V28" s="4">
        <f>V10/V8</f>
        <v>0.68220149981879519</v>
      </c>
      <c r="W28" s="4">
        <f>W10/W8</f>
        <v>0.67000000000000015</v>
      </c>
      <c r="X28" s="4">
        <f t="shared" ref="X28:Z28" si="65">X10/X8</f>
        <v>0.7</v>
      </c>
      <c r="Y28" s="4">
        <f t="shared" si="65"/>
        <v>0.69999999999999984</v>
      </c>
      <c r="Z28" s="4">
        <f t="shared" si="65"/>
        <v>0.7</v>
      </c>
      <c r="AD28" s="4">
        <f>AD10/AD8</f>
        <v>0.68119682526872538</v>
      </c>
      <c r="AE28" s="4">
        <f>AE10/AE8</f>
        <v>0.67162760139900679</v>
      </c>
      <c r="AF28" s="4">
        <f>AF10/AF8</f>
        <v>0.74260428714677451</v>
      </c>
      <c r="AG28" s="4">
        <f>AG10/AG8</f>
        <v>0.68456990485763536</v>
      </c>
      <c r="AH28" s="4">
        <f>AH10/AH8</f>
        <v>0.70703591796286758</v>
      </c>
      <c r="AI28" s="4">
        <f>AI10/AI8</f>
        <v>0.69228908984439597</v>
      </c>
      <c r="AJ28" s="4">
        <f t="shared" ref="AJ28:AS28" si="66">AJ10/AJ8</f>
        <v>0.7</v>
      </c>
      <c r="AK28" s="4">
        <f t="shared" si="66"/>
        <v>0.7</v>
      </c>
      <c r="AL28" s="4">
        <f t="shared" si="66"/>
        <v>0.7</v>
      </c>
      <c r="AM28" s="4">
        <f t="shared" si="66"/>
        <v>0.70000000000000007</v>
      </c>
      <c r="AN28" s="4">
        <f t="shared" si="66"/>
        <v>0.7</v>
      </c>
      <c r="AO28" s="4">
        <f t="shared" si="66"/>
        <v>0.7</v>
      </c>
      <c r="AP28" s="4">
        <f t="shared" si="66"/>
        <v>0.7</v>
      </c>
      <c r="AQ28" s="4">
        <f t="shared" si="66"/>
        <v>0.7</v>
      </c>
      <c r="AR28" s="4">
        <f t="shared" si="66"/>
        <v>0.7</v>
      </c>
      <c r="AS28" s="4">
        <f t="shared" si="66"/>
        <v>0.7</v>
      </c>
    </row>
    <row r="29" spans="1:113" s="4" customFormat="1">
      <c r="A29" s="16"/>
      <c r="B29" s="9" t="s">
        <v>89</v>
      </c>
      <c r="C29" s="4">
        <f t="shared" ref="C29:V29" si="67">C15/C8</f>
        <v>2.4895508777262789E-2</v>
      </c>
      <c r="D29" s="4">
        <f t="shared" si="67"/>
        <v>0.14418106124476326</v>
      </c>
      <c r="E29" s="4">
        <f t="shared" si="67"/>
        <v>-0.11558389279175156</v>
      </c>
      <c r="F29" s="4">
        <f t="shared" si="67"/>
        <v>0.23924635793137308</v>
      </c>
      <c r="G29" s="4">
        <f t="shared" si="67"/>
        <v>8.4580951516801173E-2</v>
      </c>
      <c r="H29" s="4">
        <f t="shared" si="67"/>
        <v>0.17518314372373769</v>
      </c>
      <c r="I29" s="4">
        <f t="shared" si="67"/>
        <v>2.0995451954729989E-3</v>
      </c>
      <c r="J29" s="4">
        <f t="shared" si="67"/>
        <v>0.1272346927463163</v>
      </c>
      <c r="K29" s="4">
        <f t="shared" si="67"/>
        <v>2.6581752734320944E-2</v>
      </c>
      <c r="L29" s="4">
        <f t="shared" si="67"/>
        <v>3.7710365086456976E-2</v>
      </c>
      <c r="M29" s="4">
        <f t="shared" si="67"/>
        <v>-6.9412828777642224E-2</v>
      </c>
      <c r="N29" s="4">
        <f t="shared" si="67"/>
        <v>3.7394063150302408E-2</v>
      </c>
      <c r="O29" s="4">
        <f t="shared" si="67"/>
        <v>-2.3699234012611863E-2</v>
      </c>
      <c r="P29" s="4">
        <f t="shared" si="67"/>
        <v>-0.1022460665124444</v>
      </c>
      <c r="Q29" s="4">
        <f t="shared" si="67"/>
        <v>-0.3437987000646166</v>
      </c>
      <c r="R29" s="4">
        <f t="shared" si="67"/>
        <v>7.0680419390702437E-2</v>
      </c>
      <c r="S29" s="4">
        <f t="shared" si="67"/>
        <v>-1.4287353025523371E-2</v>
      </c>
      <c r="T29" s="4">
        <f t="shared" si="67"/>
        <v>-2.1305938815914478E-2</v>
      </c>
      <c r="U29" s="4">
        <f t="shared" si="67"/>
        <v>-0.19460733712562145</v>
      </c>
      <c r="V29" s="4">
        <f>V15/V8</f>
        <v>-0.19040450503191989</v>
      </c>
      <c r="W29" s="4">
        <f>W15/W8</f>
        <v>-0.35008347826086961</v>
      </c>
      <c r="X29" s="4">
        <f t="shared" ref="X29:Z29" si="68">X15/X8</f>
        <v>-0.1915542424929666</v>
      </c>
      <c r="Y29" s="4">
        <f t="shared" si="68"/>
        <v>-0.35207441084096575</v>
      </c>
      <c r="Z29" s="4">
        <f t="shared" si="68"/>
        <v>-0.34712720582085821</v>
      </c>
      <c r="AD29" s="4">
        <f>AD15/AD8</f>
        <v>8.807954831160042E-2</v>
      </c>
      <c r="AE29" s="4">
        <f>AE15/AE8</f>
        <v>0.10087663362382694</v>
      </c>
      <c r="AF29" s="4">
        <f>AF15/AF8</f>
        <v>1.1679534539840265E-2</v>
      </c>
      <c r="AG29" s="4">
        <f>AG15/AG8</f>
        <v>-8.9523171319079595E-2</v>
      </c>
      <c r="AH29" s="4">
        <f>AH15/AH8</f>
        <v>-9.6942228785538306E-2</v>
      </c>
      <c r="AI29" s="4">
        <f>AI15/AI8</f>
        <v>-0.30647358845643236</v>
      </c>
      <c r="AJ29" s="4">
        <f t="shared" ref="AJ29:AS29" si="69">AJ15/AJ8</f>
        <v>-0.37690259923127184</v>
      </c>
      <c r="AK29" s="4">
        <f t="shared" si="69"/>
        <v>-0.19985907190539101</v>
      </c>
      <c r="AL29" s="4">
        <f t="shared" si="69"/>
        <v>-9.7936096721684102E-2</v>
      </c>
      <c r="AM29" s="4">
        <f t="shared" si="69"/>
        <v>-4.7474728558217945E-2</v>
      </c>
      <c r="AN29" s="4">
        <f t="shared" si="69"/>
        <v>-2.425110756017668E-2</v>
      </c>
      <c r="AO29" s="4">
        <f t="shared" si="69"/>
        <v>-2.4933167127249895E-3</v>
      </c>
      <c r="AP29" s="4">
        <f t="shared" si="69"/>
        <v>9.1934316481523445E-3</v>
      </c>
      <c r="AQ29" s="4">
        <f t="shared" si="69"/>
        <v>2.0199398551114654E-2</v>
      </c>
      <c r="AR29" s="4">
        <f t="shared" si="69"/>
        <v>3.0564241168467385E-2</v>
      </c>
      <c r="AS29" s="4">
        <f t="shared" si="69"/>
        <v>4.032530654597441E-2</v>
      </c>
    </row>
    <row r="30" spans="1:113" s="4" customFormat="1">
      <c r="A30" s="16"/>
      <c r="B30" s="9" t="s">
        <v>81</v>
      </c>
      <c r="C30" s="4">
        <f t="shared" ref="C30:V30" si="70">C18/C17</f>
        <v>-0.10055865921787732</v>
      </c>
      <c r="D30" s="4">
        <f t="shared" si="70"/>
        <v>0.10836982148871693</v>
      </c>
      <c r="E30" s="4">
        <f t="shared" si="70"/>
        <v>-2.9550368686588689E-2</v>
      </c>
      <c r="F30" s="4">
        <f t="shared" si="70"/>
        <v>8.7107403252944471E-2</v>
      </c>
      <c r="G30" s="4">
        <f t="shared" si="70"/>
        <v>-4.5238782513871506E-2</v>
      </c>
      <c r="H30" s="4">
        <f t="shared" si="70"/>
        <v>6.3591414444539696E-2</v>
      </c>
      <c r="I30" s="4">
        <f t="shared" si="70"/>
        <v>0.10097323600973211</v>
      </c>
      <c r="J30" s="4">
        <f t="shared" si="70"/>
        <v>5.4187572365881891E-2</v>
      </c>
      <c r="K30" s="4">
        <f t="shared" si="70"/>
        <v>0.42343608796063836</v>
      </c>
      <c r="L30" s="4">
        <f t="shared" si="70"/>
        <v>7.961783439490458E-3</v>
      </c>
      <c r="M30" s="4">
        <f t="shared" si="70"/>
        <v>-1.9841989133787283</v>
      </c>
      <c r="N30" s="4">
        <f t="shared" si="70"/>
        <v>0.1370181142591731</v>
      </c>
      <c r="O30" s="4">
        <f t="shared" si="70"/>
        <v>0.6563973593209681</v>
      </c>
      <c r="P30" s="4">
        <f t="shared" si="70"/>
        <v>0.44433657688573819</v>
      </c>
      <c r="Q30" s="4">
        <f t="shared" si="70"/>
        <v>-1.1853076976087109E-2</v>
      </c>
      <c r="R30" s="4">
        <f t="shared" si="70"/>
        <v>0.45024763619991048</v>
      </c>
      <c r="S30" s="4">
        <f t="shared" si="70"/>
        <v>1.1858882052624689</v>
      </c>
      <c r="T30" s="4">
        <f t="shared" si="70"/>
        <v>46.238302139037422</v>
      </c>
      <c r="U30" s="4">
        <f t="shared" si="70"/>
        <v>0.13854686068993582</v>
      </c>
      <c r="V30" s="4">
        <f>V18/V17</f>
        <v>1.905687203791476</v>
      </c>
      <c r="W30" s="4">
        <f>W18/W17</f>
        <v>0.2</v>
      </c>
      <c r="X30" s="4">
        <f t="shared" ref="X30:Z30" si="71">X18/X17</f>
        <v>0.2</v>
      </c>
      <c r="Y30" s="4">
        <f t="shared" si="71"/>
        <v>0.2</v>
      </c>
      <c r="Z30" s="4">
        <f t="shared" si="71"/>
        <v>0.2</v>
      </c>
      <c r="AD30" s="4">
        <f>AD18/AD17</f>
        <v>-6.2253193960509696</v>
      </c>
      <c r="AE30" s="4">
        <f>AE18/AE17</f>
        <v>1.2118201717460808</v>
      </c>
      <c r="AF30" s="4">
        <f>AF18/AF17</f>
        <v>-1.5651588324707082</v>
      </c>
      <c r="AG30" s="4">
        <f>AG18/AG17</f>
        <v>0.59409778898946564</v>
      </c>
      <c r="AH30" s="4">
        <f>AH18/AH17</f>
        <v>-12.634510015269891</v>
      </c>
      <c r="AI30" s="4">
        <f>AI18/AI17</f>
        <v>0.2</v>
      </c>
      <c r="AJ30" s="4">
        <f t="shared" ref="AJ30:AS30" si="72">AJ18/AJ17</f>
        <v>0.2</v>
      </c>
      <c r="AK30" s="4">
        <f t="shared" si="72"/>
        <v>0.2</v>
      </c>
      <c r="AL30" s="4">
        <f t="shared" si="72"/>
        <v>0.2</v>
      </c>
      <c r="AM30" s="4">
        <f t="shared" si="72"/>
        <v>0.2</v>
      </c>
      <c r="AN30" s="4">
        <f t="shared" si="72"/>
        <v>0.2</v>
      </c>
      <c r="AO30" s="4">
        <f t="shared" si="72"/>
        <v>0.2</v>
      </c>
      <c r="AP30" s="4">
        <f t="shared" si="72"/>
        <v>0.2</v>
      </c>
      <c r="AQ30" s="4">
        <f t="shared" si="72"/>
        <v>0.2</v>
      </c>
      <c r="AR30" s="4">
        <f t="shared" si="72"/>
        <v>0.2</v>
      </c>
      <c r="AS30" s="4">
        <f t="shared" si="72"/>
        <v>0.2</v>
      </c>
    </row>
    <row r="34" spans="2:50">
      <c r="B34" s="8" t="s">
        <v>31</v>
      </c>
      <c r="V34" s="3">
        <v>188</v>
      </c>
      <c r="AH34" s="3">
        <v>188</v>
      </c>
      <c r="AI34" s="3">
        <f>+AH34+AI19</f>
        <v>85.822559999999953</v>
      </c>
      <c r="AJ34" s="3">
        <f t="shared" ref="AJ34:AS34" si="73">+AI34+AJ19</f>
        <v>-5.1790216000000697</v>
      </c>
      <c r="AK34" s="3">
        <f t="shared" si="73"/>
        <v>-60.469238944000075</v>
      </c>
      <c r="AL34" s="3">
        <f t="shared" si="73"/>
        <v>-92.579337723360098</v>
      </c>
      <c r="AM34" s="3">
        <f t="shared" si="73"/>
        <v>-112.11473884564651</v>
      </c>
      <c r="AN34" s="3">
        <f t="shared" si="73"/>
        <v>-125.09114119651981</v>
      </c>
      <c r="AO34" s="3">
        <f t="shared" si="73"/>
        <v>-131.01150446857389</v>
      </c>
      <c r="AP34" s="3">
        <f t="shared" si="73"/>
        <v>-132.77041166251746</v>
      </c>
      <c r="AQ34" s="3">
        <f t="shared" si="73"/>
        <v>-130.20222958108783</v>
      </c>
      <c r="AR34" s="3">
        <f t="shared" si="73"/>
        <v>-123.13074125558383</v>
      </c>
      <c r="AS34" s="3">
        <f t="shared" si="73"/>
        <v>-111.36872333754927</v>
      </c>
    </row>
    <row r="35" spans="2:50">
      <c r="AU35" s="3" t="s">
        <v>90</v>
      </c>
      <c r="AV35" s="4">
        <v>-0.01</v>
      </c>
    </row>
    <row r="36" spans="2:50">
      <c r="B36" s="8" t="s">
        <v>91</v>
      </c>
      <c r="AD36" s="3">
        <f t="shared" ref="AD36:AH36" si="74">AD19</f>
        <v>-6.2210000000000178</v>
      </c>
      <c r="AE36" s="3">
        <f t="shared" si="74"/>
        <v>-1.2579999999999787</v>
      </c>
      <c r="AF36" s="3">
        <f t="shared" si="74"/>
        <v>266.63799999999992</v>
      </c>
      <c r="AG36" s="3">
        <f t="shared" si="74"/>
        <v>21.882999999999882</v>
      </c>
      <c r="AH36" s="3">
        <f>AH19</f>
        <v>-151.79300000000001</v>
      </c>
      <c r="AU36" s="3" t="s">
        <v>92</v>
      </c>
      <c r="AV36" s="4">
        <v>0.05</v>
      </c>
    </row>
    <row r="37" spans="2:50">
      <c r="B37" s="8" t="s">
        <v>93</v>
      </c>
      <c r="AD37" s="3">
        <v>-6.2210000000000001</v>
      </c>
      <c r="AE37" s="3">
        <v>-1.458</v>
      </c>
      <c r="AF37" s="3">
        <v>266.63799999999998</v>
      </c>
      <c r="AG37" s="3">
        <v>18.18</v>
      </c>
      <c r="AH37" s="3">
        <v>-837.06799999999998</v>
      </c>
      <c r="AU37" s="3" t="s">
        <v>94</v>
      </c>
      <c r="AV37" s="4">
        <v>0.1</v>
      </c>
    </row>
    <row r="38" spans="2:50">
      <c r="B38" s="8" t="s">
        <v>95</v>
      </c>
      <c r="AD38" s="17">
        <v>84.055000000000007</v>
      </c>
      <c r="AE38" s="3">
        <v>108.846</v>
      </c>
      <c r="AF38" s="3">
        <v>133.45599999999999</v>
      </c>
      <c r="AG38" s="3">
        <v>133.50200000000001</v>
      </c>
      <c r="AH38" s="3">
        <v>84.614000000000004</v>
      </c>
      <c r="AU38" s="3" t="s">
        <v>96</v>
      </c>
      <c r="AV38" s="3">
        <f>NPV(AV37,AI19:DI19)</f>
        <v>-209.86992312086494</v>
      </c>
      <c r="AW38" s="3" t="s">
        <v>97</v>
      </c>
      <c r="AX38" s="3">
        <f>NPV(AV37,AI65:CD65)</f>
        <v>779.09905394382622</v>
      </c>
    </row>
    <row r="39" spans="2:50">
      <c r="B39" s="8" t="s">
        <v>98</v>
      </c>
      <c r="AD39" s="17">
        <v>47.018000000000001</v>
      </c>
      <c r="AE39" s="3">
        <v>63.274000000000001</v>
      </c>
      <c r="AF39" s="3">
        <v>89.997</v>
      </c>
      <c r="AG39" s="3">
        <v>129.71799999999999</v>
      </c>
      <c r="AH39" s="3">
        <v>78.343999999999994</v>
      </c>
      <c r="AU39" s="3" t="s">
        <v>8</v>
      </c>
      <c r="AV39" s="3">
        <f>Main!K4</f>
        <v>105.10899999999999</v>
      </c>
    </row>
    <row r="40" spans="2:50">
      <c r="B40" s="8" t="s">
        <v>99</v>
      </c>
      <c r="AD40" s="17"/>
      <c r="AF40" s="3">
        <v>-168.679</v>
      </c>
      <c r="AG40" s="3">
        <v>26.574999999999999</v>
      </c>
      <c r="AH40" s="3">
        <v>143.31899999999999</v>
      </c>
      <c r="AU40" s="3" t="s">
        <v>3</v>
      </c>
      <c r="AV40" s="3">
        <f>AV38/AV39</f>
        <v>-1.9966884198390713</v>
      </c>
      <c r="AW40" s="3" t="s">
        <v>100</v>
      </c>
      <c r="AX40" s="3">
        <f>AX38/AV39</f>
        <v>7.4122963204276155</v>
      </c>
    </row>
    <row r="41" spans="2:50">
      <c r="B41" s="8" t="s">
        <v>18</v>
      </c>
      <c r="AD41" s="17">
        <f>-20.433+4.286</f>
        <v>-16.146999999999998</v>
      </c>
      <c r="AE41" s="3">
        <v>78.152000000000001</v>
      </c>
      <c r="AF41" s="3">
        <v>-93.519000000000005</v>
      </c>
      <c r="AG41" s="3">
        <v>-85.926000000000002</v>
      </c>
      <c r="AH41" s="3">
        <v>-19.515000000000001</v>
      </c>
      <c r="AU41" s="3" t="s">
        <v>101</v>
      </c>
      <c r="AV41" s="3">
        <v>1</v>
      </c>
      <c r="AX41" s="3">
        <v>1</v>
      </c>
    </row>
    <row r="42" spans="2:50">
      <c r="B42" s="8" t="s">
        <v>102</v>
      </c>
      <c r="AD42" s="17"/>
      <c r="AF42" s="3">
        <v>0</v>
      </c>
      <c r="AG42" s="3">
        <v>7</v>
      </c>
      <c r="AH42" s="3">
        <v>0</v>
      </c>
      <c r="AU42" s="3" t="s">
        <v>103</v>
      </c>
      <c r="AV42" s="4">
        <f>AV40/AV41-1</f>
        <v>-2.9966884198390713</v>
      </c>
    </row>
    <row r="43" spans="2:50">
      <c r="B43" s="8" t="s">
        <v>104</v>
      </c>
      <c r="AD43" s="17"/>
      <c r="AF43" s="3">
        <v>0</v>
      </c>
      <c r="AG43" s="3">
        <v>3.6</v>
      </c>
      <c r="AH43" s="3">
        <v>677.23900000000003</v>
      </c>
    </row>
    <row r="44" spans="2:50">
      <c r="B44" s="8" t="s">
        <v>105</v>
      </c>
      <c r="AD44" s="17">
        <v>1.2110000000000001</v>
      </c>
      <c r="AE44" s="3">
        <v>2.1150000000000002</v>
      </c>
      <c r="AF44" s="3">
        <v>3.5489999999999999</v>
      </c>
      <c r="AG44" s="3">
        <v>4.1369999999999996</v>
      </c>
      <c r="AH44" s="3">
        <v>5.7949999999999999</v>
      </c>
    </row>
    <row r="45" spans="2:50">
      <c r="B45" s="8" t="s">
        <v>106</v>
      </c>
      <c r="AD45" s="17">
        <v>64.572999999999993</v>
      </c>
      <c r="AE45" s="3">
        <v>5.9219999999999997</v>
      </c>
      <c r="AF45" s="3">
        <v>5.1660000000000004</v>
      </c>
      <c r="AG45" s="3">
        <v>3.1560000000000001</v>
      </c>
      <c r="AH45" s="3">
        <v>2.1469999999999998</v>
      </c>
    </row>
    <row r="46" spans="2:50">
      <c r="B46" s="8" t="s">
        <v>107</v>
      </c>
      <c r="AD46" s="17">
        <v>4.9009999999999998</v>
      </c>
      <c r="AE46" s="3">
        <v>5.9939999999999998</v>
      </c>
      <c r="AF46" s="3">
        <v>6.327</v>
      </c>
      <c r="AG46" s="3">
        <v>6.0789999999999997</v>
      </c>
      <c r="AH46" s="3">
        <v>5.8639999999999999</v>
      </c>
    </row>
    <row r="47" spans="2:50">
      <c r="B47" s="8" t="s">
        <v>108</v>
      </c>
      <c r="AD47" s="17">
        <v>10</v>
      </c>
      <c r="AE47" s="3">
        <f>7.148-12.496</f>
        <v>-5.3480000000000008</v>
      </c>
      <c r="AF47" s="3">
        <v>9.6750000000000007</v>
      </c>
      <c r="AG47" s="3">
        <v>2.1059999999999999</v>
      </c>
      <c r="AH47" s="3">
        <v>2.7E-2</v>
      </c>
    </row>
    <row r="48" spans="2:50">
      <c r="B48" s="8" t="s">
        <v>109</v>
      </c>
      <c r="AD48" s="17">
        <v>-1.4530000000000001</v>
      </c>
      <c r="AE48" s="3">
        <v>10.956</v>
      </c>
      <c r="AF48" s="3">
        <v>-4.976</v>
      </c>
      <c r="AG48" s="3">
        <v>0</v>
      </c>
      <c r="AH48" s="3">
        <v>0</v>
      </c>
    </row>
    <row r="49" spans="1:34">
      <c r="B49" s="8" t="s">
        <v>110</v>
      </c>
      <c r="AD49" s="17">
        <v>15.397</v>
      </c>
      <c r="AE49" s="3">
        <v>10.859</v>
      </c>
      <c r="AF49" s="3">
        <v>1.61</v>
      </c>
      <c r="AG49" s="3">
        <v>0</v>
      </c>
      <c r="AH49" s="3">
        <v>0</v>
      </c>
    </row>
    <row r="50" spans="1:34">
      <c r="B50" s="8" t="s">
        <v>111</v>
      </c>
      <c r="AD50" s="12"/>
      <c r="AF50" s="3">
        <v>-4.6280000000000001</v>
      </c>
      <c r="AG50" s="3">
        <v>0</v>
      </c>
      <c r="AH50" s="3">
        <v>0</v>
      </c>
    </row>
    <row r="51" spans="1:34">
      <c r="B51" s="8" t="s">
        <v>112</v>
      </c>
      <c r="AD51" s="12"/>
      <c r="AF51" s="3">
        <v>5.2249999999999996</v>
      </c>
      <c r="AG51" s="3">
        <v>0</v>
      </c>
      <c r="AH51" s="3">
        <v>5.5570000000000004</v>
      </c>
    </row>
    <row r="52" spans="1:34">
      <c r="B52" s="8" t="s">
        <v>113</v>
      </c>
      <c r="AD52" s="17">
        <v>-0.22700000000000001</v>
      </c>
      <c r="AE52" s="3">
        <v>-0.97299999999999998</v>
      </c>
      <c r="AF52" s="3">
        <v>0.378</v>
      </c>
      <c r="AG52" s="3">
        <v>-1.228</v>
      </c>
      <c r="AH52" s="3">
        <v>0.65600000000000003</v>
      </c>
    </row>
    <row r="53" spans="1:34">
      <c r="B53" s="8" t="s">
        <v>114</v>
      </c>
      <c r="AD53" s="17">
        <v>-0.4</v>
      </c>
      <c r="AE53" s="3">
        <v>-5.0039999999999996</v>
      </c>
      <c r="AF53" s="3">
        <v>-3.7519999999999998</v>
      </c>
      <c r="AG53" s="3">
        <v>-7.7990000000000004</v>
      </c>
      <c r="AH53" s="3">
        <v>7.7709999999999999</v>
      </c>
    </row>
    <row r="54" spans="1:34">
      <c r="B54" s="8" t="s">
        <v>115</v>
      </c>
      <c r="AD54" s="17">
        <v>5.4189999999999996</v>
      </c>
      <c r="AE54" s="3">
        <v>-21.853999999999999</v>
      </c>
      <c r="AF54" s="3">
        <v>17.190999999999999</v>
      </c>
      <c r="AG54" s="3">
        <v>3.476</v>
      </c>
      <c r="AH54" s="3">
        <v>-41.731999999999999</v>
      </c>
    </row>
    <row r="55" spans="1:34">
      <c r="B55" s="8" t="s">
        <v>113</v>
      </c>
      <c r="AD55" s="17">
        <v>-4.2140000000000004</v>
      </c>
      <c r="AE55" s="3">
        <v>16.387</v>
      </c>
      <c r="AF55" s="3">
        <v>14.563000000000001</v>
      </c>
      <c r="AG55" s="3">
        <v>10.839</v>
      </c>
      <c r="AH55" s="3">
        <v>1.1299999999999999</v>
      </c>
    </row>
    <row r="56" spans="1:34">
      <c r="B56" s="8" t="s">
        <v>116</v>
      </c>
      <c r="AD56" s="17">
        <v>1.119</v>
      </c>
      <c r="AE56" s="3">
        <v>3.2410000000000001</v>
      </c>
      <c r="AF56" s="3">
        <v>-4.1440000000000001</v>
      </c>
      <c r="AG56" s="3">
        <v>13.057</v>
      </c>
      <c r="AH56" s="3">
        <v>-12.375999999999999</v>
      </c>
    </row>
    <row r="57" spans="1:34">
      <c r="B57" s="8" t="s">
        <v>117</v>
      </c>
      <c r="AD57" s="17">
        <v>12.917999999999999</v>
      </c>
      <c r="AE57" s="3">
        <v>2.5230000000000001</v>
      </c>
      <c r="AF57" s="3">
        <v>7.5380000000000003</v>
      </c>
      <c r="AG57" s="3">
        <v>-1.585</v>
      </c>
      <c r="AH57" s="3">
        <v>-15.885</v>
      </c>
    </row>
    <row r="58" spans="1:34">
      <c r="B58" s="8" t="s">
        <v>118</v>
      </c>
      <c r="AD58" s="17">
        <v>22.443999999999999</v>
      </c>
      <c r="AE58" s="3">
        <v>5.1989999999999998</v>
      </c>
      <c r="AF58" s="3">
        <v>-20.111000000000001</v>
      </c>
      <c r="AG58" s="3">
        <v>-7.3419999999999996</v>
      </c>
      <c r="AH58" s="3">
        <v>47.103000000000002</v>
      </c>
    </row>
    <row r="59" spans="1:34">
      <c r="B59" s="8" t="s">
        <v>119</v>
      </c>
      <c r="AD59" s="17">
        <v>-3.9510000000000001</v>
      </c>
      <c r="AE59" s="3">
        <v>-5.6070000000000002</v>
      </c>
      <c r="AF59" s="3">
        <v>-5.7679999999999998</v>
      </c>
      <c r="AG59" s="3">
        <v>-11.337</v>
      </c>
      <c r="AH59" s="3">
        <v>-7.7850000000000001</v>
      </c>
    </row>
    <row r="60" spans="1:34" s="12" customFormat="1">
      <c r="A60" s="10"/>
      <c r="B60" s="11" t="s">
        <v>120</v>
      </c>
      <c r="AD60" s="12">
        <f>SUM(AD37:AD59)</f>
        <v>236.44200000000001</v>
      </c>
      <c r="AE60" s="12">
        <f>SUM(AE37:AE59)</f>
        <v>273.22399999999999</v>
      </c>
      <c r="AF60" s="12">
        <f>SUM(AF37:AF59)</f>
        <v>255.7359999999999</v>
      </c>
      <c r="AG60" s="12">
        <f>SUM(AG37:AG59)</f>
        <v>246.20800000000003</v>
      </c>
      <c r="AH60" s="12">
        <f>SUM(AH37:AH59)</f>
        <v>125.20500000000004</v>
      </c>
    </row>
    <row r="61" spans="1:34">
      <c r="B61" s="8" t="s">
        <v>121</v>
      </c>
      <c r="AD61" s="3">
        <v>81.316999999999993</v>
      </c>
      <c r="AE61" s="3">
        <v>94.18</v>
      </c>
      <c r="AF61" s="3">
        <v>103.092</v>
      </c>
      <c r="AG61" s="3">
        <v>83.052000000000007</v>
      </c>
      <c r="AH61" s="3">
        <v>74.953000000000003</v>
      </c>
    </row>
    <row r="62" spans="1:34" s="12" customFormat="1">
      <c r="A62" s="10"/>
      <c r="B62" s="11" t="s">
        <v>122</v>
      </c>
      <c r="AD62" s="12">
        <f>AD60-AD61</f>
        <v>155.125</v>
      </c>
      <c r="AE62" s="12">
        <f>AE60-AE61</f>
        <v>179.04399999999998</v>
      </c>
      <c r="AF62" s="12">
        <f>AF60-AF61</f>
        <v>152.64399999999989</v>
      </c>
      <c r="AG62" s="12">
        <f>AG60-AG61</f>
        <v>163.15600000000001</v>
      </c>
      <c r="AH62" s="12">
        <f>AH60-AH61</f>
        <v>50.252000000000038</v>
      </c>
    </row>
    <row r="63" spans="1:34">
      <c r="B63" s="8" t="s">
        <v>123</v>
      </c>
      <c r="AD63" s="3">
        <v>-732.78599999999994</v>
      </c>
      <c r="AE63" s="3">
        <v>-365.76799999999997</v>
      </c>
      <c r="AF63" s="3">
        <v>104.89100000000001</v>
      </c>
      <c r="AG63" s="3">
        <v>268.673</v>
      </c>
      <c r="AH63" s="3">
        <v>11.345000000000001</v>
      </c>
    </row>
    <row r="64" spans="1:34">
      <c r="B64" s="8" t="s">
        <v>124</v>
      </c>
      <c r="AD64" s="3">
        <v>588.62699999999995</v>
      </c>
      <c r="AE64" s="3">
        <v>466.72199999999998</v>
      </c>
      <c r="AF64" s="3">
        <v>-744.803</v>
      </c>
      <c r="AG64" s="3">
        <v>-852.77</v>
      </c>
      <c r="AH64" s="3">
        <v>-109.142</v>
      </c>
    </row>
    <row r="65" spans="2:82">
      <c r="B65" s="8" t="s">
        <v>125</v>
      </c>
      <c r="AD65" s="3">
        <f>+AD64+AD60+AD63</f>
        <v>92.283000000000015</v>
      </c>
      <c r="AE65" s="3">
        <f>+AE64+AE60+AE63</f>
        <v>374.17799999999994</v>
      </c>
      <c r="AF65" s="3">
        <f>+AF64+AF60+AF63</f>
        <v>-384.1760000000001</v>
      </c>
      <c r="AG65" s="3">
        <f>+AG64+AG60+AG63</f>
        <v>-337.8889999999999</v>
      </c>
      <c r="AH65" s="3">
        <f>+AH64+AH60+AH63</f>
        <v>27.408000000000044</v>
      </c>
      <c r="AI65" s="3">
        <f>+AI19+100</f>
        <v>-2.1774400000000469</v>
      </c>
      <c r="AJ65" s="3">
        <f t="shared" ref="AJ65:CD65" si="75">+AJ19+100</f>
        <v>8.9984183999999772</v>
      </c>
      <c r="AK65" s="3">
        <f t="shared" si="75"/>
        <v>44.709782655999994</v>
      </c>
      <c r="AL65" s="3">
        <f t="shared" si="75"/>
        <v>67.889901220639985</v>
      </c>
      <c r="AM65" s="3">
        <f t="shared" si="75"/>
        <v>80.464598877713598</v>
      </c>
      <c r="AN65" s="3">
        <f t="shared" si="75"/>
        <v>87.0235976491267</v>
      </c>
      <c r="AO65" s="3">
        <f t="shared" si="75"/>
        <v>94.079636727945925</v>
      </c>
      <c r="AP65" s="3">
        <f t="shared" si="75"/>
        <v>98.241092806056415</v>
      </c>
      <c r="AQ65" s="3">
        <f t="shared" si="75"/>
        <v>102.56818208142961</v>
      </c>
      <c r="AR65" s="3">
        <f t="shared" si="75"/>
        <v>107.07148832550401</v>
      </c>
      <c r="AS65" s="3">
        <f t="shared" si="75"/>
        <v>111.76201791803456</v>
      </c>
      <c r="AT65" s="3">
        <f t="shared" si="75"/>
        <v>111.64439773885421</v>
      </c>
      <c r="AU65" s="3">
        <f t="shared" si="75"/>
        <v>111.52795376146567</v>
      </c>
      <c r="AV65" s="3">
        <f t="shared" si="75"/>
        <v>111.41267422385101</v>
      </c>
      <c r="AW65" s="3">
        <f t="shared" si="75"/>
        <v>111.2985474816125</v>
      </c>
      <c r="AX65" s="3">
        <f t="shared" si="75"/>
        <v>111.18556200679637</v>
      </c>
      <c r="AY65" s="3">
        <f t="shared" si="75"/>
        <v>111.07370638672842</v>
      </c>
      <c r="AZ65" s="3">
        <f t="shared" si="75"/>
        <v>110.96296932286113</v>
      </c>
      <c r="BA65" s="3">
        <f t="shared" si="75"/>
        <v>110.85333962963252</v>
      </c>
      <c r="BB65" s="3">
        <f t="shared" si="75"/>
        <v>110.74480623333619</v>
      </c>
      <c r="BC65" s="3">
        <f t="shared" si="75"/>
        <v>110.63735817100283</v>
      </c>
      <c r="BD65" s="3">
        <f t="shared" si="75"/>
        <v>110.5309845892928</v>
      </c>
      <c r="BE65" s="3">
        <f t="shared" si="75"/>
        <v>110.42567474339987</v>
      </c>
      <c r="BF65" s="3">
        <f t="shared" si="75"/>
        <v>110.32141799596587</v>
      </c>
      <c r="BG65" s="3">
        <f t="shared" si="75"/>
        <v>110.21820381600622</v>
      </c>
      <c r="BH65" s="3">
        <f t="shared" si="75"/>
        <v>110.11602177784616</v>
      </c>
      <c r="BI65" s="3">
        <f t="shared" si="75"/>
        <v>110.01486156006769</v>
      </c>
      <c r="BJ65" s="3">
        <f t="shared" si="75"/>
        <v>109.91471294446701</v>
      </c>
      <c r="BK65" s="3">
        <f t="shared" si="75"/>
        <v>109.81556581502234</v>
      </c>
      <c r="BL65" s="3">
        <f t="shared" si="75"/>
        <v>109.71741015687212</v>
      </c>
      <c r="BM65" s="3">
        <f t="shared" si="75"/>
        <v>109.62023605530339</v>
      </c>
      <c r="BN65" s="3">
        <f t="shared" si="75"/>
        <v>109.52403369475036</v>
      </c>
      <c r="BO65" s="3">
        <f t="shared" si="75"/>
        <v>109.42879335780286</v>
      </c>
      <c r="BP65" s="3">
        <f t="shared" si="75"/>
        <v>109.33450542422483</v>
      </c>
      <c r="BQ65" s="3">
        <f t="shared" si="75"/>
        <v>109.24116036998258</v>
      </c>
      <c r="BR65" s="3">
        <f t="shared" si="75"/>
        <v>109.14874876628275</v>
      </c>
      <c r="BS65" s="3">
        <f t="shared" si="75"/>
        <v>109.05726127861993</v>
      </c>
      <c r="BT65" s="3">
        <f t="shared" si="75"/>
        <v>108.96668866583373</v>
      </c>
      <c r="BU65" s="3">
        <f t="shared" si="75"/>
        <v>108.87702177917539</v>
      </c>
      <c r="BV65" s="3">
        <f t="shared" si="75"/>
        <v>108.78825156138365</v>
      </c>
      <c r="BW65" s="3">
        <f t="shared" si="75"/>
        <v>108.7003690457698</v>
      </c>
      <c r="BX65" s="3">
        <f t="shared" si="75"/>
        <v>108.61336535531211</v>
      </c>
      <c r="BY65" s="3">
        <f t="shared" si="75"/>
        <v>108.52723170175898</v>
      </c>
      <c r="BZ65" s="3">
        <f t="shared" si="75"/>
        <v>108.44195938474139</v>
      </c>
      <c r="CA65" s="3">
        <f t="shared" si="75"/>
        <v>108.35753979089398</v>
      </c>
      <c r="CB65" s="3">
        <f t="shared" si="75"/>
        <v>108.27396439298504</v>
      </c>
      <c r="CC65" s="3">
        <f t="shared" si="75"/>
        <v>108.19122474905519</v>
      </c>
      <c r="CD65" s="3">
        <f t="shared" si="75"/>
        <v>108.10931250156463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Bobby S</dc:creator>
  <cp:keywords/>
  <dc:description/>
  <cp:lastModifiedBy>Bobby S</cp:lastModifiedBy>
  <cp:revision/>
  <dcterms:created xsi:type="dcterms:W3CDTF">2025-02-26T13:59:52Z</dcterms:created>
  <dcterms:modified xsi:type="dcterms:W3CDTF">2025-03-17T15:43:47Z</dcterms:modified>
  <cp:category/>
  <cp:contentStatus/>
</cp:coreProperties>
</file>