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177" documentId="13_ncr:1_{06F64886-54C4-8C4D-8F03-701663734082}" xr6:coauthVersionLast="47" xr6:coauthVersionMax="47" xr10:uidLastSave="{C32AFBC2-DF25-45BF-85ED-51A3FA00F26B}"/>
  <bookViews>
    <workbookView xWindow="-83" yWindow="0" windowWidth="22725" windowHeight="22687" xr2:uid="{9AB54783-4DA0-6949-A98E-56E5A67B84E6}"/>
  </bookViews>
  <sheets>
    <sheet name="Main" sheetId="1" r:id="rId1"/>
    <sheet name="Trad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Trades!$B$2:$K$5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I35" i="1"/>
  <c r="F35" i="1"/>
  <c r="G35" i="1"/>
  <c r="H35" i="1" l="1"/>
  <c r="K34" i="1"/>
  <c r="G34" i="1"/>
  <c r="H34" i="1"/>
  <c r="B34" i="1"/>
  <c r="F34" i="1"/>
  <c r="D4" i="2"/>
  <c r="E4" i="2" s="1"/>
  <c r="I3" i="2"/>
  <c r="J3" i="2" s="1"/>
  <c r="H5" i="2"/>
  <c r="H28" i="1"/>
  <c r="G28" i="1"/>
  <c r="F28" i="1"/>
  <c r="B28" i="1"/>
  <c r="E3" i="2"/>
  <c r="D5" i="2"/>
  <c r="E5" i="2" s="1"/>
  <c r="I28" i="1" l="1"/>
  <c r="I34" i="1"/>
  <c r="I5" i="2"/>
  <c r="J5" i="2" s="1"/>
  <c r="K29" i="1"/>
  <c r="F29" i="1"/>
  <c r="H52" i="1"/>
  <c r="G52" i="1"/>
  <c r="F52" i="1"/>
  <c r="B52" i="1"/>
  <c r="F30" i="1"/>
  <c r="B30" i="1"/>
  <c r="H30" i="1"/>
  <c r="G30" i="1"/>
  <c r="K8" i="1"/>
  <c r="I30" i="1" l="1"/>
  <c r="I52" i="1"/>
  <c r="B8" i="1"/>
  <c r="F8" i="1"/>
  <c r="H8" i="1"/>
  <c r="G8" i="1" l="1"/>
  <c r="B27" i="1" l="1"/>
  <c r="F27" i="1"/>
  <c r="G27" i="1"/>
  <c r="K31" i="1"/>
  <c r="H31" i="1"/>
  <c r="K6" i="1"/>
  <c r="I6" i="1"/>
  <c r="H6" i="1"/>
  <c r="G6" i="1"/>
  <c r="F6" i="1"/>
  <c r="B6" i="1"/>
  <c r="K5" i="1"/>
  <c r="K4" i="1"/>
  <c r="B31" i="1"/>
  <c r="G31" i="1"/>
  <c r="F31" i="1"/>
  <c r="I31" i="1" l="1"/>
  <c r="H27" i="1"/>
  <c r="I27" i="1" s="1"/>
  <c r="I5" i="1" l="1"/>
  <c r="J3" i="1"/>
  <c r="I4" i="1"/>
  <c r="H4" i="1"/>
  <c r="G4" i="1"/>
  <c r="F4" i="1"/>
  <c r="B4" i="1"/>
  <c r="H5" i="1"/>
  <c r="F5" i="1"/>
  <c r="G5" i="1"/>
  <c r="B5" i="1"/>
  <c r="K27" i="1" l="1"/>
  <c r="K52" i="1" l="1"/>
  <c r="K30" i="1" l="1"/>
  <c r="G29" i="1" l="1"/>
  <c r="H29" i="1" l="1"/>
  <c r="I29" i="1" s="1"/>
  <c r="K28" i="1" l="1"/>
</calcChain>
</file>

<file path=xl/sharedStrings.xml><?xml version="1.0" encoding="utf-8"?>
<sst xmlns="http://schemas.openxmlformats.org/spreadsheetml/2006/main" count="99" uniqueCount="82">
  <si>
    <t>Ticker</t>
  </si>
  <si>
    <t>Price</t>
  </si>
  <si>
    <t>INTU</t>
  </si>
  <si>
    <t>Intuit</t>
  </si>
  <si>
    <t>MC</t>
  </si>
  <si>
    <t>Net Cash</t>
  </si>
  <si>
    <t>CRM</t>
  </si>
  <si>
    <t>Salesforce</t>
  </si>
  <si>
    <t>SaaS Company</t>
  </si>
  <si>
    <t>Semiconductor</t>
  </si>
  <si>
    <t>Intel</t>
  </si>
  <si>
    <t>TSMC</t>
  </si>
  <si>
    <t>AMD</t>
  </si>
  <si>
    <t>Samsung</t>
  </si>
  <si>
    <t>Qualcomm</t>
  </si>
  <si>
    <t>Broadcom</t>
  </si>
  <si>
    <t>Texas Instruments</t>
  </si>
  <si>
    <t>ARM Holdings</t>
  </si>
  <si>
    <t>NVIDIA</t>
  </si>
  <si>
    <t>Micron</t>
  </si>
  <si>
    <t>KLA Tencor</t>
  </si>
  <si>
    <t>NXP Semi</t>
  </si>
  <si>
    <t>ASML</t>
  </si>
  <si>
    <t>Analog Devices</t>
  </si>
  <si>
    <t>Super Micro Computer</t>
  </si>
  <si>
    <t>SMCI</t>
  </si>
  <si>
    <t>INTC</t>
  </si>
  <si>
    <t>005930 KRX</t>
  </si>
  <si>
    <t>AVGO</t>
  </si>
  <si>
    <t>QCOM</t>
  </si>
  <si>
    <t>TXN</t>
  </si>
  <si>
    <t>ARM</t>
  </si>
  <si>
    <t>NVDA</t>
  </si>
  <si>
    <t>MU</t>
  </si>
  <si>
    <t>KLAC</t>
  </si>
  <si>
    <t>NXPI</t>
  </si>
  <si>
    <t>ADI</t>
  </si>
  <si>
    <t>Random</t>
  </si>
  <si>
    <t>BBWI</t>
  </si>
  <si>
    <t>Bed Bath &amp; Beyond</t>
  </si>
  <si>
    <t>Model Diff</t>
  </si>
  <si>
    <t>Confidence</t>
  </si>
  <si>
    <t>LOW</t>
  </si>
  <si>
    <t>Adobe</t>
  </si>
  <si>
    <t>ADBE</t>
  </si>
  <si>
    <t>MEDIUM</t>
  </si>
  <si>
    <t>Palantir</t>
  </si>
  <si>
    <t>PLTR</t>
  </si>
  <si>
    <t>Asset</t>
  </si>
  <si>
    <t>Position</t>
  </si>
  <si>
    <t>Size</t>
  </si>
  <si>
    <t>Updated</t>
  </si>
  <si>
    <t>Results</t>
  </si>
  <si>
    <t>Chegg</t>
  </si>
  <si>
    <t>CHGG</t>
  </si>
  <si>
    <t>NONE, AVOID</t>
  </si>
  <si>
    <t>HIGH</t>
  </si>
  <si>
    <t>Ralph Lauren</t>
  </si>
  <si>
    <t>RL</t>
  </si>
  <si>
    <t>Q424</t>
  </si>
  <si>
    <t>Update (calendar)</t>
  </si>
  <si>
    <t>Size (%)</t>
  </si>
  <si>
    <t>INTC 3/20/26 $25C</t>
  </si>
  <si>
    <t>Open Tx Date</t>
  </si>
  <si>
    <t>Close Tx Date</t>
  </si>
  <si>
    <t>PNL</t>
  </si>
  <si>
    <t>Close Amt</t>
  </si>
  <si>
    <t>INTC 12/19/25 $28C</t>
  </si>
  <si>
    <t>Infineon Technologies</t>
  </si>
  <si>
    <t>IFNNY</t>
  </si>
  <si>
    <t>STM</t>
  </si>
  <si>
    <t>STMicroelectronics</t>
  </si>
  <si>
    <t>Fab</t>
  </si>
  <si>
    <t>Digital</t>
  </si>
  <si>
    <t>Analog</t>
  </si>
  <si>
    <t>Main sub-segment</t>
  </si>
  <si>
    <t>Conglomerate</t>
  </si>
  <si>
    <t>IBM</t>
  </si>
  <si>
    <t>Q324</t>
  </si>
  <si>
    <t>Licensing (Digital)</t>
  </si>
  <si>
    <t>MCHP</t>
  </si>
  <si>
    <t>Microchip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</si>
</sst>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EV/E&quot;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1"/>
    <xf numFmtId="2" fontId="0" fillId="0" borderId="0" xfId="0" applyNumberFormat="1" applyAlignment="1">
      <alignment horizontal="center"/>
    </xf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3" fontId="1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CRM.xlsx" TargetMode="External"/><Relationship Id="rId1" Type="http://schemas.openxmlformats.org/officeDocument/2006/relationships/externalLinkPath" Target="CRM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TXN.xlsx" TargetMode="External"/><Relationship Id="rId1" Type="http://schemas.openxmlformats.org/officeDocument/2006/relationships/externalLinkPath" Target="TXN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RL.xlsx" TargetMode="External"/><Relationship Id="rId1" Type="http://schemas.openxmlformats.org/officeDocument/2006/relationships/externalLinkPath" Target="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ARM.xlsx" TargetMode="External"/><Relationship Id="rId1" Type="http://schemas.openxmlformats.org/officeDocument/2006/relationships/externalLinkPath" Target="AR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intu.xlsx" TargetMode="External"/><Relationship Id="rId1" Type="http://schemas.openxmlformats.org/officeDocument/2006/relationships/externalLinkPath" Target="intu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adbe.xlsx" TargetMode="External"/><Relationship Id="rId1" Type="http://schemas.openxmlformats.org/officeDocument/2006/relationships/externalLinkPath" Target="adb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CHGG.xlsx" TargetMode="External"/><Relationship Id="rId1" Type="http://schemas.openxmlformats.org/officeDocument/2006/relationships/externalLinkPath" Target="CHG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TSMC.xlsx" TargetMode="External"/><Relationship Id="rId1" Type="http://schemas.openxmlformats.org/officeDocument/2006/relationships/externalLinkPath" Target="TSM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AVGO.xlsx" TargetMode="External"/><Relationship Id="rId1" Type="http://schemas.openxmlformats.org/officeDocument/2006/relationships/externalLinkPath" Target="AVG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qcom.xlsx" TargetMode="External"/><Relationship Id="rId1" Type="http://schemas.openxmlformats.org/officeDocument/2006/relationships/externalLinkPath" Target="qcom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AMD.xlsx" TargetMode="External"/><Relationship Id="rId1" Type="http://schemas.openxmlformats.org/officeDocument/2006/relationships/externalLinkPath" Target="AM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INTC.xlsx" TargetMode="External"/><Relationship Id="rId1" Type="http://schemas.openxmlformats.org/officeDocument/2006/relationships/externalLinkPath" Target="IN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328.75</v>
          </cell>
        </row>
        <row r="4">
          <cell r="M4" t="str">
            <v>Q324</v>
          </cell>
        </row>
        <row r="5">
          <cell r="L5">
            <v>314613.75</v>
          </cell>
        </row>
        <row r="10">
          <cell r="L10">
            <v>-435</v>
          </cell>
        </row>
      </sheetData>
      <sheetData sheetId="1">
        <row r="30">
          <cell r="AN30">
            <v>-0.29041805258809938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176.92</v>
          </cell>
        </row>
        <row r="4">
          <cell r="M4" t="str">
            <v>Q424</v>
          </cell>
        </row>
        <row r="5">
          <cell r="L5">
            <v>161055.93743999998</v>
          </cell>
        </row>
        <row r="10">
          <cell r="L10">
            <v>-6016</v>
          </cell>
        </row>
      </sheetData>
      <sheetData sheetId="1">
        <row r="48">
          <cell r="AU48">
            <v>-0.17928469040399586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271.72000000000003</v>
          </cell>
        </row>
        <row r="4">
          <cell r="L4" t="str">
            <v>Q324</v>
          </cell>
        </row>
        <row r="5">
          <cell r="K5">
            <v>10836.73704</v>
          </cell>
        </row>
        <row r="11">
          <cell r="K11">
            <v>1001.0999999999999</v>
          </cell>
        </row>
      </sheetData>
      <sheetData sheetId="1">
        <row r="52">
          <cell r="AO52">
            <v>9.1425171434966757E-4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118.63</v>
          </cell>
        </row>
        <row r="5">
          <cell r="J5">
            <v>126222.31999999999</v>
          </cell>
        </row>
        <row r="6">
          <cell r="J6">
            <v>2671</v>
          </cell>
        </row>
      </sheetData>
      <sheetData sheetId="1">
        <row r="34">
          <cell r="AP34">
            <v>-0.55338504222289908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577.52</v>
          </cell>
        </row>
        <row r="4">
          <cell r="K4" t="str">
            <v>Q324</v>
          </cell>
        </row>
        <row r="5">
          <cell r="J5">
            <v>161725.8132</v>
          </cell>
        </row>
        <row r="12">
          <cell r="J12">
            <v>-2676</v>
          </cell>
        </row>
      </sheetData>
      <sheetData sheetId="1">
        <row r="74">
          <cell r="AP74">
            <v>-0.53395265406339409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460.16</v>
          </cell>
        </row>
        <row r="5">
          <cell r="M5" t="str">
            <v>Q424</v>
          </cell>
        </row>
        <row r="6">
          <cell r="L6">
            <v>200307.64800000002</v>
          </cell>
        </row>
        <row r="11">
          <cell r="L11">
            <v>2258</v>
          </cell>
        </row>
      </sheetData>
      <sheetData sheetId="1">
        <row r="48">
          <cell r="AR48">
            <v>-2.8924520540932086E-2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1.07</v>
          </cell>
        </row>
        <row r="5">
          <cell r="K5">
            <v>112.46662999999999</v>
          </cell>
        </row>
        <row r="6">
          <cell r="L6" t="str">
            <v>Q424</v>
          </cell>
        </row>
        <row r="10">
          <cell r="K10">
            <v>188.38</v>
          </cell>
        </row>
      </sheetData>
      <sheetData sheetId="1">
        <row r="42">
          <cell r="AV42">
            <v>-2.9966884198390713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195.89</v>
          </cell>
        </row>
        <row r="4">
          <cell r="L4" t="str">
            <v>Q424</v>
          </cell>
        </row>
        <row r="5">
          <cell r="K5">
            <v>1015846.362</v>
          </cell>
        </row>
        <row r="12">
          <cell r="K12">
            <v>43809</v>
          </cell>
        </row>
      </sheetData>
      <sheetData sheetId="1">
        <row r="25">
          <cell r="AL25">
            <v>8.8526560790493924E-2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195.68</v>
          </cell>
        </row>
        <row r="4">
          <cell r="L4" t="str">
            <v>Q424</v>
          </cell>
        </row>
        <row r="5">
          <cell r="K5">
            <v>917221.82207999995</v>
          </cell>
        </row>
        <row r="11">
          <cell r="K11">
            <v>-58218</v>
          </cell>
        </row>
      </sheetData>
      <sheetData sheetId="1">
        <row r="47">
          <cell r="AU47">
            <v>-0.29930291475988191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K4">
            <v>155.30000000000001</v>
          </cell>
        </row>
        <row r="6">
          <cell r="K6">
            <v>171761.80000000002</v>
          </cell>
        </row>
        <row r="11">
          <cell r="K11">
            <v>-272</v>
          </cell>
        </row>
      </sheetData>
      <sheetData sheetId="1">
        <row r="47">
          <cell r="AV47">
            <v>0.20424704832769303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100.16</v>
          </cell>
        </row>
        <row r="4">
          <cell r="Q4" t="str">
            <v>Q424</v>
          </cell>
        </row>
        <row r="5">
          <cell r="P5">
            <v>162306.97632000002</v>
          </cell>
        </row>
        <row r="10">
          <cell r="P10">
            <v>3411</v>
          </cell>
        </row>
      </sheetData>
      <sheetData sheetId="1">
        <row r="43">
          <cell r="AT43">
            <v>6.5266737137941844E-2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N2">
            <v>25.71</v>
          </cell>
        </row>
        <row r="3">
          <cell r="O3" t="str">
            <v>Q324</v>
          </cell>
        </row>
        <row r="4">
          <cell r="N4">
            <v>110887.23000000001</v>
          </cell>
        </row>
      </sheetData>
      <sheetData sheetId="1">
        <row r="51">
          <cell r="AR51">
            <v>0.60069223262780302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R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MD.xlsx" TargetMode="External"/><Relationship Id="rId12" Type="http://schemas.openxmlformats.org/officeDocument/2006/relationships/hyperlink" Target="ARM.xlsx" TargetMode="External"/><Relationship Id="rId2" Type="http://schemas.openxmlformats.org/officeDocument/2006/relationships/hyperlink" Target="CRM.xlsx" TargetMode="External"/><Relationship Id="rId1" Type="http://schemas.openxmlformats.org/officeDocument/2006/relationships/hyperlink" Target="intu.xlsx" TargetMode="External"/><Relationship Id="rId6" Type="http://schemas.openxmlformats.org/officeDocument/2006/relationships/hyperlink" Target="TSMC.xlsx" TargetMode="External"/><Relationship Id="rId11" Type="http://schemas.openxmlformats.org/officeDocument/2006/relationships/hyperlink" Target="\Users\angelowong\Library\CloudStorage\OneDrive-Personal\Value%20Investing\TXN.xlsx" TargetMode="External"/><Relationship Id="rId5" Type="http://schemas.openxmlformats.org/officeDocument/2006/relationships/hyperlink" Target="CHGG.xlsx" TargetMode="External"/><Relationship Id="rId10" Type="http://schemas.openxmlformats.org/officeDocument/2006/relationships/hyperlink" Target="/Users/angelowong/Library/CloudStorage/OneDrive-Personal/Value%20Investing/AVGO.xlsx" TargetMode="External"/><Relationship Id="rId4" Type="http://schemas.openxmlformats.org/officeDocument/2006/relationships/hyperlink" Target="adbe.xlsx" TargetMode="External"/><Relationship Id="rId9" Type="http://schemas.openxmlformats.org/officeDocument/2006/relationships/hyperlink" Target="qco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9CCE-9AAD-B44C-A6DD-FFEE05CC71A8}">
  <dimension ref="B3:L229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36" sqref="L36"/>
    </sheetView>
  </sheetViews>
  <sheetFormatPr defaultColWidth="11" defaultRowHeight="15.75" x14ac:dyDescent="0.5"/>
  <cols>
    <col min="2" max="2" width="15.8125" bestFit="1" customWidth="1"/>
    <col min="3" max="3" width="25.1875" customWidth="1"/>
    <col min="4" max="4" width="16.0625" bestFit="1" customWidth="1"/>
    <col min="5" max="10" width="10.8125" style="4"/>
  </cols>
  <sheetData>
    <row r="3" spans="2:12" s="4" customFormat="1" x14ac:dyDescent="0.5">
      <c r="B3" s="3" t="s">
        <v>60</v>
      </c>
      <c r="C3" s="3" t="s">
        <v>8</v>
      </c>
      <c r="D3" s="3" t="s">
        <v>75</v>
      </c>
      <c r="E3" s="3" t="s">
        <v>0</v>
      </c>
      <c r="F3" s="3" t="s">
        <v>1</v>
      </c>
      <c r="G3" s="3" t="s">
        <v>4</v>
      </c>
      <c r="H3" s="3" t="s">
        <v>5</v>
      </c>
      <c r="I3" s="5">
        <v>2024</v>
      </c>
      <c r="J3" s="5">
        <f t="shared" ref="J3" si="0">I3+1</f>
        <v>2025</v>
      </c>
      <c r="K3" s="5" t="s">
        <v>40</v>
      </c>
      <c r="L3" s="3" t="s">
        <v>41</v>
      </c>
    </row>
    <row r="4" spans="2:12" x14ac:dyDescent="0.5">
      <c r="B4" t="str">
        <f>[1]Main!$M$4</f>
        <v>Q324</v>
      </c>
      <c r="C4" s="7" t="s">
        <v>7</v>
      </c>
      <c r="D4" s="7"/>
      <c r="E4" s="4" t="s">
        <v>6</v>
      </c>
      <c r="F4" s="4">
        <f>[1]Main!$L$3</f>
        <v>328.75</v>
      </c>
      <c r="G4" s="6">
        <f>[1]Main!$L$5</f>
        <v>314613.75</v>
      </c>
      <c r="H4" s="6">
        <f>[1]Main!$L$10</f>
        <v>-435</v>
      </c>
      <c r="I4" s="8">
        <f>315049/6099</f>
        <v>51.655845220527958</v>
      </c>
      <c r="K4" s="9">
        <f>[1]Model!$AN$30</f>
        <v>-0.29041805258809938</v>
      </c>
      <c r="L4" t="s">
        <v>42</v>
      </c>
    </row>
    <row r="5" spans="2:12" x14ac:dyDescent="0.5">
      <c r="B5" t="str">
        <f>[2]Main!$K$4</f>
        <v>Q324</v>
      </c>
      <c r="C5" s="7" t="s">
        <v>3</v>
      </c>
      <c r="D5" s="7"/>
      <c r="E5" s="4" t="s">
        <v>2</v>
      </c>
      <c r="F5" s="6">
        <f>[2]Main!$J$3</f>
        <v>577.52</v>
      </c>
      <c r="G5" s="6">
        <f>[2]Main!$J$5</f>
        <v>161725.8132</v>
      </c>
      <c r="H5" s="6">
        <f>[2]Main!$J$12</f>
        <v>-2676</v>
      </c>
      <c r="I5" s="8">
        <f>164402/3658</f>
        <v>44.943138326954617</v>
      </c>
      <c r="K5" s="9">
        <f>[2]Model!$AP$74</f>
        <v>-0.53395265406339409</v>
      </c>
      <c r="L5" t="s">
        <v>42</v>
      </c>
    </row>
    <row r="6" spans="2:12" x14ac:dyDescent="0.5">
      <c r="B6" t="str">
        <f>[3]Main!$M$5</f>
        <v>Q424</v>
      </c>
      <c r="C6" s="7" t="s">
        <v>43</v>
      </c>
      <c r="D6" s="7"/>
      <c r="E6" s="4" t="s">
        <v>44</v>
      </c>
      <c r="F6" s="4">
        <f>[3]Main!$L$4</f>
        <v>460.16</v>
      </c>
      <c r="G6" s="6">
        <f>[3]Main!$L$6</f>
        <v>200307.64800000002</v>
      </c>
      <c r="H6" s="6">
        <f>[3]Main!$L$11</f>
        <v>2258</v>
      </c>
      <c r="I6" s="8">
        <f>198050/5729</f>
        <v>34.569732937685458</v>
      </c>
      <c r="K6" s="9">
        <f>[3]Model!$AR$48</f>
        <v>-2.8924520540932086E-2</v>
      </c>
      <c r="L6" t="s">
        <v>45</v>
      </c>
    </row>
    <row r="7" spans="2:12" x14ac:dyDescent="0.5">
      <c r="C7" t="s">
        <v>46</v>
      </c>
      <c r="E7" s="4" t="s">
        <v>47</v>
      </c>
      <c r="I7" s="8"/>
    </row>
    <row r="8" spans="2:12" x14ac:dyDescent="0.5">
      <c r="B8" t="str">
        <f>[4]Main!$L$6</f>
        <v>Q424</v>
      </c>
      <c r="C8" s="7" t="s">
        <v>53</v>
      </c>
      <c r="D8" s="7"/>
      <c r="E8" s="4" t="s">
        <v>54</v>
      </c>
      <c r="F8" s="4">
        <f>[4]Main!$K$3</f>
        <v>1.07</v>
      </c>
      <c r="G8" s="6">
        <f>[4]Main!$K$5</f>
        <v>112.46662999999999</v>
      </c>
      <c r="H8" s="6">
        <f>[4]Main!$K$10</f>
        <v>188.38</v>
      </c>
      <c r="I8" s="8">
        <v>0</v>
      </c>
      <c r="K8" s="9">
        <f>[4]Model!$AV$42</f>
        <v>-2.9966884198390713</v>
      </c>
      <c r="L8" t="s">
        <v>55</v>
      </c>
    </row>
    <row r="9" spans="2:12" x14ac:dyDescent="0.5">
      <c r="I9" s="8"/>
    </row>
    <row r="10" spans="2:12" x14ac:dyDescent="0.5">
      <c r="I10" s="8"/>
    </row>
    <row r="11" spans="2:12" x14ac:dyDescent="0.5">
      <c r="I11" s="8"/>
    </row>
    <row r="12" spans="2:12" x14ac:dyDescent="0.5">
      <c r="I12" s="8"/>
    </row>
    <row r="13" spans="2:12" x14ac:dyDescent="0.5">
      <c r="I13" s="8"/>
    </row>
    <row r="14" spans="2:12" x14ac:dyDescent="0.5">
      <c r="I14" s="8"/>
    </row>
    <row r="15" spans="2:12" x14ac:dyDescent="0.5">
      <c r="I15" s="8"/>
    </row>
    <row r="16" spans="2:12" x14ac:dyDescent="0.5">
      <c r="I16" s="8"/>
    </row>
    <row r="17" spans="2:12" x14ac:dyDescent="0.5">
      <c r="I17" s="8"/>
    </row>
    <row r="18" spans="2:12" x14ac:dyDescent="0.5">
      <c r="I18" s="8"/>
    </row>
    <row r="19" spans="2:12" x14ac:dyDescent="0.5">
      <c r="I19" s="8"/>
    </row>
    <row r="20" spans="2:12" x14ac:dyDescent="0.5">
      <c r="I20" s="8"/>
    </row>
    <row r="21" spans="2:12" x14ac:dyDescent="0.5">
      <c r="I21" s="8"/>
    </row>
    <row r="22" spans="2:12" x14ac:dyDescent="0.5">
      <c r="I22" s="8"/>
    </row>
    <row r="23" spans="2:12" x14ac:dyDescent="0.5">
      <c r="I23" s="8"/>
    </row>
    <row r="24" spans="2:12" x14ac:dyDescent="0.5">
      <c r="I24" s="8"/>
    </row>
    <row r="25" spans="2:12" x14ac:dyDescent="0.5">
      <c r="I25" s="8"/>
    </row>
    <row r="26" spans="2:12" x14ac:dyDescent="0.5">
      <c r="C26" s="3" t="s">
        <v>9</v>
      </c>
      <c r="D26" s="3"/>
      <c r="I26" s="8"/>
    </row>
    <row r="27" spans="2:12" x14ac:dyDescent="0.5">
      <c r="B27" t="str">
        <f>[5]Main!$L$4</f>
        <v>Q424</v>
      </c>
      <c r="C27" s="7" t="s">
        <v>11</v>
      </c>
      <c r="D27" s="4" t="s">
        <v>72</v>
      </c>
      <c r="E27" s="4" t="s">
        <v>11</v>
      </c>
      <c r="F27" s="4">
        <f>[5]Main!$K$3</f>
        <v>195.89</v>
      </c>
      <c r="G27" s="6">
        <f>[5]Main!$K$5</f>
        <v>1015846.362</v>
      </c>
      <c r="H27" s="6">
        <f>[5]Main!$K$12</f>
        <v>43809</v>
      </c>
      <c r="I27" s="8">
        <f>+(G27-H27)/36479</f>
        <v>26.646491460840483</v>
      </c>
      <c r="K27" s="9">
        <f>[5]Model!$AL$25</f>
        <v>8.8526560790493924E-2</v>
      </c>
      <c r="L27" t="s">
        <v>45</v>
      </c>
    </row>
    <row r="28" spans="2:12" x14ac:dyDescent="0.5">
      <c r="B28" t="str">
        <f>[6]Main!$L$4</f>
        <v>Q424</v>
      </c>
      <c r="C28" s="7" t="s">
        <v>15</v>
      </c>
      <c r="D28" s="4" t="s">
        <v>76</v>
      </c>
      <c r="E28" s="4" t="s">
        <v>28</v>
      </c>
      <c r="F28" s="4">
        <f>[6]Main!$K$3</f>
        <v>195.68</v>
      </c>
      <c r="G28" s="6">
        <f>[6]Main!$K$5</f>
        <v>917221.82207999995</v>
      </c>
      <c r="H28" s="6">
        <f>[6]Main!$K$11</f>
        <v>-58218</v>
      </c>
      <c r="I28" s="8">
        <f>(G28-H28)/5895</f>
        <v>165.46901137913486</v>
      </c>
      <c r="K28" s="9">
        <f>[6]Model!$AU$47</f>
        <v>-0.29930291475988191</v>
      </c>
      <c r="L28" t="s">
        <v>42</v>
      </c>
    </row>
    <row r="29" spans="2:12" x14ac:dyDescent="0.5">
      <c r="B29" t="s">
        <v>59</v>
      </c>
      <c r="C29" s="7" t="s">
        <v>14</v>
      </c>
      <c r="D29" s="4" t="s">
        <v>73</v>
      </c>
      <c r="E29" s="4" t="s">
        <v>29</v>
      </c>
      <c r="F29" s="6">
        <f>[7]Main!$K$4</f>
        <v>155.30000000000001</v>
      </c>
      <c r="G29" s="6">
        <f>[7]Main!$K$6</f>
        <v>171761.80000000002</v>
      </c>
      <c r="H29" s="4">
        <f>[7]Main!$K$11</f>
        <v>-272</v>
      </c>
      <c r="I29" s="8">
        <f>(G29-H29)/3180</f>
        <v>54.098679245283023</v>
      </c>
      <c r="K29" s="9">
        <f>[7]Model!$AV$47</f>
        <v>0.20424704832769303</v>
      </c>
      <c r="L29" t="s">
        <v>45</v>
      </c>
    </row>
    <row r="30" spans="2:12" x14ac:dyDescent="0.5">
      <c r="B30" t="str">
        <f>[8]Main!$Q$4</f>
        <v>Q424</v>
      </c>
      <c r="C30" s="7" t="s">
        <v>12</v>
      </c>
      <c r="D30" s="4" t="s">
        <v>73</v>
      </c>
      <c r="E30" s="4" t="s">
        <v>12</v>
      </c>
      <c r="F30" s="4">
        <f>[8]Main!$P$3</f>
        <v>100.16</v>
      </c>
      <c r="G30" s="6">
        <f>[8]Main!$P$5</f>
        <v>162306.97632000002</v>
      </c>
      <c r="H30" s="6">
        <f>[8]Main!$P$10</f>
        <v>3411</v>
      </c>
      <c r="I30" s="8">
        <f>(G30-H30)/4035</f>
        <v>39.379424118959115</v>
      </c>
      <c r="K30" s="9">
        <f>[8]Model!$AT$43</f>
        <v>6.5266737137941844E-2</v>
      </c>
      <c r="L30" t="s">
        <v>56</v>
      </c>
    </row>
    <row r="31" spans="2:12" x14ac:dyDescent="0.5">
      <c r="B31" t="str">
        <f>[9]Main!$O$3</f>
        <v>Q324</v>
      </c>
      <c r="C31" s="7" t="s">
        <v>10</v>
      </c>
      <c r="D31" s="4" t="s">
        <v>73</v>
      </c>
      <c r="E31" s="4" t="s">
        <v>26</v>
      </c>
      <c r="F31" s="4">
        <f>[9]Main!$N$2</f>
        <v>25.71</v>
      </c>
      <c r="G31" s="6">
        <f>[9]Main!$N$4</f>
        <v>110887.23000000001</v>
      </c>
      <c r="H31" s="6">
        <f>8249+13813-3729-46282</f>
        <v>-27949</v>
      </c>
      <c r="I31" s="8">
        <f>+(G31+H31)/-19106</f>
        <v>-4.3409520569454623</v>
      </c>
      <c r="K31" s="9">
        <f>[9]Model!$AR$51</f>
        <v>0.60069223262780302</v>
      </c>
      <c r="L31" t="s">
        <v>45</v>
      </c>
    </row>
    <row r="32" spans="2:12" x14ac:dyDescent="0.5">
      <c r="C32" t="s">
        <v>68</v>
      </c>
      <c r="D32" s="4" t="s">
        <v>74</v>
      </c>
      <c r="E32" s="4" t="s">
        <v>69</v>
      </c>
      <c r="I32" s="8"/>
    </row>
    <row r="33" spans="2:12" x14ac:dyDescent="0.5">
      <c r="C33" t="s">
        <v>71</v>
      </c>
      <c r="D33" s="4" t="s">
        <v>74</v>
      </c>
      <c r="E33" s="4" t="s">
        <v>70</v>
      </c>
      <c r="I33" s="8"/>
    </row>
    <row r="34" spans="2:12" x14ac:dyDescent="0.5">
      <c r="B34" t="str">
        <f>[10]Main!$M$4</f>
        <v>Q424</v>
      </c>
      <c r="C34" s="7" t="s">
        <v>16</v>
      </c>
      <c r="D34" s="4" t="s">
        <v>74</v>
      </c>
      <c r="E34" s="4" t="s">
        <v>30</v>
      </c>
      <c r="F34" s="4">
        <f>[10]Main!$L$3</f>
        <v>176.92</v>
      </c>
      <c r="G34" s="6">
        <f>[10]Main!$L$5</f>
        <v>161055.93743999998</v>
      </c>
      <c r="H34" s="6">
        <f>[10]Main!$L$10</f>
        <v>-6016</v>
      </c>
      <c r="I34" s="8">
        <f>+(G34+H34)/4799</f>
        <v>32.306717532819334</v>
      </c>
      <c r="K34" s="9">
        <f>[10]Model!$AU$48</f>
        <v>-0.17928469040399586</v>
      </c>
      <c r="L34" t="s">
        <v>45</v>
      </c>
    </row>
    <row r="35" spans="2:12" x14ac:dyDescent="0.5">
      <c r="B35" t="s">
        <v>78</v>
      </c>
      <c r="C35" s="7" t="s">
        <v>17</v>
      </c>
      <c r="D35" s="4" t="s">
        <v>79</v>
      </c>
      <c r="E35" s="4" t="s">
        <v>31</v>
      </c>
      <c r="F35" s="4">
        <f>[12]Main!$J$3</f>
        <v>118.63</v>
      </c>
      <c r="G35" s="6">
        <f>[12]Main!$J$5</f>
        <v>126222.31999999999</v>
      </c>
      <c r="H35" s="6">
        <f>[12]Main!$J$6</f>
        <v>2671</v>
      </c>
      <c r="I35" s="8">
        <f>+(G35+H35)/306</f>
        <v>421.21999999999997</v>
      </c>
      <c r="K35" s="9">
        <f>[12]Model!$AP$34</f>
        <v>-0.55338504222289908</v>
      </c>
      <c r="L35" t="s">
        <v>45</v>
      </c>
    </row>
    <row r="36" spans="2:12" x14ac:dyDescent="0.5">
      <c r="C36" t="s">
        <v>19</v>
      </c>
      <c r="E36" s="4" t="s">
        <v>33</v>
      </c>
      <c r="I36" s="8"/>
    </row>
    <row r="37" spans="2:12" x14ac:dyDescent="0.5">
      <c r="C37" t="s">
        <v>81</v>
      </c>
      <c r="E37" s="4" t="s">
        <v>80</v>
      </c>
      <c r="I37" s="8"/>
    </row>
    <row r="38" spans="2:12" x14ac:dyDescent="0.5">
      <c r="C38" t="s">
        <v>18</v>
      </c>
      <c r="E38" s="4" t="s">
        <v>32</v>
      </c>
      <c r="I38" s="8"/>
    </row>
    <row r="39" spans="2:12" x14ac:dyDescent="0.5">
      <c r="C39" t="s">
        <v>20</v>
      </c>
      <c r="E39" s="4" t="s">
        <v>34</v>
      </c>
      <c r="I39" s="8"/>
    </row>
    <row r="40" spans="2:12" x14ac:dyDescent="0.5">
      <c r="C40" t="s">
        <v>21</v>
      </c>
      <c r="E40" s="4" t="s">
        <v>35</v>
      </c>
      <c r="I40" s="8"/>
    </row>
    <row r="41" spans="2:12" x14ac:dyDescent="0.5">
      <c r="C41" t="s">
        <v>22</v>
      </c>
      <c r="E41" s="4" t="s">
        <v>22</v>
      </c>
      <c r="I41" s="8"/>
    </row>
    <row r="42" spans="2:12" x14ac:dyDescent="0.5">
      <c r="C42" t="s">
        <v>23</v>
      </c>
      <c r="E42" s="4" t="s">
        <v>36</v>
      </c>
      <c r="I42" s="8"/>
    </row>
    <row r="43" spans="2:12" x14ac:dyDescent="0.5">
      <c r="C43" t="s">
        <v>24</v>
      </c>
      <c r="E43" s="4" t="s">
        <v>25</v>
      </c>
      <c r="I43" s="8"/>
    </row>
    <row r="44" spans="2:12" x14ac:dyDescent="0.5">
      <c r="C44" t="s">
        <v>13</v>
      </c>
      <c r="E44" s="4" t="s">
        <v>27</v>
      </c>
      <c r="I44" s="8"/>
    </row>
    <row r="45" spans="2:12" x14ac:dyDescent="0.5">
      <c r="C45" t="s">
        <v>77</v>
      </c>
      <c r="E45" s="4" t="s">
        <v>77</v>
      </c>
      <c r="I45" s="8"/>
    </row>
    <row r="46" spans="2:12" x14ac:dyDescent="0.5">
      <c r="I46" s="8"/>
    </row>
    <row r="47" spans="2:12" x14ac:dyDescent="0.5">
      <c r="I47" s="8"/>
    </row>
    <row r="48" spans="2:12" x14ac:dyDescent="0.5">
      <c r="I48" s="8"/>
    </row>
    <row r="49" spans="2:12" x14ac:dyDescent="0.5">
      <c r="I49" s="8"/>
    </row>
    <row r="50" spans="2:12" x14ac:dyDescent="0.5">
      <c r="C50" s="2" t="s">
        <v>37</v>
      </c>
      <c r="D50" s="2"/>
      <c r="I50" s="8"/>
    </row>
    <row r="51" spans="2:12" x14ac:dyDescent="0.5">
      <c r="C51" t="s">
        <v>39</v>
      </c>
      <c r="E51" s="4" t="s">
        <v>38</v>
      </c>
      <c r="I51" s="8"/>
    </row>
    <row r="52" spans="2:12" x14ac:dyDescent="0.5">
      <c r="B52" t="str">
        <f>[11]Main!$L$4</f>
        <v>Q324</v>
      </c>
      <c r="C52" s="7" t="s">
        <v>57</v>
      </c>
      <c r="D52" s="7"/>
      <c r="E52" s="4" t="s">
        <v>58</v>
      </c>
      <c r="F52" s="4">
        <f>[11]Main!$K$3</f>
        <v>271.72000000000003</v>
      </c>
      <c r="G52" s="6">
        <f>[11]Main!$K$5</f>
        <v>10836.73704</v>
      </c>
      <c r="H52" s="6">
        <f>[11]Main!$K$11</f>
        <v>1001.0999999999999</v>
      </c>
      <c r="I52" s="8">
        <f>+(G52-H52)/704.6</f>
        <v>13.959178313936984</v>
      </c>
      <c r="K52" s="9">
        <f>[11]Model!$AO$52</f>
        <v>9.1425171434966757E-4</v>
      </c>
      <c r="L52" t="s">
        <v>56</v>
      </c>
    </row>
    <row r="53" spans="2:12" x14ac:dyDescent="0.5">
      <c r="I53" s="8"/>
    </row>
    <row r="54" spans="2:12" x14ac:dyDescent="0.5">
      <c r="I54" s="8"/>
    </row>
    <row r="55" spans="2:12" x14ac:dyDescent="0.5">
      <c r="I55" s="8"/>
    </row>
    <row r="56" spans="2:12" x14ac:dyDescent="0.5">
      <c r="I56" s="8"/>
    </row>
    <row r="57" spans="2:12" x14ac:dyDescent="0.5">
      <c r="I57" s="8"/>
    </row>
    <row r="58" spans="2:12" x14ac:dyDescent="0.5">
      <c r="I58" s="8"/>
    </row>
    <row r="59" spans="2:12" x14ac:dyDescent="0.5">
      <c r="I59" s="8"/>
    </row>
    <row r="60" spans="2:12" x14ac:dyDescent="0.5">
      <c r="I60" s="8"/>
    </row>
    <row r="61" spans="2:12" x14ac:dyDescent="0.5">
      <c r="I61" s="8"/>
    </row>
    <row r="62" spans="2:12" x14ac:dyDescent="0.5">
      <c r="I62" s="8"/>
    </row>
    <row r="63" spans="2:12" x14ac:dyDescent="0.5">
      <c r="I63" s="8"/>
    </row>
    <row r="64" spans="2:12" x14ac:dyDescent="0.5">
      <c r="I64" s="8"/>
    </row>
    <row r="65" spans="9:9" x14ac:dyDescent="0.5">
      <c r="I65" s="8"/>
    </row>
    <row r="66" spans="9:9" x14ac:dyDescent="0.5">
      <c r="I66" s="8"/>
    </row>
    <row r="67" spans="9:9" x14ac:dyDescent="0.5">
      <c r="I67" s="8"/>
    </row>
    <row r="68" spans="9:9" x14ac:dyDescent="0.5">
      <c r="I68" s="8"/>
    </row>
    <row r="69" spans="9:9" x14ac:dyDescent="0.5">
      <c r="I69" s="8"/>
    </row>
    <row r="70" spans="9:9" x14ac:dyDescent="0.5">
      <c r="I70" s="8"/>
    </row>
    <row r="71" spans="9:9" x14ac:dyDescent="0.5">
      <c r="I71" s="8"/>
    </row>
    <row r="72" spans="9:9" x14ac:dyDescent="0.5">
      <c r="I72" s="8"/>
    </row>
    <row r="73" spans="9:9" x14ac:dyDescent="0.5">
      <c r="I73" s="8"/>
    </row>
    <row r="74" spans="9:9" x14ac:dyDescent="0.5">
      <c r="I74" s="8"/>
    </row>
    <row r="75" spans="9:9" x14ac:dyDescent="0.5">
      <c r="I75" s="8"/>
    </row>
    <row r="76" spans="9:9" x14ac:dyDescent="0.5">
      <c r="I76" s="8"/>
    </row>
    <row r="77" spans="9:9" x14ac:dyDescent="0.5">
      <c r="I77" s="8"/>
    </row>
    <row r="78" spans="9:9" x14ac:dyDescent="0.5">
      <c r="I78" s="8"/>
    </row>
    <row r="79" spans="9:9" x14ac:dyDescent="0.5">
      <c r="I79" s="8"/>
    </row>
    <row r="80" spans="9:9" x14ac:dyDescent="0.5">
      <c r="I80" s="8"/>
    </row>
    <row r="81" spans="9:9" x14ac:dyDescent="0.5">
      <c r="I81" s="8"/>
    </row>
    <row r="82" spans="9:9" x14ac:dyDescent="0.5">
      <c r="I82" s="8"/>
    </row>
    <row r="83" spans="9:9" x14ac:dyDescent="0.5">
      <c r="I83" s="8"/>
    </row>
    <row r="84" spans="9:9" x14ac:dyDescent="0.5">
      <c r="I84" s="8"/>
    </row>
    <row r="85" spans="9:9" x14ac:dyDescent="0.5">
      <c r="I85" s="8"/>
    </row>
    <row r="86" spans="9:9" x14ac:dyDescent="0.5">
      <c r="I86" s="8"/>
    </row>
    <row r="87" spans="9:9" x14ac:dyDescent="0.5">
      <c r="I87" s="8"/>
    </row>
    <row r="88" spans="9:9" x14ac:dyDescent="0.5">
      <c r="I88" s="8"/>
    </row>
    <row r="89" spans="9:9" x14ac:dyDescent="0.5">
      <c r="I89" s="8"/>
    </row>
    <row r="90" spans="9:9" x14ac:dyDescent="0.5">
      <c r="I90" s="8"/>
    </row>
    <row r="91" spans="9:9" x14ac:dyDescent="0.5">
      <c r="I91" s="8"/>
    </row>
    <row r="92" spans="9:9" x14ac:dyDescent="0.5">
      <c r="I92" s="8"/>
    </row>
    <row r="93" spans="9:9" x14ac:dyDescent="0.5">
      <c r="I93" s="8"/>
    </row>
    <row r="94" spans="9:9" x14ac:dyDescent="0.5">
      <c r="I94" s="8"/>
    </row>
    <row r="95" spans="9:9" x14ac:dyDescent="0.5">
      <c r="I95" s="8"/>
    </row>
    <row r="96" spans="9:9" x14ac:dyDescent="0.5">
      <c r="I96" s="8"/>
    </row>
    <row r="97" spans="9:9" x14ac:dyDescent="0.5">
      <c r="I97" s="8"/>
    </row>
    <row r="98" spans="9:9" x14ac:dyDescent="0.5">
      <c r="I98" s="8"/>
    </row>
    <row r="99" spans="9:9" x14ac:dyDescent="0.5">
      <c r="I99" s="8"/>
    </row>
    <row r="100" spans="9:9" x14ac:dyDescent="0.5">
      <c r="I100" s="8"/>
    </row>
    <row r="101" spans="9:9" x14ac:dyDescent="0.5">
      <c r="I101" s="8"/>
    </row>
    <row r="102" spans="9:9" x14ac:dyDescent="0.5">
      <c r="I102" s="8"/>
    </row>
    <row r="103" spans="9:9" x14ac:dyDescent="0.5">
      <c r="I103" s="8"/>
    </row>
    <row r="104" spans="9:9" x14ac:dyDescent="0.5">
      <c r="I104" s="8"/>
    </row>
    <row r="105" spans="9:9" x14ac:dyDescent="0.5">
      <c r="I105" s="8"/>
    </row>
    <row r="106" spans="9:9" x14ac:dyDescent="0.5">
      <c r="I106" s="8"/>
    </row>
    <row r="107" spans="9:9" x14ac:dyDescent="0.5">
      <c r="I107" s="8"/>
    </row>
    <row r="108" spans="9:9" x14ac:dyDescent="0.5">
      <c r="I108" s="8"/>
    </row>
    <row r="109" spans="9:9" x14ac:dyDescent="0.5">
      <c r="I109" s="8"/>
    </row>
    <row r="110" spans="9:9" x14ac:dyDescent="0.5">
      <c r="I110" s="8"/>
    </row>
    <row r="111" spans="9:9" x14ac:dyDescent="0.5">
      <c r="I111" s="8"/>
    </row>
    <row r="112" spans="9:9" x14ac:dyDescent="0.5">
      <c r="I112" s="8"/>
    </row>
    <row r="113" spans="9:9" x14ac:dyDescent="0.5">
      <c r="I113" s="8"/>
    </row>
    <row r="114" spans="9:9" x14ac:dyDescent="0.5">
      <c r="I114" s="8"/>
    </row>
    <row r="115" spans="9:9" x14ac:dyDescent="0.5">
      <c r="I115" s="8"/>
    </row>
    <row r="116" spans="9:9" x14ac:dyDescent="0.5">
      <c r="I116" s="8"/>
    </row>
    <row r="117" spans="9:9" x14ac:dyDescent="0.5">
      <c r="I117" s="8"/>
    </row>
    <row r="118" spans="9:9" x14ac:dyDescent="0.5">
      <c r="I118" s="8"/>
    </row>
    <row r="119" spans="9:9" x14ac:dyDescent="0.5">
      <c r="I119" s="8"/>
    </row>
    <row r="120" spans="9:9" x14ac:dyDescent="0.5">
      <c r="I120" s="8"/>
    </row>
    <row r="121" spans="9:9" x14ac:dyDescent="0.5">
      <c r="I121" s="8"/>
    </row>
    <row r="122" spans="9:9" x14ac:dyDescent="0.5">
      <c r="I122" s="8"/>
    </row>
    <row r="123" spans="9:9" x14ac:dyDescent="0.5">
      <c r="I123" s="8"/>
    </row>
    <row r="124" spans="9:9" x14ac:dyDescent="0.5">
      <c r="I124" s="8"/>
    </row>
    <row r="125" spans="9:9" x14ac:dyDescent="0.5">
      <c r="I125" s="8"/>
    </row>
    <row r="126" spans="9:9" x14ac:dyDescent="0.5">
      <c r="I126" s="8"/>
    </row>
    <row r="127" spans="9:9" x14ac:dyDescent="0.5">
      <c r="I127" s="8"/>
    </row>
    <row r="128" spans="9:9" x14ac:dyDescent="0.5">
      <c r="I128" s="8"/>
    </row>
    <row r="129" spans="9:9" x14ac:dyDescent="0.5">
      <c r="I129" s="8"/>
    </row>
    <row r="130" spans="9:9" x14ac:dyDescent="0.5">
      <c r="I130" s="8"/>
    </row>
    <row r="131" spans="9:9" x14ac:dyDescent="0.5">
      <c r="I131" s="8"/>
    </row>
    <row r="132" spans="9:9" x14ac:dyDescent="0.5">
      <c r="I132" s="8"/>
    </row>
    <row r="133" spans="9:9" x14ac:dyDescent="0.5">
      <c r="I133" s="8"/>
    </row>
    <row r="134" spans="9:9" x14ac:dyDescent="0.5">
      <c r="I134" s="8"/>
    </row>
    <row r="135" spans="9:9" x14ac:dyDescent="0.5">
      <c r="I135" s="8"/>
    </row>
    <row r="136" spans="9:9" x14ac:dyDescent="0.5">
      <c r="I136" s="8"/>
    </row>
    <row r="137" spans="9:9" x14ac:dyDescent="0.5">
      <c r="I137" s="8"/>
    </row>
    <row r="138" spans="9:9" x14ac:dyDescent="0.5">
      <c r="I138" s="8"/>
    </row>
    <row r="139" spans="9:9" x14ac:dyDescent="0.5">
      <c r="I139" s="8"/>
    </row>
    <row r="140" spans="9:9" x14ac:dyDescent="0.5">
      <c r="I140" s="8"/>
    </row>
    <row r="141" spans="9:9" x14ac:dyDescent="0.5">
      <c r="I141" s="8"/>
    </row>
    <row r="142" spans="9:9" x14ac:dyDescent="0.5">
      <c r="I142" s="8"/>
    </row>
    <row r="143" spans="9:9" x14ac:dyDescent="0.5">
      <c r="I143" s="8"/>
    </row>
    <row r="144" spans="9:9" x14ac:dyDescent="0.5">
      <c r="I144" s="8"/>
    </row>
    <row r="145" spans="9:9" x14ac:dyDescent="0.5">
      <c r="I145" s="8"/>
    </row>
    <row r="146" spans="9:9" x14ac:dyDescent="0.5">
      <c r="I146" s="8"/>
    </row>
    <row r="147" spans="9:9" x14ac:dyDescent="0.5">
      <c r="I147" s="8"/>
    </row>
    <row r="148" spans="9:9" x14ac:dyDescent="0.5">
      <c r="I148" s="8"/>
    </row>
    <row r="149" spans="9:9" x14ac:dyDescent="0.5">
      <c r="I149" s="8"/>
    </row>
    <row r="150" spans="9:9" x14ac:dyDescent="0.5">
      <c r="I150" s="8"/>
    </row>
    <row r="151" spans="9:9" x14ac:dyDescent="0.5">
      <c r="I151" s="8"/>
    </row>
    <row r="152" spans="9:9" x14ac:dyDescent="0.5">
      <c r="I152" s="8"/>
    </row>
    <row r="153" spans="9:9" x14ac:dyDescent="0.5">
      <c r="I153" s="8"/>
    </row>
    <row r="154" spans="9:9" x14ac:dyDescent="0.5">
      <c r="I154" s="8"/>
    </row>
    <row r="155" spans="9:9" x14ac:dyDescent="0.5">
      <c r="I155" s="8"/>
    </row>
    <row r="156" spans="9:9" x14ac:dyDescent="0.5">
      <c r="I156" s="8"/>
    </row>
    <row r="157" spans="9:9" x14ac:dyDescent="0.5">
      <c r="I157" s="8"/>
    </row>
    <row r="158" spans="9:9" x14ac:dyDescent="0.5">
      <c r="I158" s="8"/>
    </row>
    <row r="159" spans="9:9" x14ac:dyDescent="0.5">
      <c r="I159" s="8"/>
    </row>
    <row r="160" spans="9:9" x14ac:dyDescent="0.5">
      <c r="I160" s="8"/>
    </row>
    <row r="161" spans="9:9" x14ac:dyDescent="0.5">
      <c r="I161" s="8"/>
    </row>
    <row r="162" spans="9:9" x14ac:dyDescent="0.5">
      <c r="I162" s="8"/>
    </row>
    <row r="163" spans="9:9" x14ac:dyDescent="0.5">
      <c r="I163" s="8"/>
    </row>
    <row r="164" spans="9:9" x14ac:dyDescent="0.5">
      <c r="I164" s="8"/>
    </row>
    <row r="165" spans="9:9" x14ac:dyDescent="0.5">
      <c r="I165" s="8"/>
    </row>
    <row r="166" spans="9:9" x14ac:dyDescent="0.5">
      <c r="I166" s="8"/>
    </row>
    <row r="167" spans="9:9" x14ac:dyDescent="0.5">
      <c r="I167" s="8"/>
    </row>
    <row r="168" spans="9:9" x14ac:dyDescent="0.5">
      <c r="I168" s="8"/>
    </row>
    <row r="169" spans="9:9" x14ac:dyDescent="0.5">
      <c r="I169" s="8"/>
    </row>
    <row r="170" spans="9:9" x14ac:dyDescent="0.5">
      <c r="I170" s="8"/>
    </row>
    <row r="171" spans="9:9" x14ac:dyDescent="0.5">
      <c r="I171" s="8"/>
    </row>
    <row r="172" spans="9:9" x14ac:dyDescent="0.5">
      <c r="I172" s="8"/>
    </row>
    <row r="173" spans="9:9" x14ac:dyDescent="0.5">
      <c r="I173" s="8"/>
    </row>
    <row r="174" spans="9:9" x14ac:dyDescent="0.5">
      <c r="I174" s="8"/>
    </row>
    <row r="175" spans="9:9" x14ac:dyDescent="0.5">
      <c r="I175" s="8"/>
    </row>
    <row r="176" spans="9:9" x14ac:dyDescent="0.5">
      <c r="I176" s="8"/>
    </row>
    <row r="177" spans="9:9" x14ac:dyDescent="0.5">
      <c r="I177" s="8"/>
    </row>
    <row r="178" spans="9:9" x14ac:dyDescent="0.5">
      <c r="I178" s="8"/>
    </row>
    <row r="179" spans="9:9" x14ac:dyDescent="0.5">
      <c r="I179" s="8"/>
    </row>
    <row r="180" spans="9:9" x14ac:dyDescent="0.5">
      <c r="I180" s="8"/>
    </row>
    <row r="181" spans="9:9" x14ac:dyDescent="0.5">
      <c r="I181" s="8"/>
    </row>
    <row r="182" spans="9:9" x14ac:dyDescent="0.5">
      <c r="I182" s="8"/>
    </row>
    <row r="183" spans="9:9" x14ac:dyDescent="0.5">
      <c r="I183" s="8"/>
    </row>
    <row r="184" spans="9:9" x14ac:dyDescent="0.5">
      <c r="I184" s="8"/>
    </row>
    <row r="185" spans="9:9" x14ac:dyDescent="0.5">
      <c r="I185" s="8"/>
    </row>
    <row r="186" spans="9:9" x14ac:dyDescent="0.5">
      <c r="I186" s="8"/>
    </row>
    <row r="187" spans="9:9" x14ac:dyDescent="0.5">
      <c r="I187" s="8"/>
    </row>
    <row r="188" spans="9:9" x14ac:dyDescent="0.5">
      <c r="I188" s="8"/>
    </row>
    <row r="189" spans="9:9" x14ac:dyDescent="0.5">
      <c r="I189" s="8"/>
    </row>
    <row r="190" spans="9:9" x14ac:dyDescent="0.5">
      <c r="I190" s="8"/>
    </row>
    <row r="191" spans="9:9" x14ac:dyDescent="0.5">
      <c r="I191" s="8"/>
    </row>
    <row r="192" spans="9:9" x14ac:dyDescent="0.5">
      <c r="I192" s="8"/>
    </row>
    <row r="193" spans="9:9" x14ac:dyDescent="0.5">
      <c r="I193" s="8"/>
    </row>
    <row r="194" spans="9:9" x14ac:dyDescent="0.5">
      <c r="I194" s="8"/>
    </row>
    <row r="195" spans="9:9" x14ac:dyDescent="0.5">
      <c r="I195" s="8"/>
    </row>
    <row r="196" spans="9:9" x14ac:dyDescent="0.5">
      <c r="I196" s="8"/>
    </row>
    <row r="197" spans="9:9" x14ac:dyDescent="0.5">
      <c r="I197" s="8"/>
    </row>
    <row r="198" spans="9:9" x14ac:dyDescent="0.5">
      <c r="I198" s="8"/>
    </row>
    <row r="199" spans="9:9" x14ac:dyDescent="0.5">
      <c r="I199" s="8"/>
    </row>
    <row r="200" spans="9:9" x14ac:dyDescent="0.5">
      <c r="I200" s="8"/>
    </row>
    <row r="201" spans="9:9" x14ac:dyDescent="0.5">
      <c r="I201" s="8"/>
    </row>
    <row r="202" spans="9:9" x14ac:dyDescent="0.5">
      <c r="I202" s="8"/>
    </row>
    <row r="203" spans="9:9" x14ac:dyDescent="0.5">
      <c r="I203" s="8"/>
    </row>
    <row r="204" spans="9:9" x14ac:dyDescent="0.5">
      <c r="I204" s="8"/>
    </row>
    <row r="205" spans="9:9" x14ac:dyDescent="0.5">
      <c r="I205" s="8"/>
    </row>
    <row r="206" spans="9:9" x14ac:dyDescent="0.5">
      <c r="I206" s="8"/>
    </row>
    <row r="207" spans="9:9" x14ac:dyDescent="0.5">
      <c r="I207" s="8"/>
    </row>
    <row r="208" spans="9:9" x14ac:dyDescent="0.5">
      <c r="I208" s="8"/>
    </row>
    <row r="209" spans="9:9" x14ac:dyDescent="0.5">
      <c r="I209" s="8"/>
    </row>
    <row r="210" spans="9:9" x14ac:dyDescent="0.5">
      <c r="I210" s="8"/>
    </row>
    <row r="211" spans="9:9" x14ac:dyDescent="0.5">
      <c r="I211" s="8"/>
    </row>
    <row r="212" spans="9:9" x14ac:dyDescent="0.5">
      <c r="I212" s="8"/>
    </row>
    <row r="213" spans="9:9" x14ac:dyDescent="0.5">
      <c r="I213" s="8"/>
    </row>
    <row r="214" spans="9:9" x14ac:dyDescent="0.5">
      <c r="I214" s="8"/>
    </row>
    <row r="215" spans="9:9" x14ac:dyDescent="0.5">
      <c r="I215" s="8"/>
    </row>
    <row r="216" spans="9:9" x14ac:dyDescent="0.5">
      <c r="I216" s="8"/>
    </row>
    <row r="217" spans="9:9" x14ac:dyDescent="0.5">
      <c r="I217" s="8"/>
    </row>
    <row r="218" spans="9:9" x14ac:dyDescent="0.5">
      <c r="I218" s="8"/>
    </row>
    <row r="219" spans="9:9" x14ac:dyDescent="0.5">
      <c r="I219" s="8"/>
    </row>
    <row r="220" spans="9:9" x14ac:dyDescent="0.5">
      <c r="I220" s="8"/>
    </row>
    <row r="221" spans="9:9" x14ac:dyDescent="0.5">
      <c r="I221" s="8"/>
    </row>
    <row r="222" spans="9:9" x14ac:dyDescent="0.5">
      <c r="I222" s="8"/>
    </row>
    <row r="223" spans="9:9" x14ac:dyDescent="0.5">
      <c r="I223" s="8"/>
    </row>
    <row r="224" spans="9:9" x14ac:dyDescent="0.5">
      <c r="I224" s="8"/>
    </row>
    <row r="225" spans="9:9" x14ac:dyDescent="0.5">
      <c r="I225" s="8"/>
    </row>
    <row r="226" spans="9:9" x14ac:dyDescent="0.5">
      <c r="I226" s="8"/>
    </row>
    <row r="227" spans="9:9" x14ac:dyDescent="0.5">
      <c r="I227" s="8"/>
    </row>
    <row r="228" spans="9:9" x14ac:dyDescent="0.5">
      <c r="I228" s="8"/>
    </row>
    <row r="229" spans="9:9" x14ac:dyDescent="0.5">
      <c r="I229" s="8"/>
    </row>
  </sheetData>
  <hyperlinks>
    <hyperlink ref="C5" r:id="rId1" xr:uid="{5C3EA9A0-0E63-3D46-922D-4AE327EF552A}"/>
    <hyperlink ref="C4" r:id="rId2" xr:uid="{EC1B0756-7D75-634D-A37A-92EC382A0B85}"/>
    <hyperlink ref="C31" r:id="rId3" xr:uid="{26CCFF90-7A52-3D44-8315-9A27845A78D3}"/>
    <hyperlink ref="C6" r:id="rId4" xr:uid="{98AA6FCD-85E5-FA45-A9B3-F3232923662A}"/>
    <hyperlink ref="C8" r:id="rId5" xr:uid="{F67AAA48-9A36-274E-87C6-AF25914445C6}"/>
    <hyperlink ref="C27" r:id="rId6" xr:uid="{152CEEF1-B66B-BC44-A0CB-F847DDFA35C0}"/>
    <hyperlink ref="C30" r:id="rId7" xr:uid="{66599007-10C7-D848-843B-254BC70AD0A9}"/>
    <hyperlink ref="C52" r:id="rId8" xr:uid="{7EF873A4-8B44-9A43-9AA5-BEEDDB796CC5}"/>
    <hyperlink ref="C29" r:id="rId9" xr:uid="{1A7DACF2-8B97-8E40-A676-AF5F2584EA72}"/>
    <hyperlink ref="C28" r:id="rId10" xr:uid="{A9BE6126-BACB-D244-901F-0D2F93F55AC7}"/>
    <hyperlink ref="C34" r:id="rId11" xr:uid="{239C7CC5-6CDE-1646-906A-27AE295FA244}"/>
    <hyperlink ref="C35" r:id="rId12" xr:uid="{93D5B934-7A2F-4CE0-8954-5A6000D549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C30C-C6C2-7A4E-901A-22CDEB596556}">
  <dimension ref="B2:M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ColWidth="11" defaultRowHeight="15.75" x14ac:dyDescent="0.5"/>
  <cols>
    <col min="2" max="2" width="19.8125" customWidth="1"/>
    <col min="6" max="6" width="11.8125" bestFit="1" customWidth="1"/>
    <col min="7" max="7" width="12.3125" bestFit="1" customWidth="1"/>
    <col min="8" max="8" width="12.3125" style="13" customWidth="1"/>
    <col min="9" max="9" width="12.3125" bestFit="1" customWidth="1"/>
    <col min="10" max="10" width="12.3125" style="13" customWidth="1"/>
  </cols>
  <sheetData>
    <row r="2" spans="2:13" x14ac:dyDescent="0.5">
      <c r="B2" s="1" t="s">
        <v>48</v>
      </c>
      <c r="C2" s="1" t="s">
        <v>49</v>
      </c>
      <c r="D2" s="1" t="s">
        <v>50</v>
      </c>
      <c r="E2" s="1" t="s">
        <v>61</v>
      </c>
      <c r="F2" s="1" t="s">
        <v>63</v>
      </c>
      <c r="G2" s="1" t="s">
        <v>64</v>
      </c>
      <c r="H2" s="12" t="s">
        <v>66</v>
      </c>
      <c r="I2" s="12" t="s">
        <v>65</v>
      </c>
      <c r="J2" s="1" t="s">
        <v>52</v>
      </c>
      <c r="K2" s="1" t="s">
        <v>51</v>
      </c>
      <c r="M2" s="1"/>
    </row>
    <row r="3" spans="2:13" x14ac:dyDescent="0.5">
      <c r="B3" t="s">
        <v>62</v>
      </c>
      <c r="C3">
        <v>10</v>
      </c>
      <c r="D3">
        <v>3200</v>
      </c>
      <c r="E3" s="10">
        <f>+D3/400000</f>
        <v>8.0000000000000002E-3</v>
      </c>
      <c r="F3" s="11">
        <v>45721</v>
      </c>
      <c r="G3" s="11">
        <v>45733</v>
      </c>
      <c r="H3" s="13">
        <v>5694.66</v>
      </c>
      <c r="I3" s="13">
        <f>+H3-D3</f>
        <v>2494.66</v>
      </c>
      <c r="J3" s="10">
        <f>I3/D3</f>
        <v>0.77958125</v>
      </c>
      <c r="K3" s="11">
        <v>45733</v>
      </c>
    </row>
    <row r="4" spans="2:13" x14ac:dyDescent="0.5">
      <c r="B4" t="s">
        <v>67</v>
      </c>
      <c r="C4">
        <v>20</v>
      </c>
      <c r="D4">
        <f>3.85*2000</f>
        <v>7700</v>
      </c>
      <c r="E4" s="10">
        <f>+D4/400000</f>
        <v>1.925E-2</v>
      </c>
      <c r="F4" s="11">
        <v>45733</v>
      </c>
      <c r="G4" s="11"/>
      <c r="I4" s="13"/>
      <c r="J4" s="10"/>
      <c r="K4" s="11">
        <v>45733</v>
      </c>
    </row>
    <row r="5" spans="2:13" x14ac:dyDescent="0.5">
      <c r="B5" t="s">
        <v>26</v>
      </c>
      <c r="C5">
        <v>510</v>
      </c>
      <c r="D5">
        <f>+C5*19.58</f>
        <v>9985.7999999999993</v>
      </c>
      <c r="E5" s="10">
        <f>+D5/400000</f>
        <v>2.4964499999999997E-2</v>
      </c>
      <c r="F5" s="11">
        <v>45727</v>
      </c>
      <c r="G5" s="11">
        <v>45728</v>
      </c>
      <c r="H5" s="13">
        <f>4183.05+2556.31+464.58+2323.01+2323.91</f>
        <v>11850.86</v>
      </c>
      <c r="I5" s="13">
        <f>+H5-D5</f>
        <v>1865.0600000000013</v>
      </c>
      <c r="J5" s="10">
        <f>I5/D5</f>
        <v>0.18677121512547831</v>
      </c>
      <c r="K5" s="11">
        <v>45728</v>
      </c>
    </row>
  </sheetData>
  <autoFilter ref="B2:K5" xr:uid="{7073C30C-C6C2-7A4E-901A-22CDEB5965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2025-02-21T15:08:10Z</dcterms:created>
  <dcterms:modified xsi:type="dcterms:W3CDTF">2025-03-25T17:08:47Z</dcterms:modified>
</cp:coreProperties>
</file>