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798" documentId="8_{E5AD1414-5E89-8E41-9AE2-A05B00A35034}" xr6:coauthVersionLast="47" xr6:coauthVersionMax="47" xr10:uidLastSave="{F817ABA1-D8D6-4220-A1BA-CBDE3EBF7CC0}"/>
  <bookViews>
    <workbookView xWindow="19058" yWindow="0" windowWidth="26145" windowHeight="23797" activeTab="1" xr2:uid="{B74BD404-66B0-4E4E-867A-59F8DCF009D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8" i="2" l="1"/>
  <c r="AL18" i="2" s="1"/>
  <c r="AM18" i="2" s="1"/>
  <c r="AN18" i="2" s="1"/>
  <c r="AG18" i="2"/>
  <c r="AH18" i="2" s="1"/>
  <c r="AI18" i="2" s="1"/>
  <c r="AJ18" i="2" s="1"/>
  <c r="AD18" i="2"/>
  <c r="AE18" i="2" s="1"/>
  <c r="AF18" i="2" s="1"/>
  <c r="AU45" i="2"/>
  <c r="AD26" i="2"/>
  <c r="AC28" i="2"/>
  <c r="AC39" i="2" s="1"/>
  <c r="AC29" i="2"/>
  <c r="AC27" i="2"/>
  <c r="AN21" i="2"/>
  <c r="AO21" i="2" s="1"/>
  <c r="AP21" i="2" s="1"/>
  <c r="AQ21" i="2" s="1"/>
  <c r="AM21" i="2"/>
  <c r="AM22" i="2"/>
  <c r="AN22" i="2"/>
  <c r="AO22" i="2" s="1"/>
  <c r="AP22" i="2" s="1"/>
  <c r="AQ22" i="2" s="1"/>
  <c r="AF21" i="2"/>
  <c r="AG21" i="2" s="1"/>
  <c r="AH21" i="2" s="1"/>
  <c r="AI21" i="2" s="1"/>
  <c r="AJ21" i="2" s="1"/>
  <c r="AK21" i="2" s="1"/>
  <c r="AL21" i="2" s="1"/>
  <c r="AE21" i="2"/>
  <c r="AJ22" i="2"/>
  <c r="AK22" i="2" s="1"/>
  <c r="AL22" i="2" s="1"/>
  <c r="AI22" i="2"/>
  <c r="R21" i="2"/>
  <c r="Q21" i="2"/>
  <c r="P21" i="2"/>
  <c r="AE22" i="2"/>
  <c r="AE36" i="2" s="1"/>
  <c r="AD22" i="2"/>
  <c r="AC22" i="2"/>
  <c r="AD20" i="2"/>
  <c r="AD41" i="2" s="1"/>
  <c r="AC20" i="2"/>
  <c r="AC25" i="2" s="1"/>
  <c r="AC42" i="2" s="1"/>
  <c r="AD34" i="2"/>
  <c r="AC18" i="2"/>
  <c r="W10" i="2"/>
  <c r="X8" i="2"/>
  <c r="X10" i="2" s="1"/>
  <c r="W8" i="2"/>
  <c r="V8" i="2"/>
  <c r="AD36" i="2"/>
  <c r="AB30" i="2"/>
  <c r="AB26" i="2"/>
  <c r="AB23" i="2"/>
  <c r="R22" i="2"/>
  <c r="R36" i="2" s="1"/>
  <c r="Q22" i="2"/>
  <c r="Q36" i="2" s="1"/>
  <c r="P22" i="2"/>
  <c r="P36" i="2" s="1"/>
  <c r="O22" i="2"/>
  <c r="O36" i="2" s="1"/>
  <c r="Q24" i="2"/>
  <c r="P35" i="2"/>
  <c r="O21" i="2"/>
  <c r="O20" i="2"/>
  <c r="O19" i="2" s="1"/>
  <c r="R18" i="2"/>
  <c r="R34" i="2" s="1"/>
  <c r="Q18" i="2"/>
  <c r="Q34" i="2" s="1"/>
  <c r="P18" i="2"/>
  <c r="AB18" i="2" s="1"/>
  <c r="V50" i="2"/>
  <c r="V62" i="2"/>
  <c r="W50" i="2"/>
  <c r="W62" i="2"/>
  <c r="W67" i="2" s="1"/>
  <c r="X50" i="2"/>
  <c r="X62" i="2"/>
  <c r="X67" i="2" s="1"/>
  <c r="Y62" i="2"/>
  <c r="Y67" i="2" s="1"/>
  <c r="Z67" i="2"/>
  <c r="Z62" i="2"/>
  <c r="AA62" i="2"/>
  <c r="AA67" i="2" s="1"/>
  <c r="O41" i="2"/>
  <c r="O34" i="2"/>
  <c r="AA12" i="2"/>
  <c r="X12" i="2"/>
  <c r="W12" i="2"/>
  <c r="AA11" i="2"/>
  <c r="X11" i="2"/>
  <c r="W11" i="2"/>
  <c r="Y7" i="2"/>
  <c r="Y6" i="2"/>
  <c r="Y14" i="2" s="1"/>
  <c r="Y5" i="2"/>
  <c r="Y12" i="2" s="1"/>
  <c r="Y4" i="2"/>
  <c r="Z11" i="2" s="1"/>
  <c r="X15" i="2"/>
  <c r="W15" i="2"/>
  <c r="V15" i="2"/>
  <c r="X14" i="2"/>
  <c r="W14" i="2"/>
  <c r="V14" i="2"/>
  <c r="N12" i="2"/>
  <c r="M12" i="2"/>
  <c r="L12" i="2"/>
  <c r="K12" i="2"/>
  <c r="J12" i="2"/>
  <c r="I12" i="2"/>
  <c r="H12" i="2"/>
  <c r="G12" i="2"/>
  <c r="M11" i="2"/>
  <c r="L11" i="2"/>
  <c r="K11" i="2"/>
  <c r="J11" i="2"/>
  <c r="I11" i="2"/>
  <c r="H11" i="2"/>
  <c r="G11" i="2"/>
  <c r="N11" i="2"/>
  <c r="M15" i="2"/>
  <c r="L15" i="2"/>
  <c r="K15" i="2"/>
  <c r="J15" i="2"/>
  <c r="I15" i="2"/>
  <c r="H15" i="2"/>
  <c r="G15" i="2"/>
  <c r="F15" i="2"/>
  <c r="E15" i="2"/>
  <c r="D15" i="2"/>
  <c r="C15" i="2"/>
  <c r="M14" i="2"/>
  <c r="L14" i="2"/>
  <c r="K14" i="2"/>
  <c r="J14" i="2"/>
  <c r="I14" i="2"/>
  <c r="H14" i="2"/>
  <c r="G14" i="2"/>
  <c r="F14" i="2"/>
  <c r="E14" i="2"/>
  <c r="D14" i="2"/>
  <c r="C14" i="2"/>
  <c r="N15" i="2"/>
  <c r="N14" i="2"/>
  <c r="Z15" i="2"/>
  <c r="Z14" i="2"/>
  <c r="AA15" i="2"/>
  <c r="AA14" i="2"/>
  <c r="V26" i="2"/>
  <c r="V23" i="2"/>
  <c r="V24" i="2" s="1"/>
  <c r="V20" i="2"/>
  <c r="W26" i="2"/>
  <c r="W23" i="2"/>
  <c r="W24" i="2" s="1"/>
  <c r="W37" i="2" s="1"/>
  <c r="W20" i="2"/>
  <c r="X26" i="2"/>
  <c r="X23" i="2"/>
  <c r="X24" i="2" s="1"/>
  <c r="X37" i="2" s="1"/>
  <c r="X20" i="2"/>
  <c r="AE34" i="2" l="1"/>
  <c r="AE20" i="2"/>
  <c r="AE19" i="2" s="1"/>
  <c r="AC19" i="2"/>
  <c r="AD19" i="2"/>
  <c r="AD25" i="2"/>
  <c r="AD42" i="2" s="1"/>
  <c r="R35" i="2"/>
  <c r="R24" i="2"/>
  <c r="Q35" i="2"/>
  <c r="AB21" i="2"/>
  <c r="AC21" i="2" s="1"/>
  <c r="AD21" i="2" s="1"/>
  <c r="AK36" i="2"/>
  <c r="AJ36" i="2"/>
  <c r="AF22" i="2"/>
  <c r="AC41" i="2"/>
  <c r="P20" i="2"/>
  <c r="P41" i="2" s="1"/>
  <c r="AB22" i="2"/>
  <c r="AC36" i="2" s="1"/>
  <c r="O35" i="2"/>
  <c r="Q20" i="2"/>
  <c r="P24" i="2"/>
  <c r="P25" i="2" s="1"/>
  <c r="P34" i="2"/>
  <c r="R20" i="2"/>
  <c r="R41" i="2" s="1"/>
  <c r="O24" i="2"/>
  <c r="O25" i="2" s="1"/>
  <c r="O42" i="2" s="1"/>
  <c r="P19" i="2"/>
  <c r="AC34" i="2"/>
  <c r="R19" i="2"/>
  <c r="R25" i="2"/>
  <c r="W25" i="2"/>
  <c r="W27" i="2" s="1"/>
  <c r="W29" i="2" s="1"/>
  <c r="AA64" i="2"/>
  <c r="Z12" i="2"/>
  <c r="V67" i="2"/>
  <c r="V64" i="2"/>
  <c r="W64" i="2"/>
  <c r="X64" i="2"/>
  <c r="Y64" i="2"/>
  <c r="Z64" i="2"/>
  <c r="Y11" i="2"/>
  <c r="Y15" i="2"/>
  <c r="V25" i="2"/>
  <c r="V27" i="2" s="1"/>
  <c r="V29" i="2" s="1"/>
  <c r="X25" i="2"/>
  <c r="X27" i="2" s="1"/>
  <c r="X29" i="2" s="1"/>
  <c r="V42" i="2"/>
  <c r="W41" i="2"/>
  <c r="V41" i="2"/>
  <c r="W36" i="2"/>
  <c r="X35" i="2"/>
  <c r="W35" i="2"/>
  <c r="W34" i="2"/>
  <c r="Y30" i="2"/>
  <c r="Y28" i="2"/>
  <c r="Y23" i="2"/>
  <c r="Y22" i="2"/>
  <c r="Y36" i="2" s="1"/>
  <c r="Y21" i="2"/>
  <c r="Y19" i="2"/>
  <c r="Y18" i="2"/>
  <c r="Z30" i="2"/>
  <c r="Z28" i="2"/>
  <c r="Z23" i="2"/>
  <c r="Z22" i="2"/>
  <c r="Z21" i="2"/>
  <c r="Z19" i="2"/>
  <c r="Z18" i="2"/>
  <c r="Z8" i="2" s="1"/>
  <c r="AA30" i="2"/>
  <c r="AA28" i="2"/>
  <c r="AA23" i="2"/>
  <c r="AA22" i="2"/>
  <c r="AB36" i="2" s="1"/>
  <c r="AA21" i="2"/>
  <c r="AA19" i="2"/>
  <c r="AA18" i="2"/>
  <c r="AA8" i="2" s="1"/>
  <c r="AA10" i="2" s="1"/>
  <c r="N36" i="2"/>
  <c r="M36" i="2"/>
  <c r="L36" i="2"/>
  <c r="K36" i="2"/>
  <c r="J36" i="2"/>
  <c r="I36" i="2"/>
  <c r="H36" i="2"/>
  <c r="G36" i="2"/>
  <c r="M35" i="2"/>
  <c r="L35" i="2"/>
  <c r="K35" i="2"/>
  <c r="J35" i="2"/>
  <c r="I35" i="2"/>
  <c r="H35" i="2"/>
  <c r="G35" i="2"/>
  <c r="N35" i="2"/>
  <c r="M34" i="2"/>
  <c r="L34" i="2"/>
  <c r="K34" i="2"/>
  <c r="J34" i="2"/>
  <c r="I34" i="2"/>
  <c r="H34" i="2"/>
  <c r="G34" i="2"/>
  <c r="N34" i="2"/>
  <c r="F26" i="2"/>
  <c r="F24" i="2"/>
  <c r="F20" i="2"/>
  <c r="J26" i="2"/>
  <c r="J24" i="2"/>
  <c r="J20" i="2"/>
  <c r="N26" i="2"/>
  <c r="N24" i="2"/>
  <c r="N20" i="2"/>
  <c r="N41" i="2" s="1"/>
  <c r="C26" i="2"/>
  <c r="C24" i="2"/>
  <c r="C20" i="2"/>
  <c r="D26" i="2"/>
  <c r="D24" i="2"/>
  <c r="D20" i="2"/>
  <c r="E26" i="2"/>
  <c r="E24" i="2"/>
  <c r="E20" i="2"/>
  <c r="E41" i="2" s="1"/>
  <c r="G26" i="2"/>
  <c r="G24" i="2"/>
  <c r="G20" i="2"/>
  <c r="K26" i="2"/>
  <c r="K24" i="2"/>
  <c r="K20" i="2"/>
  <c r="H26" i="2"/>
  <c r="H24" i="2"/>
  <c r="H20" i="2"/>
  <c r="L26" i="2"/>
  <c r="L24" i="2"/>
  <c r="L20" i="2"/>
  <c r="I26" i="2"/>
  <c r="I24" i="2"/>
  <c r="I20" i="2"/>
  <c r="M26" i="2"/>
  <c r="M24" i="2"/>
  <c r="M20" i="2"/>
  <c r="W3" i="2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L10" i="1"/>
  <c r="L7" i="1"/>
  <c r="L6" i="1"/>
  <c r="L5" i="1"/>
  <c r="L8" i="1" s="1"/>
  <c r="AD27" i="2" l="1"/>
  <c r="AK20" i="2"/>
  <c r="AE25" i="2"/>
  <c r="AE42" i="2" s="1"/>
  <c r="AE41" i="2"/>
  <c r="AG20" i="2"/>
  <c r="AG25" i="2" s="1"/>
  <c r="AG19" i="2"/>
  <c r="AF34" i="2"/>
  <c r="AF20" i="2"/>
  <c r="AC35" i="2"/>
  <c r="AC24" i="2"/>
  <c r="AB35" i="2"/>
  <c r="AD24" i="2"/>
  <c r="AD35" i="2"/>
  <c r="AL36" i="2"/>
  <c r="AG22" i="2"/>
  <c r="AF36" i="2"/>
  <c r="AG41" i="2"/>
  <c r="AG42" i="2"/>
  <c r="AG34" i="2"/>
  <c r="AB19" i="2"/>
  <c r="AB20" i="2" s="1"/>
  <c r="AB41" i="2" s="1"/>
  <c r="Q19" i="2"/>
  <c r="Q41" i="2"/>
  <c r="Z10" i="2"/>
  <c r="Q25" i="2"/>
  <c r="Y34" i="2"/>
  <c r="Y8" i="2"/>
  <c r="Y10" i="2" s="1"/>
  <c r="Y24" i="2"/>
  <c r="Y37" i="2" s="1"/>
  <c r="D25" i="2"/>
  <c r="D27" i="2" s="1"/>
  <c r="D29" i="2" s="1"/>
  <c r="D31" i="2" s="1"/>
  <c r="F25" i="2"/>
  <c r="AB24" i="2"/>
  <c r="AB25" i="2" s="1"/>
  <c r="O27" i="2"/>
  <c r="O28" i="2" s="1"/>
  <c r="O39" i="2" s="1"/>
  <c r="AA34" i="2"/>
  <c r="AB34" i="2"/>
  <c r="R27" i="2"/>
  <c r="R42" i="2"/>
  <c r="F27" i="2"/>
  <c r="F29" i="2" s="1"/>
  <c r="F31" i="2" s="1"/>
  <c r="V39" i="2"/>
  <c r="W42" i="2"/>
  <c r="P27" i="2"/>
  <c r="P42" i="2"/>
  <c r="L25" i="2"/>
  <c r="L27" i="2" s="1"/>
  <c r="L29" i="2" s="1"/>
  <c r="L31" i="2" s="1"/>
  <c r="J25" i="2"/>
  <c r="J27" i="2" s="1"/>
  <c r="J29" i="2" s="1"/>
  <c r="Q42" i="2"/>
  <c r="Q27" i="2"/>
  <c r="Z35" i="2"/>
  <c r="V31" i="2"/>
  <c r="V47" i="2"/>
  <c r="W39" i="2"/>
  <c r="W31" i="2"/>
  <c r="W47" i="2"/>
  <c r="X31" i="2"/>
  <c r="X47" i="2"/>
  <c r="AA35" i="2"/>
  <c r="Y20" i="2"/>
  <c r="Y41" i="2" s="1"/>
  <c r="Y35" i="2"/>
  <c r="D41" i="2"/>
  <c r="C25" i="2"/>
  <c r="C42" i="2" s="1"/>
  <c r="M25" i="2"/>
  <c r="M42" i="2" s="1"/>
  <c r="G25" i="2"/>
  <c r="G27" i="2" s="1"/>
  <c r="G29" i="2" s="1"/>
  <c r="G31" i="2" s="1"/>
  <c r="Z34" i="2"/>
  <c r="AA24" i="2"/>
  <c r="Z26" i="2"/>
  <c r="C41" i="2"/>
  <c r="M41" i="2"/>
  <c r="H25" i="2"/>
  <c r="H42" i="2" s="1"/>
  <c r="AA20" i="2"/>
  <c r="AA41" i="2" s="1"/>
  <c r="F42" i="2"/>
  <c r="Z20" i="2"/>
  <c r="Z41" i="2" s="1"/>
  <c r="AA26" i="2"/>
  <c r="Z36" i="2"/>
  <c r="Y26" i="2"/>
  <c r="Z24" i="2"/>
  <c r="Z37" i="2" s="1"/>
  <c r="D42" i="2"/>
  <c r="I25" i="2"/>
  <c r="I42" i="2" s="1"/>
  <c r="M27" i="2"/>
  <c r="F41" i="2"/>
  <c r="H41" i="2"/>
  <c r="I41" i="2"/>
  <c r="K25" i="2"/>
  <c r="J41" i="2"/>
  <c r="G41" i="2"/>
  <c r="AA36" i="2"/>
  <c r="N25" i="2"/>
  <c r="K41" i="2"/>
  <c r="L41" i="2"/>
  <c r="X36" i="2"/>
  <c r="X34" i="2"/>
  <c r="C27" i="2"/>
  <c r="E25" i="2"/>
  <c r="AD28" i="2" l="1"/>
  <c r="AD39" i="2" s="1"/>
  <c r="AD29" i="2"/>
  <c r="AD44" i="2" s="1"/>
  <c r="AE26" i="2" s="1"/>
  <c r="AE27" i="2"/>
  <c r="AE28" i="2" s="1"/>
  <c r="AE39" i="2" s="1"/>
  <c r="AL20" i="2"/>
  <c r="AH20" i="2"/>
  <c r="AH25" i="2" s="1"/>
  <c r="AF19" i="2"/>
  <c r="AF25" i="2"/>
  <c r="AF42" i="2" s="1"/>
  <c r="AF41" i="2"/>
  <c r="AB37" i="2"/>
  <c r="AD37" i="2"/>
  <c r="AC37" i="2"/>
  <c r="AE24" i="2"/>
  <c r="AE37" i="2" s="1"/>
  <c r="AE35" i="2"/>
  <c r="AM36" i="2"/>
  <c r="AH22" i="2"/>
  <c r="AG36" i="2"/>
  <c r="AH42" i="2"/>
  <c r="AH34" i="2"/>
  <c r="F47" i="2"/>
  <c r="F39" i="2"/>
  <c r="O29" i="2"/>
  <c r="O31" i="2" s="1"/>
  <c r="J31" i="2"/>
  <c r="J47" i="2"/>
  <c r="P28" i="2"/>
  <c r="P29" i="2" s="1"/>
  <c r="P31" i="2" s="1"/>
  <c r="D47" i="2"/>
  <c r="AA37" i="2"/>
  <c r="J42" i="2"/>
  <c r="L42" i="2"/>
  <c r="D39" i="2"/>
  <c r="Q28" i="2"/>
  <c r="Q39" i="2" s="1"/>
  <c r="R28" i="2"/>
  <c r="R39" i="2" s="1"/>
  <c r="AB27" i="2"/>
  <c r="AB42" i="2"/>
  <c r="G42" i="2"/>
  <c r="L47" i="2"/>
  <c r="Y25" i="2"/>
  <c r="Y42" i="2" s="1"/>
  <c r="L39" i="2"/>
  <c r="G47" i="2"/>
  <c r="G39" i="2"/>
  <c r="H27" i="2"/>
  <c r="H29" i="2" s="1"/>
  <c r="AA25" i="2"/>
  <c r="AA42" i="2" s="1"/>
  <c r="Z25" i="2"/>
  <c r="Z27" i="2" s="1"/>
  <c r="I27" i="2"/>
  <c r="I39" i="2" s="1"/>
  <c r="J39" i="2"/>
  <c r="K27" i="2"/>
  <c r="K42" i="2"/>
  <c r="N27" i="2"/>
  <c r="N42" i="2"/>
  <c r="E27" i="2"/>
  <c r="E42" i="2"/>
  <c r="C29" i="2"/>
  <c r="C39" i="2"/>
  <c r="M29" i="2"/>
  <c r="M39" i="2"/>
  <c r="I29" i="2"/>
  <c r="X41" i="2"/>
  <c r="AH19" i="2" l="1"/>
  <c r="AH41" i="2"/>
  <c r="AM20" i="2"/>
  <c r="AE29" i="2"/>
  <c r="AI20" i="2"/>
  <c r="AI25" i="2" s="1"/>
  <c r="AI42" i="2" s="1"/>
  <c r="Q29" i="2"/>
  <c r="Q31" i="2" s="1"/>
  <c r="AF24" i="2"/>
  <c r="AF35" i="2"/>
  <c r="AN36" i="2"/>
  <c r="AH36" i="2"/>
  <c r="AI36" i="2"/>
  <c r="AI34" i="2"/>
  <c r="Z42" i="2"/>
  <c r="P39" i="2"/>
  <c r="AB28" i="2"/>
  <c r="AB39" i="2" s="1"/>
  <c r="AB29" i="2"/>
  <c r="AB31" i="2" s="1"/>
  <c r="Y27" i="2"/>
  <c r="Y39" i="2" s="1"/>
  <c r="R29" i="2"/>
  <c r="R31" i="2" s="1"/>
  <c r="AA27" i="2"/>
  <c r="H39" i="2"/>
  <c r="Z29" i="2"/>
  <c r="Z39" i="2"/>
  <c r="C31" i="2"/>
  <c r="C47" i="2"/>
  <c r="E29" i="2"/>
  <c r="E39" i="2"/>
  <c r="N29" i="2"/>
  <c r="N39" i="2"/>
  <c r="I31" i="2"/>
  <c r="I47" i="2"/>
  <c r="AA29" i="2"/>
  <c r="AA39" i="2"/>
  <c r="M31" i="2"/>
  <c r="M47" i="2"/>
  <c r="H31" i="2"/>
  <c r="H47" i="2"/>
  <c r="Y29" i="2"/>
  <c r="K29" i="2"/>
  <c r="K39" i="2"/>
  <c r="X42" i="2"/>
  <c r="AI41" i="2" l="1"/>
  <c r="AE44" i="2"/>
  <c r="AF26" i="2" s="1"/>
  <c r="AF27" i="2" s="1"/>
  <c r="AO18" i="2"/>
  <c r="AN20" i="2"/>
  <c r="AJ20" i="2"/>
  <c r="AJ25" i="2" s="1"/>
  <c r="AJ42" i="2" s="1"/>
  <c r="AI19" i="2"/>
  <c r="AG24" i="2"/>
  <c r="AG37" i="2" s="1"/>
  <c r="AG35" i="2"/>
  <c r="AF37" i="2"/>
  <c r="AO36" i="2"/>
  <c r="AJ34" i="2"/>
  <c r="Z31" i="2"/>
  <c r="Z47" i="2"/>
  <c r="Y31" i="2"/>
  <c r="Y47" i="2"/>
  <c r="AA31" i="2"/>
  <c r="AA47" i="2"/>
  <c r="K31" i="2"/>
  <c r="K47" i="2"/>
  <c r="E31" i="2"/>
  <c r="E47" i="2"/>
  <c r="N31" i="2"/>
  <c r="N47" i="2"/>
  <c r="X39" i="2"/>
  <c r="AP18" i="2" l="1"/>
  <c r="AO20" i="2"/>
  <c r="AF28" i="2"/>
  <c r="AF39" i="2" s="1"/>
  <c r="AJ41" i="2"/>
  <c r="AK25" i="2"/>
  <c r="AK42" i="2" s="1"/>
  <c r="AJ19" i="2"/>
  <c r="AH24" i="2"/>
  <c r="AH37" i="2" s="1"/>
  <c r="AH35" i="2"/>
  <c r="AQ36" i="2"/>
  <c r="AP36" i="2"/>
  <c r="AK34" i="2"/>
  <c r="AQ18" i="2" l="1"/>
  <c r="AQ20" i="2" s="1"/>
  <c r="AP20" i="2"/>
  <c r="AF29" i="2"/>
  <c r="AK19" i="2"/>
  <c r="AK41" i="2"/>
  <c r="AL25" i="2"/>
  <c r="AL42" i="2" s="1"/>
  <c r="AI24" i="2"/>
  <c r="AI37" i="2" s="1"/>
  <c r="AI35" i="2"/>
  <c r="AL34" i="2"/>
  <c r="AF44" i="2" l="1"/>
  <c r="AG26" i="2"/>
  <c r="AG27" i="2" s="1"/>
  <c r="AL41" i="2"/>
  <c r="AL19" i="2"/>
  <c r="AM19" i="2"/>
  <c r="AJ24" i="2"/>
  <c r="AJ35" i="2"/>
  <c r="AM34" i="2"/>
  <c r="AM41" i="2"/>
  <c r="AG28" i="2" l="1"/>
  <c r="AG39" i="2" s="1"/>
  <c r="AN19" i="2"/>
  <c r="AJ37" i="2"/>
  <c r="AK24" i="2"/>
  <c r="AK35" i="2"/>
  <c r="AN34" i="2"/>
  <c r="AN41" i="2"/>
  <c r="AG29" i="2" l="1"/>
  <c r="AO19" i="2"/>
  <c r="AL24" i="2"/>
  <c r="AL37" i="2" s="1"/>
  <c r="AL35" i="2"/>
  <c r="AK37" i="2"/>
  <c r="AO41" i="2"/>
  <c r="AO34" i="2"/>
  <c r="AG44" i="2" l="1"/>
  <c r="AH26" i="2" s="1"/>
  <c r="AH27" i="2" s="1"/>
  <c r="AH28" i="2" s="1"/>
  <c r="AP19" i="2"/>
  <c r="AM24" i="2"/>
  <c r="AM35" i="2"/>
  <c r="AP34" i="2"/>
  <c r="AP41" i="2"/>
  <c r="AH29" i="2" l="1"/>
  <c r="AH39" i="2"/>
  <c r="AQ19" i="2"/>
  <c r="AM37" i="2"/>
  <c r="AM25" i="2"/>
  <c r="AM42" i="2" s="1"/>
  <c r="AN24" i="2"/>
  <c r="AN25" i="2" s="1"/>
  <c r="AN42" i="2" s="1"/>
  <c r="AN35" i="2"/>
  <c r="AQ34" i="2"/>
  <c r="AH44" i="2" l="1"/>
  <c r="AI26" i="2"/>
  <c r="AI27" i="2" s="1"/>
  <c r="AQ41" i="2"/>
  <c r="AO24" i="2"/>
  <c r="AO35" i="2"/>
  <c r="AN37" i="2"/>
  <c r="AI28" i="2" l="1"/>
  <c r="AI39" i="2" s="1"/>
  <c r="AO37" i="2"/>
  <c r="AO25" i="2"/>
  <c r="AO42" i="2" s="1"/>
  <c r="AP24" i="2"/>
  <c r="AP35" i="2"/>
  <c r="AI29" i="2" l="1"/>
  <c r="AP37" i="2"/>
  <c r="AP25" i="2"/>
  <c r="AP42" i="2" s="1"/>
  <c r="AQ35" i="2"/>
  <c r="AQ24" i="2"/>
  <c r="AI44" i="2" l="1"/>
  <c r="AJ26" i="2"/>
  <c r="AJ27" i="2" s="1"/>
  <c r="AQ37" i="2"/>
  <c r="AQ25" i="2"/>
  <c r="AQ42" i="2" s="1"/>
  <c r="AJ28" i="2" l="1"/>
  <c r="AJ39" i="2" s="1"/>
  <c r="AJ29" i="2" l="1"/>
  <c r="AJ44" i="2" s="1"/>
  <c r="AK26" i="2"/>
  <c r="AK27" i="2" s="1"/>
  <c r="AK28" i="2" l="1"/>
  <c r="AK39" i="2" s="1"/>
  <c r="AK29" i="2" l="1"/>
  <c r="AK44" i="2" s="1"/>
  <c r="AL26" i="2"/>
  <c r="AL27" i="2" s="1"/>
  <c r="AL28" i="2" s="1"/>
  <c r="AL29" i="2" l="1"/>
  <c r="AL44" i="2" s="1"/>
  <c r="AL39" i="2"/>
  <c r="AM26" i="2" l="1"/>
  <c r="AM27" i="2" s="1"/>
  <c r="AM28" i="2" l="1"/>
  <c r="AM39" i="2" s="1"/>
  <c r="AM29" i="2" l="1"/>
  <c r="AM44" i="2" s="1"/>
  <c r="AN26" i="2" s="1"/>
  <c r="AN27" i="2" s="1"/>
  <c r="AN28" i="2" l="1"/>
  <c r="AN39" i="2" s="1"/>
  <c r="AN29" i="2" l="1"/>
  <c r="AN44" i="2" s="1"/>
  <c r="AO26" i="2" s="1"/>
  <c r="AO27" i="2" s="1"/>
  <c r="AO28" i="2" l="1"/>
  <c r="AO39" i="2" s="1"/>
  <c r="AO29" i="2" l="1"/>
  <c r="AO44" i="2" s="1"/>
  <c r="AP26" i="2" s="1"/>
  <c r="AP27" i="2" s="1"/>
  <c r="AP28" i="2" s="1"/>
  <c r="AP29" i="2" l="1"/>
  <c r="AP44" i="2" s="1"/>
  <c r="AP39" i="2"/>
  <c r="AQ26" i="2" l="1"/>
  <c r="AQ27" i="2" s="1"/>
  <c r="AQ28" i="2" l="1"/>
  <c r="AQ39" i="2" s="1"/>
  <c r="AQ29" i="2" l="1"/>
  <c r="AQ44" i="2" l="1"/>
  <c r="AR29" i="2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AU44" i="2" s="1"/>
  <c r="AU46" i="2" s="1"/>
  <c r="AU4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Angelo Wong</author>
    <author>Bobby S</author>
  </authors>
  <commentList>
    <comment ref="F3" authorId="0" shapeId="0" xr:uid="{F5E31D72-710C-B54E-A71B-53E4259DD75C}">
      <text>
        <r>
          <rPr>
            <b/>
            <sz val="10"/>
            <color rgb="FF000000"/>
            <rFont val="Tahoma"/>
            <family val="2"/>
          </rPr>
          <t>earnings call: 3-5-10 year growth optimisim. due to industrial and automotive.</t>
        </r>
      </text>
    </comment>
    <comment ref="H3" authorId="0" shapeId="0" xr:uid="{6D4B796F-47AF-204D-9578-EEE1D4CBFC19}">
      <text>
        <r>
          <rPr>
            <b/>
            <sz val="10"/>
            <color rgb="FF000000"/>
            <rFont val="Tahoma"/>
            <family val="2"/>
          </rPr>
          <t>14bn debt about 3.8% coupon</t>
        </r>
      </text>
    </comment>
    <comment ref="AD3" authorId="0" shapeId="0" xr:uid="{831BEFDB-5677-E84A-8197-6F77E900F083}">
      <text>
        <r>
          <rPr>
            <b/>
            <sz val="10"/>
            <color rgb="FF000000"/>
            <rFont val="Tahoma"/>
            <family val="2"/>
          </rPr>
          <t xml:space="preserve">Elevated capex cycle ends
</t>
        </r>
        <r>
          <rPr>
            <sz val="10"/>
            <color rgb="FF000000"/>
            <rFont val="Tahoma"/>
            <family val="2"/>
          </rPr>
          <t>1.8-2bn in depr 2025. another 2.3-2.7bn in depr</t>
        </r>
      </text>
    </comment>
    <comment ref="O18" authorId="0" shapeId="0" xr:uid="{3F02FF4A-9AB4-F34B-9764-5D12388062A8}">
      <text>
        <r>
          <rPr>
            <b/>
            <sz val="10"/>
            <color rgb="FF000000"/>
            <rFont val="Tahoma"/>
            <family val="2"/>
          </rPr>
          <t>3.74-4.06b</t>
        </r>
      </text>
    </comment>
    <comment ref="AB47" authorId="1" shapeId="0" xr:uid="{AAEFD2EF-7D35-43AE-B470-C5E3C8C047F2}">
      <text>
        <r>
          <rPr>
            <b/>
            <sz val="9"/>
            <color indexed="81"/>
            <rFont val="Tahoma"/>
            <charset val="1"/>
          </rPr>
          <t>Bobby S:</t>
        </r>
        <r>
          <rPr>
            <sz val="9"/>
            <color indexed="81"/>
            <rFont val="Tahoma"/>
            <charset val="1"/>
          </rPr>
          <t xml:space="preserve">
capex around 5bn, 2-5bn 2026 capex</t>
        </r>
      </text>
    </comment>
  </commentList>
</comments>
</file>

<file path=xl/sharedStrings.xml><?xml version="1.0" encoding="utf-8"?>
<sst xmlns="http://schemas.openxmlformats.org/spreadsheetml/2006/main" count="118" uniqueCount="107">
  <si>
    <t>Price</t>
  </si>
  <si>
    <t>Shares</t>
  </si>
  <si>
    <t>MC</t>
  </si>
  <si>
    <t>Cash</t>
  </si>
  <si>
    <t>Debt</t>
  </si>
  <si>
    <t>EV</t>
  </si>
  <si>
    <t>Q424</t>
  </si>
  <si>
    <t>Net Cash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</si>
  <si>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</si>
  <si>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</si>
  <si>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</si>
  <si>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</si>
  <si>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</si>
  <si>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</si>
  <si>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</si>
  <si>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</si>
  <si>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</si>
  <si>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</si>
  <si>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</si>
  <si>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</si>
  <si>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Q125</t>
  </si>
  <si>
    <t>Q225</t>
  </si>
  <si>
    <t>Q325</t>
  </si>
  <si>
    <t>Q425</t>
  </si>
  <si>
    <t>COGs</t>
  </si>
  <si>
    <t>Gross Profit</t>
  </si>
  <si>
    <t>R&amp;D</t>
  </si>
  <si>
    <t>SG&amp;A</t>
  </si>
  <si>
    <t>Restructuring</t>
  </si>
  <si>
    <t>OpEx</t>
  </si>
  <si>
    <t>Op Income</t>
  </si>
  <si>
    <t>Interest Income</t>
  </si>
  <si>
    <t>Pretax Income</t>
  </si>
  <si>
    <t>Taxes</t>
  </si>
  <si>
    <t>Net Income</t>
  </si>
  <si>
    <t>EPS</t>
  </si>
  <si>
    <t>Segments</t>
  </si>
  <si>
    <t>Industrial</t>
  </si>
  <si>
    <t>Automotive</t>
  </si>
  <si>
    <t>Personal Electronics</t>
  </si>
  <si>
    <t>Enterprise</t>
  </si>
  <si>
    <t>Communications</t>
  </si>
  <si>
    <t>Others / Calculators</t>
  </si>
  <si>
    <t>Description</t>
  </si>
  <si>
    <t>Automation, medical, defense, robotics, power delivery, test, appliances</t>
  </si>
  <si>
    <t>Infotainment, ADAS, hybrid/electric powertrain, lighting, passive safety</t>
  </si>
  <si>
    <t>Phones, Notebook,s tablets, gaming, data storage, TV, home theatres</t>
  </si>
  <si>
    <t>Enterprise computing, data center, enterprise projectors/machines</t>
  </si>
  <si>
    <t>Wireless infra, wired networking, broadband</t>
  </si>
  <si>
    <t>Product Breakdowns</t>
  </si>
  <si>
    <t>Analog</t>
  </si>
  <si>
    <t>% Revenue</t>
  </si>
  <si>
    <t>Analog chips for industrial, auto, personal electronics. Broken down into power - power management AC/DC switching/regulators. And signal chain: amplifiers, data converters, interface products/logic/sensing products.</t>
  </si>
  <si>
    <t>Embedded Processing</t>
  </si>
  <si>
    <t>Customers spend R&amp;D to interface with TI's embedded processors; more sticky.</t>
  </si>
  <si>
    <t>Other</t>
  </si>
  <si>
    <t>Calculators, DLP products, and custom ASICs</t>
  </si>
  <si>
    <t>Revenue Growth</t>
  </si>
  <si>
    <t>R&amp;D Growth</t>
  </si>
  <si>
    <t>SG&amp;A Growth</t>
  </si>
  <si>
    <t>Gross Margin</t>
  </si>
  <si>
    <t>Operating Margin</t>
  </si>
  <si>
    <t>Reported NI</t>
  </si>
  <si>
    <t>Model NI</t>
  </si>
  <si>
    <t>Important events</t>
  </si>
  <si>
    <t>2023 Apr 1 new CEO</t>
  </si>
  <si>
    <t>Haviv Ilan</t>
  </si>
  <si>
    <t>Led analog signal chain business. 21y in TI</t>
  </si>
  <si>
    <t>Analog Revenue</t>
  </si>
  <si>
    <t>Embedded Operating Profit</t>
  </si>
  <si>
    <t>Analog Operating Profit</t>
  </si>
  <si>
    <t>Embedded Revenue</t>
  </si>
  <si>
    <t>Analog OM%</t>
  </si>
  <si>
    <t>Embedded OM%</t>
  </si>
  <si>
    <t>Analog Revenue Growth</t>
  </si>
  <si>
    <t>Embedded Revenue Growth</t>
  </si>
  <si>
    <t>A lot of capex for plants in LFAB / Lehi, and Sherman 1 and 2</t>
  </si>
  <si>
    <t>Many peak to trough convos. Not a lot of tech/product info. A lot of deprecation/accounting talk but not so much about offerings</t>
  </si>
  <si>
    <t>China growing, but major risk of end mkt being too competitive over time.</t>
  </si>
  <si>
    <t>Depreciation</t>
  </si>
  <si>
    <t>Amortization</t>
  </si>
  <si>
    <t>SBC</t>
  </si>
  <si>
    <t>Gains on sales</t>
  </si>
  <si>
    <t>D/T</t>
  </si>
  <si>
    <t>A/R</t>
  </si>
  <si>
    <t>Inventory</t>
  </si>
  <si>
    <t>Prepaids</t>
  </si>
  <si>
    <t>A/P</t>
  </si>
  <si>
    <t>Accured Compensation</t>
  </si>
  <si>
    <t>Taxes Payable</t>
  </si>
  <si>
    <t>Retirement Plans</t>
  </si>
  <si>
    <t>CFFO</t>
  </si>
  <si>
    <t>Capex</t>
  </si>
  <si>
    <t>CFFI</t>
  </si>
  <si>
    <t>FCF</t>
  </si>
  <si>
    <t>CFFF</t>
  </si>
  <si>
    <t>Cash Flow</t>
  </si>
  <si>
    <t>Cash end of period</t>
  </si>
  <si>
    <t>Opex Growth</t>
  </si>
  <si>
    <t>ROIC</t>
  </si>
  <si>
    <t>Maturity</t>
  </si>
  <si>
    <t>Discount Rate</t>
  </si>
  <si>
    <t>NPV</t>
  </si>
  <si>
    <t>Spot</t>
  </si>
  <si>
    <t>Difference</t>
  </si>
  <si>
    <t>Misc Revenue</t>
  </si>
  <si>
    <t>Misc 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</si>
</sst>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7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0</xdr:row>
      <xdr:rowOff>165100</xdr:rowOff>
    </xdr:from>
    <xdr:to>
      <xdr:col>14</xdr:col>
      <xdr:colOff>25400</xdr:colOff>
      <xdr:row>68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1997E56-2621-68BE-61EA-3AB6219C9709}"/>
            </a:ext>
          </a:extLst>
        </xdr:cNvPr>
        <xdr:cNvCxnSpPr/>
      </xdr:nvCxnSpPr>
      <xdr:spPr>
        <a:xfrm>
          <a:off x="11582400" y="165100"/>
          <a:ext cx="0" cy="10617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25400</xdr:colOff>
      <xdr:row>0</xdr:row>
      <xdr:rowOff>63500</xdr:rowOff>
    </xdr:from>
    <xdr:to>
      <xdr:col>27</xdr:col>
      <xdr:colOff>25400</xdr:colOff>
      <xdr:row>67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FBC84F5-529E-2E44-8085-74A7D49C22EB}"/>
            </a:ext>
          </a:extLst>
        </xdr:cNvPr>
        <xdr:cNvCxnSpPr/>
      </xdr:nvCxnSpPr>
      <xdr:spPr>
        <a:xfrm>
          <a:off x="20662900" y="63500"/>
          <a:ext cx="0" cy="10617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51D5-CDCF-3749-AFFE-BDD596791B19}">
  <dimension ref="B3:M26"/>
  <sheetViews>
    <sheetView workbookViewId="0">
      <selection activeCell="L12" sqref="L12"/>
    </sheetView>
  </sheetViews>
  <sheetFormatPr defaultColWidth="11" defaultRowHeight="15.75" x14ac:dyDescent="0.5"/>
  <cols>
    <col min="2" max="2" width="18.3125" bestFit="1" customWidth="1"/>
  </cols>
  <sheetData>
    <row r="3" spans="2:13" x14ac:dyDescent="0.5">
      <c r="B3" s="5" t="s">
        <v>36</v>
      </c>
      <c r="C3" s="5" t="s">
        <v>51</v>
      </c>
      <c r="D3" s="5" t="s">
        <v>43</v>
      </c>
      <c r="K3" t="s">
        <v>0</v>
      </c>
      <c r="L3">
        <v>176.92</v>
      </c>
    </row>
    <row r="4" spans="2:13" x14ac:dyDescent="0.5">
      <c r="B4" t="s">
        <v>37</v>
      </c>
      <c r="C4" s="4">
        <v>0.34</v>
      </c>
      <c r="D4" t="s">
        <v>44</v>
      </c>
      <c r="K4" t="s">
        <v>1</v>
      </c>
      <c r="L4" s="1">
        <v>910.33199999999999</v>
      </c>
      <c r="M4" t="s">
        <v>6</v>
      </c>
    </row>
    <row r="5" spans="2:13" x14ac:dyDescent="0.5">
      <c r="B5" t="s">
        <v>38</v>
      </c>
      <c r="C5" s="4">
        <v>0.35</v>
      </c>
      <c r="D5" t="s">
        <v>45</v>
      </c>
      <c r="K5" t="s">
        <v>2</v>
      </c>
      <c r="L5" s="1">
        <f>+L3*L4</f>
        <v>161055.93743999998</v>
      </c>
    </row>
    <row r="6" spans="2:13" x14ac:dyDescent="0.5">
      <c r="B6" t="s">
        <v>39</v>
      </c>
      <c r="C6" s="4">
        <v>0.2</v>
      </c>
      <c r="D6" t="s">
        <v>46</v>
      </c>
      <c r="K6" t="s">
        <v>3</v>
      </c>
      <c r="L6" s="1">
        <f>3200+4380</f>
        <v>7580</v>
      </c>
      <c r="M6" t="s">
        <v>6</v>
      </c>
    </row>
    <row r="7" spans="2:13" x14ac:dyDescent="0.5">
      <c r="B7" t="s">
        <v>40</v>
      </c>
      <c r="C7" s="4">
        <v>0.05</v>
      </c>
      <c r="D7" t="s">
        <v>47</v>
      </c>
      <c r="K7" t="s">
        <v>4</v>
      </c>
      <c r="L7" s="1">
        <f>750+12846</f>
        <v>13596</v>
      </c>
      <c r="M7" t="s">
        <v>6</v>
      </c>
    </row>
    <row r="8" spans="2:13" x14ac:dyDescent="0.5">
      <c r="B8" t="s">
        <v>41</v>
      </c>
      <c r="C8" s="4">
        <v>0.04</v>
      </c>
      <c r="D8" t="s">
        <v>48</v>
      </c>
      <c r="K8" t="s">
        <v>5</v>
      </c>
      <c r="L8" s="1">
        <f>+L5-L6+L7</f>
        <v>167071.93743999998</v>
      </c>
    </row>
    <row r="9" spans="2:13" x14ac:dyDescent="0.5">
      <c r="B9" t="s">
        <v>42</v>
      </c>
      <c r="C9" s="4">
        <v>0.02</v>
      </c>
    </row>
    <row r="10" spans="2:13" x14ac:dyDescent="0.5">
      <c r="K10" t="s">
        <v>7</v>
      </c>
      <c r="L10" s="1">
        <f>+L6-L7</f>
        <v>-6016</v>
      </c>
    </row>
    <row r="15" spans="2:13" x14ac:dyDescent="0.5">
      <c r="B15" s="6" t="s">
        <v>49</v>
      </c>
      <c r="C15" s="5" t="s">
        <v>51</v>
      </c>
      <c r="D15" s="5" t="s">
        <v>43</v>
      </c>
    </row>
    <row r="16" spans="2:13" x14ac:dyDescent="0.5">
      <c r="B16" t="s">
        <v>50</v>
      </c>
      <c r="C16" s="4">
        <v>0.78</v>
      </c>
      <c r="D16" t="s">
        <v>52</v>
      </c>
    </row>
    <row r="17" spans="2:4" x14ac:dyDescent="0.5">
      <c r="B17" t="s">
        <v>53</v>
      </c>
      <c r="C17" s="4">
        <v>0.16</v>
      </c>
      <c r="D17" t="s">
        <v>54</v>
      </c>
    </row>
    <row r="18" spans="2:4" x14ac:dyDescent="0.5">
      <c r="B18" t="s">
        <v>55</v>
      </c>
      <c r="D18" t="s">
        <v>56</v>
      </c>
    </row>
    <row r="21" spans="2:4" x14ac:dyDescent="0.5">
      <c r="B21" s="6" t="s">
        <v>64</v>
      </c>
    </row>
    <row r="22" spans="2:4" x14ac:dyDescent="0.5">
      <c r="B22" t="s">
        <v>65</v>
      </c>
      <c r="C22" t="s">
        <v>66</v>
      </c>
      <c r="D22" t="s">
        <v>67</v>
      </c>
    </row>
    <row r="24" spans="2:4" x14ac:dyDescent="0.5">
      <c r="B24" t="s">
        <v>76</v>
      </c>
    </row>
    <row r="25" spans="2:4" x14ac:dyDescent="0.5">
      <c r="B25" t="s">
        <v>78</v>
      </c>
    </row>
    <row r="26" spans="2:4" x14ac:dyDescent="0.5">
      <c r="B2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502-4445-8347-BFB4-E1F858ED77FF}">
  <dimension ref="B3:DU77"/>
  <sheetViews>
    <sheetView tabSelected="1" zoomScale="85" zoomScaleNormal="85" workbookViewId="0">
      <pane xSplit="2" ySplit="3" topLeftCell="AD4" activePane="bottomRight" state="frozen"/>
      <selection pane="topRight" activeCell="C1" sqref="C1"/>
      <selection pane="bottomLeft" activeCell="A4" sqref="A4"/>
      <selection pane="bottomRight" activeCell="AG41" sqref="AG41"/>
    </sheetView>
  </sheetViews>
  <sheetFormatPr defaultColWidth="11" defaultRowHeight="15.75" x14ac:dyDescent="0.5"/>
  <cols>
    <col min="2" max="2" width="23" bestFit="1" customWidth="1"/>
  </cols>
  <sheetData>
    <row r="3" spans="2:43" s="2" customFormat="1" x14ac:dyDescent="0.5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6</v>
      </c>
      <c r="O3" s="2" t="s">
        <v>20</v>
      </c>
      <c r="P3" s="2" t="s">
        <v>21</v>
      </c>
      <c r="Q3" s="2" t="s">
        <v>22</v>
      </c>
      <c r="R3" s="2" t="s">
        <v>23</v>
      </c>
      <c r="V3" s="2">
        <v>2019</v>
      </c>
      <c r="W3" s="2">
        <f>+V3+1</f>
        <v>2020</v>
      </c>
      <c r="X3" s="2">
        <f t="shared" ref="X3:AQ3" si="0">+W3+1</f>
        <v>2021</v>
      </c>
      <c r="Y3" s="2">
        <f t="shared" si="0"/>
        <v>2022</v>
      </c>
      <c r="Z3" s="2">
        <f t="shared" si="0"/>
        <v>2023</v>
      </c>
      <c r="AA3" s="2">
        <f t="shared" si="0"/>
        <v>2024</v>
      </c>
      <c r="AB3" s="2">
        <f t="shared" si="0"/>
        <v>2025</v>
      </c>
      <c r="AC3" s="2">
        <f t="shared" si="0"/>
        <v>2026</v>
      </c>
      <c r="AD3" s="2">
        <f t="shared" si="0"/>
        <v>2027</v>
      </c>
      <c r="AE3" s="2">
        <f t="shared" si="0"/>
        <v>2028</v>
      </c>
      <c r="AF3" s="2">
        <f t="shared" si="0"/>
        <v>2029</v>
      </c>
      <c r="AG3" s="2">
        <f t="shared" si="0"/>
        <v>2030</v>
      </c>
      <c r="AH3" s="2">
        <f t="shared" si="0"/>
        <v>2031</v>
      </c>
      <c r="AI3" s="2">
        <f t="shared" si="0"/>
        <v>2032</v>
      </c>
      <c r="AJ3" s="2">
        <f t="shared" si="0"/>
        <v>2033</v>
      </c>
      <c r="AK3" s="2">
        <f t="shared" si="0"/>
        <v>2034</v>
      </c>
      <c r="AL3" s="2">
        <f t="shared" si="0"/>
        <v>2035</v>
      </c>
      <c r="AM3" s="2">
        <f t="shared" si="0"/>
        <v>2036</v>
      </c>
      <c r="AN3" s="2">
        <f t="shared" si="0"/>
        <v>2037</v>
      </c>
      <c r="AO3" s="2">
        <f t="shared" si="0"/>
        <v>2038</v>
      </c>
      <c r="AP3" s="2">
        <f t="shared" si="0"/>
        <v>2039</v>
      </c>
      <c r="AQ3" s="2">
        <f t="shared" si="0"/>
        <v>2040</v>
      </c>
    </row>
    <row r="4" spans="2:43" s="7" customFormat="1" x14ac:dyDescent="0.5">
      <c r="B4" s="7" t="s">
        <v>68</v>
      </c>
      <c r="C4" s="7">
        <v>3280</v>
      </c>
      <c r="D4" s="7">
        <v>3464</v>
      </c>
      <c r="E4" s="7">
        <v>3548</v>
      </c>
      <c r="F4" s="7">
        <v>3758</v>
      </c>
      <c r="G4" s="7">
        <v>3289</v>
      </c>
      <c r="H4" s="7">
        <v>3278</v>
      </c>
      <c r="I4" s="7">
        <v>3353</v>
      </c>
      <c r="J4" s="7">
        <v>3120</v>
      </c>
      <c r="K4" s="7">
        <v>2836</v>
      </c>
      <c r="L4" s="7">
        <v>2928</v>
      </c>
      <c r="M4" s="7">
        <v>3223</v>
      </c>
      <c r="N4" s="7">
        <v>3174</v>
      </c>
      <c r="V4" s="7">
        <v>10223</v>
      </c>
      <c r="W4" s="7">
        <v>10886</v>
      </c>
      <c r="X4" s="7">
        <v>14050</v>
      </c>
      <c r="Y4" s="7">
        <f>SUM(C4:F4)</f>
        <v>14050</v>
      </c>
      <c r="Z4" s="7">
        <v>13040</v>
      </c>
      <c r="AA4" s="7">
        <v>12161</v>
      </c>
    </row>
    <row r="5" spans="2:43" s="7" customFormat="1" x14ac:dyDescent="0.5">
      <c r="B5" s="7" t="s">
        <v>71</v>
      </c>
      <c r="C5" s="7">
        <v>767</v>
      </c>
      <c r="D5" s="7">
        <v>780</v>
      </c>
      <c r="E5" s="7">
        <v>738</v>
      </c>
      <c r="F5" s="7">
        <v>764</v>
      </c>
      <c r="G5" s="7">
        <v>832</v>
      </c>
      <c r="H5" s="7">
        <v>894</v>
      </c>
      <c r="I5" s="7">
        <v>890</v>
      </c>
      <c r="J5" s="7">
        <v>752</v>
      </c>
      <c r="K5" s="7">
        <v>652</v>
      </c>
      <c r="L5" s="7">
        <v>615</v>
      </c>
      <c r="M5" s="7">
        <v>653</v>
      </c>
      <c r="N5" s="7">
        <v>613</v>
      </c>
      <c r="V5" s="7">
        <v>2943</v>
      </c>
      <c r="W5" s="7">
        <v>2570</v>
      </c>
      <c r="X5" s="7">
        <v>3049</v>
      </c>
      <c r="Y5" s="7">
        <f t="shared" ref="Y5:Y7" si="1">SUM(C5:F5)</f>
        <v>3049</v>
      </c>
      <c r="Z5" s="7">
        <v>3368</v>
      </c>
      <c r="AA5" s="7">
        <v>2533</v>
      </c>
    </row>
    <row r="6" spans="2:43" s="7" customFormat="1" x14ac:dyDescent="0.5">
      <c r="B6" s="7" t="s">
        <v>70</v>
      </c>
      <c r="C6" s="7">
        <v>1646</v>
      </c>
      <c r="D6" s="7">
        <v>1778</v>
      </c>
      <c r="E6" s="7">
        <v>1871</v>
      </c>
      <c r="F6" s="7">
        <v>2098</v>
      </c>
      <c r="G6" s="7">
        <v>1574</v>
      </c>
      <c r="H6" s="7">
        <v>1463</v>
      </c>
      <c r="I6" s="7">
        <v>1504</v>
      </c>
      <c r="J6" s="7">
        <v>1280</v>
      </c>
      <c r="K6" s="7">
        <v>1008</v>
      </c>
      <c r="L6" s="7">
        <v>1047</v>
      </c>
      <c r="M6" s="7">
        <v>1316</v>
      </c>
      <c r="N6" s="7">
        <v>1237</v>
      </c>
      <c r="V6" s="7">
        <v>4477</v>
      </c>
      <c r="W6" s="7">
        <v>4912</v>
      </c>
      <c r="X6" s="7">
        <v>7393</v>
      </c>
      <c r="Y6" s="7">
        <f t="shared" si="1"/>
        <v>7393</v>
      </c>
      <c r="Z6" s="7">
        <v>5821</v>
      </c>
      <c r="AA6" s="7">
        <v>4608</v>
      </c>
    </row>
    <row r="7" spans="2:43" s="7" customFormat="1" x14ac:dyDescent="0.5">
      <c r="B7" s="7" t="s">
        <v>69</v>
      </c>
      <c r="C7" s="7">
        <v>287</v>
      </c>
      <c r="D7" s="7">
        <v>312</v>
      </c>
      <c r="E7" s="7">
        <v>282</v>
      </c>
      <c r="F7" s="7">
        <v>293</v>
      </c>
      <c r="G7" s="7">
        <v>237</v>
      </c>
      <c r="H7" s="7">
        <v>318</v>
      </c>
      <c r="I7" s="7">
        <v>258</v>
      </c>
      <c r="J7" s="7">
        <v>195</v>
      </c>
      <c r="K7" s="7">
        <v>105</v>
      </c>
      <c r="L7" s="7">
        <v>80</v>
      </c>
      <c r="M7" s="7">
        <v>109</v>
      </c>
      <c r="N7" s="7">
        <v>58</v>
      </c>
      <c r="V7" s="7">
        <v>907</v>
      </c>
      <c r="W7" s="7">
        <v>743</v>
      </c>
      <c r="X7" s="7">
        <v>1174</v>
      </c>
      <c r="Y7" s="7">
        <f t="shared" si="1"/>
        <v>1174</v>
      </c>
      <c r="Z7" s="7">
        <v>1008</v>
      </c>
      <c r="AA7" s="7">
        <v>352</v>
      </c>
    </row>
    <row r="8" spans="2:43" s="7" customFormat="1" x14ac:dyDescent="0.5">
      <c r="B8" s="7" t="s">
        <v>105</v>
      </c>
      <c r="V8" s="7">
        <f>+V18-V4-V5</f>
        <v>1217</v>
      </c>
      <c r="W8" s="7">
        <f>+W18-W4-W5</f>
        <v>1005</v>
      </c>
      <c r="X8" s="7">
        <f>+X18-X4-X5</f>
        <v>1245</v>
      </c>
      <c r="Y8" s="7">
        <f>+Y18-Y4-Y5</f>
        <v>2929</v>
      </c>
      <c r="Z8" s="7">
        <f>+Z18-Z4-Z5</f>
        <v>1111</v>
      </c>
      <c r="AA8" s="7">
        <f>+AA18-AA4-AA5</f>
        <v>947</v>
      </c>
    </row>
    <row r="9" spans="2:43" s="7" customFormat="1" x14ac:dyDescent="0.5"/>
    <row r="10" spans="2:43" s="8" customFormat="1" x14ac:dyDescent="0.5">
      <c r="B10" s="8" t="s">
        <v>106</v>
      </c>
      <c r="W10" s="8">
        <f>+W8/V8-1</f>
        <v>-0.17419884963023824</v>
      </c>
      <c r="X10" s="8">
        <f>+X8/W8-1</f>
        <v>0.23880597014925375</v>
      </c>
      <c r="Y10" s="8">
        <f>+Y8/X8-1</f>
        <v>1.3526104417670681</v>
      </c>
      <c r="Z10" s="8">
        <f>+Z8/Y8-1</f>
        <v>-0.62068965517241381</v>
      </c>
      <c r="AA10" s="8">
        <f>+AA8/Z8-1</f>
        <v>-0.1476147614761476</v>
      </c>
    </row>
    <row r="11" spans="2:43" s="8" customFormat="1" x14ac:dyDescent="0.5">
      <c r="B11" s="8" t="s">
        <v>74</v>
      </c>
      <c r="G11" s="8">
        <f>+G4/C4-1</f>
        <v>2.7439024390243372E-3</v>
      </c>
      <c r="H11" s="8">
        <f>+H4/D4-1</f>
        <v>-5.3695150115473433E-2</v>
      </c>
      <c r="I11" s="8">
        <f>+I4/E4-1</f>
        <v>-5.4960541149943642E-2</v>
      </c>
      <c r="J11" s="8">
        <f>+J4/F4-1</f>
        <v>-0.16977115486961147</v>
      </c>
      <c r="K11" s="8">
        <f>+K4/G4-1</f>
        <v>-0.1377318333840073</v>
      </c>
      <c r="L11" s="8">
        <f>+L4/H4-1</f>
        <v>-0.10677242220866379</v>
      </c>
      <c r="M11" s="8">
        <f>+M4/I4-1</f>
        <v>-3.8771249627199578E-2</v>
      </c>
      <c r="N11" s="8">
        <f>+N4/J4-1</f>
        <v>1.7307692307692246E-2</v>
      </c>
      <c r="W11" s="8">
        <f>+W4/V4-1</f>
        <v>6.485376112687069E-2</v>
      </c>
      <c r="X11" s="8">
        <f>+X4/W4-1</f>
        <v>0.2906485394084144</v>
      </c>
      <c r="Y11" s="8">
        <f>+Y4/X4-1</f>
        <v>0</v>
      </c>
      <c r="Z11" s="8">
        <f>+Z4/Y4-1</f>
        <v>-7.1886120996441316E-2</v>
      </c>
      <c r="AA11" s="8">
        <f>+AA4/Z4-1</f>
        <v>-6.7407975460122671E-2</v>
      </c>
    </row>
    <row r="12" spans="2:43" s="8" customFormat="1" x14ac:dyDescent="0.5">
      <c r="B12" s="8" t="s">
        <v>75</v>
      </c>
      <c r="G12" s="8">
        <f>+G5/C5-1</f>
        <v>8.4745762711864403E-2</v>
      </c>
      <c r="H12" s="8">
        <f>+H5/D5-1</f>
        <v>0.14615384615384608</v>
      </c>
      <c r="I12" s="8">
        <f>+I5/E5-1</f>
        <v>0.20596205962059622</v>
      </c>
      <c r="J12" s="8">
        <f>+J5/F5-1</f>
        <v>-1.5706806282722474E-2</v>
      </c>
      <c r="K12" s="8">
        <f>+K5/G5-1</f>
        <v>-0.21634615384615385</v>
      </c>
      <c r="L12" s="8">
        <f>+L5/H5-1</f>
        <v>-0.31208053691275173</v>
      </c>
      <c r="M12" s="8">
        <f>+M5/I5-1</f>
        <v>-0.26629213483146064</v>
      </c>
      <c r="N12" s="8">
        <f>+N5/J5-1</f>
        <v>-0.18484042553191493</v>
      </c>
      <c r="W12" s="8">
        <f>+W5/V5-1</f>
        <v>-0.12674142031940194</v>
      </c>
      <c r="X12" s="8">
        <f>+X5/W5-1</f>
        <v>0.18638132295719845</v>
      </c>
      <c r="Y12" s="8">
        <f>+Y5/X5-1</f>
        <v>0</v>
      </c>
      <c r="Z12" s="8">
        <f>+Z5/Y5-1</f>
        <v>0.10462446703837314</v>
      </c>
      <c r="AA12" s="8">
        <f>+AA5/Z5-1</f>
        <v>-0.24792161520190026</v>
      </c>
    </row>
    <row r="13" spans="2:43" s="7" customFormat="1" x14ac:dyDescent="0.5"/>
    <row r="14" spans="2:43" s="8" customFormat="1" x14ac:dyDescent="0.5">
      <c r="B14" s="8" t="s">
        <v>72</v>
      </c>
      <c r="C14" s="8">
        <f>+C6/C4</f>
        <v>0.50182926829268293</v>
      </c>
      <c r="D14" s="8">
        <f>+D6/D4</f>
        <v>0.51327944572748263</v>
      </c>
      <c r="E14" s="8">
        <f>+E6/E4</f>
        <v>0.52733934611048483</v>
      </c>
      <c r="F14" s="8">
        <f>+F6/F4</f>
        <v>0.55827567855242155</v>
      </c>
      <c r="G14" s="8">
        <f>+G6/G4</f>
        <v>0.47856491334752205</v>
      </c>
      <c r="H14" s="8">
        <f>+H6/H4</f>
        <v>0.44630872483221479</v>
      </c>
      <c r="I14" s="8">
        <f>+I6/I4</f>
        <v>0.44855353414852372</v>
      </c>
      <c r="J14" s="8">
        <f>+J6/J4</f>
        <v>0.41025641025641024</v>
      </c>
      <c r="K14" s="8">
        <f>+K6/K4</f>
        <v>0.35543018335684062</v>
      </c>
      <c r="L14" s="8">
        <f>+L6/L4</f>
        <v>0.35758196721311475</v>
      </c>
      <c r="M14" s="8">
        <f>+M6/M4</f>
        <v>0.40831523425380079</v>
      </c>
      <c r="N14" s="8">
        <f>+N6/N4</f>
        <v>0.38972904851921863</v>
      </c>
      <c r="V14" s="8">
        <f>+V6/V4</f>
        <v>0.43793407023378655</v>
      </c>
      <c r="W14" s="8">
        <f>+W6/W4</f>
        <v>0.45122175270990261</v>
      </c>
      <c r="X14" s="8">
        <f>+X6/X4</f>
        <v>0.52619217081850533</v>
      </c>
      <c r="Y14" s="8">
        <f>+Y6/Y4</f>
        <v>0.52619217081850533</v>
      </c>
      <c r="Z14" s="8">
        <f>+Z6/Z4</f>
        <v>0.4463957055214724</v>
      </c>
      <c r="AA14" s="8">
        <f>+AA6/AA4</f>
        <v>0.3789162075487213</v>
      </c>
    </row>
    <row r="15" spans="2:43" s="8" customFormat="1" x14ac:dyDescent="0.5">
      <c r="B15" s="8" t="s">
        <v>73</v>
      </c>
      <c r="C15" s="8">
        <f>+C7/C5</f>
        <v>0.37418513689700128</v>
      </c>
      <c r="D15" s="8">
        <f>+D7/D5</f>
        <v>0.4</v>
      </c>
      <c r="E15" s="8">
        <f>+E7/E5</f>
        <v>0.38211382113821141</v>
      </c>
      <c r="F15" s="8">
        <f>+F7/F5</f>
        <v>0.38350785340314136</v>
      </c>
      <c r="G15" s="8">
        <f>+G7/G5</f>
        <v>0.28485576923076922</v>
      </c>
      <c r="H15" s="8">
        <f>+H7/H5</f>
        <v>0.35570469798657717</v>
      </c>
      <c r="I15" s="8">
        <f>+I7/I5</f>
        <v>0.28988764044943821</v>
      </c>
      <c r="J15" s="8">
        <f>+J7/J5</f>
        <v>0.25930851063829785</v>
      </c>
      <c r="K15" s="8">
        <f>+K7/K5</f>
        <v>0.16104294478527606</v>
      </c>
      <c r="L15" s="8">
        <f>+L7/L5</f>
        <v>0.13008130081300814</v>
      </c>
      <c r="M15" s="8">
        <f>+M7/M5</f>
        <v>0.1669218989280245</v>
      </c>
      <c r="N15" s="8">
        <f>+N7/N5</f>
        <v>9.461663947797716E-2</v>
      </c>
      <c r="V15" s="8">
        <f>+V7/V5</f>
        <v>0.30818892286782196</v>
      </c>
      <c r="W15" s="8">
        <f>+W7/W5</f>
        <v>0.28910505836575878</v>
      </c>
      <c r="X15" s="8">
        <f>+X7/X5</f>
        <v>0.38504427681206954</v>
      </c>
      <c r="Y15" s="8">
        <f>+Y7/Y5</f>
        <v>0.38504427681206954</v>
      </c>
      <c r="Z15" s="8">
        <f>+Z7/Z5</f>
        <v>0.29928741092636579</v>
      </c>
      <c r="AA15" s="8">
        <f>+AA7/AA5</f>
        <v>0.13896565337544414</v>
      </c>
    </row>
    <row r="16" spans="2:43" s="2" customFormat="1" x14ac:dyDescent="0.5"/>
    <row r="17" spans="2:125" s="2" customFormat="1" x14ac:dyDescent="0.5"/>
    <row r="18" spans="2:125" s="1" customFormat="1" x14ac:dyDescent="0.5">
      <c r="B18" s="1" t="s">
        <v>8</v>
      </c>
      <c r="C18" s="1">
        <v>4905</v>
      </c>
      <c r="D18" s="1">
        <v>5212</v>
      </c>
      <c r="E18" s="1">
        <v>5241</v>
      </c>
      <c r="F18" s="1">
        <v>4670</v>
      </c>
      <c r="G18" s="1">
        <v>4379</v>
      </c>
      <c r="H18" s="1">
        <v>4531</v>
      </c>
      <c r="I18" s="1">
        <v>4532</v>
      </c>
      <c r="J18" s="1">
        <v>4077</v>
      </c>
      <c r="K18" s="1">
        <v>3661</v>
      </c>
      <c r="L18" s="1">
        <v>3822</v>
      </c>
      <c r="M18" s="1">
        <v>4151</v>
      </c>
      <c r="N18" s="1">
        <v>4007</v>
      </c>
      <c r="O18" s="1">
        <v>3740</v>
      </c>
      <c r="P18" s="1">
        <f>+L18*1.02</f>
        <v>3898.44</v>
      </c>
      <c r="Q18" s="1">
        <f>+M18*1.04</f>
        <v>4317.04</v>
      </c>
      <c r="R18" s="1">
        <f>+N18*1.05</f>
        <v>4207.3500000000004</v>
      </c>
      <c r="V18" s="1">
        <v>14383</v>
      </c>
      <c r="W18" s="1">
        <v>14461</v>
      </c>
      <c r="X18" s="1">
        <v>18344</v>
      </c>
      <c r="Y18" s="1">
        <f>SUM(C18:F18)</f>
        <v>20028</v>
      </c>
      <c r="Z18" s="1">
        <f>SUM(G18:J18)</f>
        <v>17519</v>
      </c>
      <c r="AA18" s="1">
        <f>SUM(K18:N18)</f>
        <v>15641</v>
      </c>
      <c r="AB18" s="1">
        <f>SUM(O18:R18)</f>
        <v>16162.83</v>
      </c>
      <c r="AC18" s="1">
        <f>+AB18*1.03</f>
        <v>16647.714899999999</v>
      </c>
      <c r="AD18" s="1">
        <f t="shared" ref="AD18:AF18" si="2">+AC18*1.1</f>
        <v>18312.486390000002</v>
      </c>
      <c r="AE18" s="1">
        <f t="shared" si="2"/>
        <v>20143.735029000003</v>
      </c>
      <c r="AF18" s="1">
        <f>+AE18*1.1</f>
        <v>22158.108531900005</v>
      </c>
      <c r="AG18" s="1">
        <f t="shared" ref="AG18:AK18" si="3">+AF18*1.05</f>
        <v>23266.013958495005</v>
      </c>
      <c r="AH18" s="1">
        <f t="shared" si="3"/>
        <v>24429.314656419756</v>
      </c>
      <c r="AI18" s="1">
        <f t="shared" si="3"/>
        <v>25650.780389240746</v>
      </c>
      <c r="AJ18" s="1">
        <f t="shared" si="3"/>
        <v>26933.319408702784</v>
      </c>
      <c r="AK18" s="1">
        <f t="shared" ref="AE18:AQ18" si="4">+AJ18*1.02</f>
        <v>27471.985796876841</v>
      </c>
      <c r="AL18" s="1">
        <f t="shared" si="4"/>
        <v>28021.425512814378</v>
      </c>
      <c r="AM18" s="1">
        <f t="shared" si="4"/>
        <v>28581.854023070664</v>
      </c>
      <c r="AN18" s="1">
        <f t="shared" si="4"/>
        <v>29153.491103532077</v>
      </c>
      <c r="AO18" s="1">
        <f t="shared" si="4"/>
        <v>29736.56092560272</v>
      </c>
      <c r="AP18" s="1">
        <f t="shared" si="4"/>
        <v>30331.292144114774</v>
      </c>
      <c r="AQ18" s="1">
        <f t="shared" si="4"/>
        <v>30937.917986997069</v>
      </c>
    </row>
    <row r="19" spans="2:125" s="1" customFormat="1" x14ac:dyDescent="0.5">
      <c r="B19" s="1" t="s">
        <v>24</v>
      </c>
      <c r="C19" s="1">
        <v>1463</v>
      </c>
      <c r="D19" s="1">
        <v>1587</v>
      </c>
      <c r="E19" s="1">
        <v>1624</v>
      </c>
      <c r="F19" s="1">
        <v>1583</v>
      </c>
      <c r="G19" s="1">
        <v>1516</v>
      </c>
      <c r="H19" s="1">
        <v>1621</v>
      </c>
      <c r="I19" s="1">
        <v>1717</v>
      </c>
      <c r="J19" s="1">
        <v>1646</v>
      </c>
      <c r="K19" s="1">
        <v>1566</v>
      </c>
      <c r="L19" s="1">
        <v>1611</v>
      </c>
      <c r="M19" s="1">
        <v>1677</v>
      </c>
      <c r="N19" s="1">
        <v>1693</v>
      </c>
      <c r="O19" s="1">
        <f>+O18-O20</f>
        <v>1496</v>
      </c>
      <c r="P19" s="1">
        <f t="shared" ref="P19:R19" si="5">+P18-P20</f>
        <v>1559.3760000000002</v>
      </c>
      <c r="Q19" s="1">
        <f t="shared" si="5"/>
        <v>1726.8160000000003</v>
      </c>
      <c r="R19" s="1">
        <f t="shared" si="5"/>
        <v>1682.94</v>
      </c>
      <c r="V19" s="1">
        <v>5219</v>
      </c>
      <c r="W19" s="1">
        <v>5192</v>
      </c>
      <c r="X19" s="1">
        <v>5968</v>
      </c>
      <c r="Y19" s="1">
        <f>SUM(C19:F19)</f>
        <v>6257</v>
      </c>
      <c r="Z19" s="1">
        <f>SUM(G19:J19)</f>
        <v>6500</v>
      </c>
      <c r="AA19" s="1">
        <f>SUM(K19:N19)</f>
        <v>6547</v>
      </c>
      <c r="AB19" s="1">
        <f>SUM(O19:R19)</f>
        <v>6465.1320000000014</v>
      </c>
      <c r="AC19" s="1">
        <f>+AC18-AC20</f>
        <v>6659.0859600000003</v>
      </c>
      <c r="AD19" s="1">
        <f t="shared" ref="AD19:AQ19" si="6">+AD18-AD20</f>
        <v>6409.3702365000008</v>
      </c>
      <c r="AE19" s="1">
        <f t="shared" si="6"/>
        <v>7050.3072601500007</v>
      </c>
      <c r="AF19" s="1">
        <f t="shared" si="6"/>
        <v>7755.337986165001</v>
      </c>
      <c r="AG19" s="1">
        <f t="shared" si="6"/>
        <v>8143.1048854732508</v>
      </c>
      <c r="AH19" s="1">
        <f t="shared" si="6"/>
        <v>8550.2601297469137</v>
      </c>
      <c r="AI19" s="1">
        <f t="shared" si="6"/>
        <v>8977.7731362342602</v>
      </c>
      <c r="AJ19" s="1">
        <f t="shared" si="6"/>
        <v>9426.6617930459724</v>
      </c>
      <c r="AK19" s="1">
        <f t="shared" si="6"/>
        <v>9615.1950289068955</v>
      </c>
      <c r="AL19" s="1">
        <f t="shared" si="6"/>
        <v>9807.4989294850311</v>
      </c>
      <c r="AM19" s="1">
        <f t="shared" si="6"/>
        <v>10003.648908074731</v>
      </c>
      <c r="AN19" s="1">
        <f t="shared" si="6"/>
        <v>10203.721886236228</v>
      </c>
      <c r="AO19" s="1">
        <f t="shared" si="6"/>
        <v>10407.796323960953</v>
      </c>
      <c r="AP19" s="1">
        <f t="shared" si="6"/>
        <v>10615.952250440168</v>
      </c>
      <c r="AQ19" s="1">
        <f t="shared" si="6"/>
        <v>10828.271295448973</v>
      </c>
    </row>
    <row r="20" spans="2:125" s="1" customFormat="1" x14ac:dyDescent="0.5">
      <c r="B20" s="1" t="s">
        <v>25</v>
      </c>
      <c r="C20" s="1">
        <f t="shared" ref="C20:N20" si="7">+C18-C19</f>
        <v>3442</v>
      </c>
      <c r="D20" s="1">
        <f t="shared" si="7"/>
        <v>3625</v>
      </c>
      <c r="E20" s="1">
        <f t="shared" si="7"/>
        <v>3617</v>
      </c>
      <c r="F20" s="1">
        <f t="shared" si="7"/>
        <v>3087</v>
      </c>
      <c r="G20" s="1">
        <f t="shared" si="7"/>
        <v>2863</v>
      </c>
      <c r="H20" s="1">
        <f t="shared" si="7"/>
        <v>2910</v>
      </c>
      <c r="I20" s="1">
        <f t="shared" si="7"/>
        <v>2815</v>
      </c>
      <c r="J20" s="1">
        <f t="shared" si="7"/>
        <v>2431</v>
      </c>
      <c r="K20" s="1">
        <f t="shared" si="7"/>
        <v>2095</v>
      </c>
      <c r="L20" s="1">
        <f t="shared" si="7"/>
        <v>2211</v>
      </c>
      <c r="M20" s="1">
        <f t="shared" si="7"/>
        <v>2474</v>
      </c>
      <c r="N20" s="1">
        <f t="shared" si="7"/>
        <v>2314</v>
      </c>
      <c r="O20" s="1">
        <f>+O18*0.6</f>
        <v>2244</v>
      </c>
      <c r="P20" s="1">
        <f t="shared" ref="P20:R20" si="8">+P18*0.6</f>
        <v>2339.0639999999999</v>
      </c>
      <c r="Q20" s="1">
        <f t="shared" si="8"/>
        <v>2590.2239999999997</v>
      </c>
      <c r="R20" s="1">
        <f t="shared" si="8"/>
        <v>2524.4100000000003</v>
      </c>
      <c r="V20" s="1">
        <f t="shared" ref="V20:AB20" si="9">+V18-V19</f>
        <v>9164</v>
      </c>
      <c r="W20" s="1">
        <f t="shared" si="9"/>
        <v>9269</v>
      </c>
      <c r="X20" s="1">
        <f t="shared" si="9"/>
        <v>12376</v>
      </c>
      <c r="Y20" s="1">
        <f t="shared" si="9"/>
        <v>13771</v>
      </c>
      <c r="Z20" s="1">
        <f t="shared" si="9"/>
        <v>11019</v>
      </c>
      <c r="AA20" s="1">
        <f t="shared" si="9"/>
        <v>9094</v>
      </c>
      <c r="AB20" s="1">
        <f t="shared" si="9"/>
        <v>9697.6979999999985</v>
      </c>
      <c r="AC20" s="1">
        <f>0.6*AC18</f>
        <v>9988.6289399999987</v>
      </c>
      <c r="AD20" s="1">
        <f>+AD18*0.65</f>
        <v>11903.116153500001</v>
      </c>
      <c r="AE20" s="1">
        <f t="shared" ref="AE20:AQ20" si="10">+AE18*0.65</f>
        <v>13093.427768850002</v>
      </c>
      <c r="AF20" s="1">
        <f t="shared" si="10"/>
        <v>14402.770545735004</v>
      </c>
      <c r="AG20" s="1">
        <f t="shared" si="10"/>
        <v>15122.909073021754</v>
      </c>
      <c r="AH20" s="1">
        <f t="shared" si="10"/>
        <v>15879.054526672842</v>
      </c>
      <c r="AI20" s="1">
        <f t="shared" si="10"/>
        <v>16673.007253006486</v>
      </c>
      <c r="AJ20" s="1">
        <f t="shared" si="10"/>
        <v>17506.657615656812</v>
      </c>
      <c r="AK20" s="1">
        <f t="shared" si="10"/>
        <v>17856.790767969946</v>
      </c>
      <c r="AL20" s="1">
        <f t="shared" si="10"/>
        <v>18213.926583329347</v>
      </c>
      <c r="AM20" s="1">
        <f t="shared" si="10"/>
        <v>18578.205114995933</v>
      </c>
      <c r="AN20" s="1">
        <f t="shared" si="10"/>
        <v>18949.769217295849</v>
      </c>
      <c r="AO20" s="1">
        <f t="shared" si="10"/>
        <v>19328.764601641768</v>
      </c>
      <c r="AP20" s="1">
        <f t="shared" si="10"/>
        <v>19715.339893674605</v>
      </c>
      <c r="AQ20" s="1">
        <f t="shared" si="10"/>
        <v>20109.646691548096</v>
      </c>
    </row>
    <row r="21" spans="2:125" s="1" customFormat="1" x14ac:dyDescent="0.5">
      <c r="B21" s="1" t="s">
        <v>26</v>
      </c>
      <c r="C21" s="1">
        <v>391</v>
      </c>
      <c r="D21" s="1">
        <v>414</v>
      </c>
      <c r="E21" s="1">
        <v>431</v>
      </c>
      <c r="F21" s="1">
        <v>434</v>
      </c>
      <c r="G21" s="1">
        <v>455</v>
      </c>
      <c r="H21" s="1">
        <v>477</v>
      </c>
      <c r="I21" s="1">
        <v>471</v>
      </c>
      <c r="J21" s="1">
        <v>460</v>
      </c>
      <c r="K21" s="1">
        <v>478</v>
      </c>
      <c r="L21" s="1">
        <v>498</v>
      </c>
      <c r="M21" s="1">
        <v>492</v>
      </c>
      <c r="N21" s="1">
        <v>491</v>
      </c>
      <c r="O21" s="1">
        <f>+K21*1.06</f>
        <v>506.68</v>
      </c>
      <c r="P21" s="1">
        <f>+L21*1.03</f>
        <v>512.94000000000005</v>
      </c>
      <c r="Q21" s="1">
        <f t="shared" ref="Q21:R21" si="11">+M21*1.03</f>
        <v>506.76</v>
      </c>
      <c r="R21" s="1">
        <f t="shared" si="11"/>
        <v>505.73</v>
      </c>
      <c r="V21" s="1">
        <v>1544</v>
      </c>
      <c r="W21" s="1">
        <v>1530</v>
      </c>
      <c r="X21" s="1">
        <v>1554</v>
      </c>
      <c r="Y21" s="1">
        <f>SUM(C21:F21)</f>
        <v>1670</v>
      </c>
      <c r="Z21" s="1">
        <f>SUM(G21:J21)</f>
        <v>1863</v>
      </c>
      <c r="AA21" s="1">
        <f>SUM(K21:N21)</f>
        <v>1959</v>
      </c>
      <c r="AB21" s="1">
        <f>SUM(O21:R21)</f>
        <v>2032.1100000000001</v>
      </c>
      <c r="AC21" s="1">
        <f>+AB21*1.05</f>
        <v>2133.7155000000002</v>
      </c>
      <c r="AD21" s="1">
        <f t="shared" ref="AD21:AH21" si="12">+AC21*1.05</f>
        <v>2240.4012750000002</v>
      </c>
      <c r="AE21" s="1">
        <f>+AD21*1.02</f>
        <v>2285.2093005000002</v>
      </c>
      <c r="AF21" s="1">
        <f t="shared" ref="AF21:AQ21" si="13">+AE21*1.02</f>
        <v>2330.91348651</v>
      </c>
      <c r="AG21" s="1">
        <f t="shared" si="13"/>
        <v>2377.5317562402001</v>
      </c>
      <c r="AH21" s="1">
        <f t="shared" si="13"/>
        <v>2425.0823913650042</v>
      </c>
      <c r="AI21" s="1">
        <f t="shared" si="13"/>
        <v>2473.5840391923043</v>
      </c>
      <c r="AJ21" s="1">
        <f t="shared" si="13"/>
        <v>2523.0557199761506</v>
      </c>
      <c r="AK21" s="1">
        <f t="shared" si="13"/>
        <v>2573.5168343756736</v>
      </c>
      <c r="AL21" s="1">
        <f t="shared" si="13"/>
        <v>2624.9871710631874</v>
      </c>
      <c r="AM21" s="1">
        <f>+AL21*0.98</f>
        <v>2572.4874276419237</v>
      </c>
      <c r="AN21" s="1">
        <f t="shared" ref="AN21:AQ21" si="14">+AM21*0.98</f>
        <v>2521.037679089085</v>
      </c>
      <c r="AO21" s="1">
        <f t="shared" si="14"/>
        <v>2470.6169255073032</v>
      </c>
      <c r="AP21" s="1">
        <f t="shared" si="14"/>
        <v>2421.2045869971571</v>
      </c>
      <c r="AQ21" s="1">
        <f t="shared" si="14"/>
        <v>2372.7804952572137</v>
      </c>
    </row>
    <row r="22" spans="2:125" s="1" customFormat="1" x14ac:dyDescent="0.5">
      <c r="B22" s="1" t="s">
        <v>27</v>
      </c>
      <c r="C22" s="1">
        <v>422</v>
      </c>
      <c r="D22" s="1">
        <v>422</v>
      </c>
      <c r="E22" s="1">
        <v>431</v>
      </c>
      <c r="F22" s="1">
        <v>429</v>
      </c>
      <c r="G22" s="1">
        <v>474</v>
      </c>
      <c r="H22" s="1">
        <v>461</v>
      </c>
      <c r="I22" s="1">
        <v>452</v>
      </c>
      <c r="J22" s="1">
        <v>438</v>
      </c>
      <c r="K22" s="1">
        <v>455</v>
      </c>
      <c r="L22" s="1">
        <v>465</v>
      </c>
      <c r="M22" s="1">
        <v>428</v>
      </c>
      <c r="N22" s="1">
        <v>446</v>
      </c>
      <c r="O22" s="1">
        <f>+K22*1.01</f>
        <v>459.55</v>
      </c>
      <c r="P22" s="1">
        <f t="shared" ref="P22:R22" si="15">+L22*1.01</f>
        <v>469.65</v>
      </c>
      <c r="Q22" s="1">
        <f t="shared" si="15"/>
        <v>432.28000000000003</v>
      </c>
      <c r="R22" s="1">
        <f t="shared" si="15"/>
        <v>450.46</v>
      </c>
      <c r="V22" s="1">
        <v>1645</v>
      </c>
      <c r="W22" s="1">
        <v>1623</v>
      </c>
      <c r="X22" s="1">
        <v>1666</v>
      </c>
      <c r="Y22" s="1">
        <f>SUM(C22:F22)</f>
        <v>1704</v>
      </c>
      <c r="Z22" s="1">
        <f>SUM(G22:J22)</f>
        <v>1825</v>
      </c>
      <c r="AA22" s="1">
        <f>SUM(K22:N22)</f>
        <v>1794</v>
      </c>
      <c r="AB22" s="1">
        <f>SUM(O22:R22)</f>
        <v>1811.94</v>
      </c>
      <c r="AC22" s="1">
        <f>+AB22*1.01</f>
        <v>1830.0594000000001</v>
      </c>
      <c r="AD22" s="1">
        <f t="shared" ref="AD22:AH22" si="16">+AC22*1.01</f>
        <v>1848.3599940000001</v>
      </c>
      <c r="AE22" s="1">
        <f t="shared" si="16"/>
        <v>1866.8435939400001</v>
      </c>
      <c r="AF22" s="1">
        <f t="shared" si="16"/>
        <v>1885.5120298794002</v>
      </c>
      <c r="AG22" s="1">
        <f t="shared" si="16"/>
        <v>1904.3671501781942</v>
      </c>
      <c r="AH22" s="1">
        <f t="shared" si="16"/>
        <v>1923.4108216799762</v>
      </c>
      <c r="AI22" s="1">
        <f>+AH22*1.01</f>
        <v>1942.6449298967759</v>
      </c>
      <c r="AJ22" s="1">
        <f t="shared" ref="AJ22:AQ22" si="17">+AI22*1.01</f>
        <v>1962.0713791957437</v>
      </c>
      <c r="AK22" s="1">
        <f t="shared" si="17"/>
        <v>1981.6920929877012</v>
      </c>
      <c r="AL22" s="1">
        <f t="shared" si="17"/>
        <v>2001.5090139175784</v>
      </c>
      <c r="AM22" s="1">
        <f t="shared" ref="AM22:AQ22" si="18">+AL22*0.97</f>
        <v>1941.4637435000509</v>
      </c>
      <c r="AN22" s="1">
        <f t="shared" si="18"/>
        <v>1883.2198311950492</v>
      </c>
      <c r="AO22" s="1">
        <f t="shared" si="18"/>
        <v>1826.7232362591976</v>
      </c>
      <c r="AP22" s="1">
        <f t="shared" si="18"/>
        <v>1771.9215391714217</v>
      </c>
      <c r="AQ22" s="1">
        <f t="shared" si="18"/>
        <v>1718.7638929962791</v>
      </c>
    </row>
    <row r="23" spans="2:125" s="1" customFormat="1" x14ac:dyDescent="0.5">
      <c r="B23" s="1" t="s">
        <v>28</v>
      </c>
      <c r="C23" s="1">
        <v>66</v>
      </c>
      <c r="D23" s="1">
        <v>66</v>
      </c>
      <c r="E23" s="1">
        <v>77</v>
      </c>
      <c r="F23" s="1">
        <v>48</v>
      </c>
      <c r="G23" s="1">
        <v>0</v>
      </c>
      <c r="H23" s="1">
        <v>0</v>
      </c>
      <c r="I23" s="1">
        <v>0</v>
      </c>
      <c r="J23" s="1">
        <v>0</v>
      </c>
      <c r="K23" s="1">
        <v>-124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V23" s="1">
        <f>288-36</f>
        <v>252</v>
      </c>
      <c r="W23" s="1">
        <f>198+24</f>
        <v>222</v>
      </c>
      <c r="X23" s="1">
        <f>142+54</f>
        <v>196</v>
      </c>
      <c r="Y23" s="1">
        <f>SUM(C23:F23)</f>
        <v>257</v>
      </c>
      <c r="Z23" s="1">
        <f>SUM(G23:J23)</f>
        <v>0</v>
      </c>
      <c r="AA23" s="1">
        <f>SUM(K23:N23)</f>
        <v>-124</v>
      </c>
      <c r="AB23" s="1">
        <f>SUM(O23:R23)</f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2:125" s="1" customFormat="1" x14ac:dyDescent="0.5">
      <c r="B24" s="1" t="s">
        <v>29</v>
      </c>
      <c r="C24" s="1">
        <f t="shared" ref="C24:N24" si="19">SUM(C21:C23)</f>
        <v>879</v>
      </c>
      <c r="D24" s="1">
        <f t="shared" si="19"/>
        <v>902</v>
      </c>
      <c r="E24" s="1">
        <f t="shared" si="19"/>
        <v>939</v>
      </c>
      <c r="F24" s="1">
        <f t="shared" si="19"/>
        <v>911</v>
      </c>
      <c r="G24" s="1">
        <f t="shared" si="19"/>
        <v>929</v>
      </c>
      <c r="H24" s="1">
        <f t="shared" si="19"/>
        <v>938</v>
      </c>
      <c r="I24" s="1">
        <f t="shared" si="19"/>
        <v>923</v>
      </c>
      <c r="J24" s="1">
        <f t="shared" si="19"/>
        <v>898</v>
      </c>
      <c r="K24" s="1">
        <f t="shared" si="19"/>
        <v>809</v>
      </c>
      <c r="L24" s="1">
        <f t="shared" si="19"/>
        <v>963</v>
      </c>
      <c r="M24" s="1">
        <f t="shared" si="19"/>
        <v>920</v>
      </c>
      <c r="N24" s="1">
        <f t="shared" si="19"/>
        <v>937</v>
      </c>
      <c r="O24" s="1">
        <f t="shared" ref="O24:R24" si="20">SUM(O21:O23)</f>
        <v>966.23</v>
      </c>
      <c r="P24" s="1">
        <f t="shared" si="20"/>
        <v>982.59</v>
      </c>
      <c r="Q24" s="1">
        <f t="shared" si="20"/>
        <v>939.04</v>
      </c>
      <c r="R24" s="1">
        <f t="shared" si="20"/>
        <v>956.19</v>
      </c>
      <c r="V24" s="1">
        <f t="shared" ref="V24:AQ24" si="21">SUM(V21:V23)</f>
        <v>3441</v>
      </c>
      <c r="W24" s="1">
        <f t="shared" si="21"/>
        <v>3375</v>
      </c>
      <c r="X24" s="1">
        <f t="shared" si="21"/>
        <v>3416</v>
      </c>
      <c r="Y24" s="1">
        <f t="shared" si="21"/>
        <v>3631</v>
      </c>
      <c r="Z24" s="1">
        <f t="shared" si="21"/>
        <v>3688</v>
      </c>
      <c r="AA24" s="1">
        <f t="shared" si="21"/>
        <v>3629</v>
      </c>
      <c r="AB24" s="1">
        <f t="shared" si="21"/>
        <v>3844.05</v>
      </c>
      <c r="AC24" s="1">
        <f t="shared" si="21"/>
        <v>3963.7749000000003</v>
      </c>
      <c r="AD24" s="1">
        <f t="shared" si="21"/>
        <v>4088.7612690000005</v>
      </c>
      <c r="AE24" s="1">
        <f t="shared" si="21"/>
        <v>4152.0528944400003</v>
      </c>
      <c r="AF24" s="1">
        <f t="shared" si="21"/>
        <v>4216.4255163894004</v>
      </c>
      <c r="AG24" s="1">
        <f t="shared" si="21"/>
        <v>4281.8989064183943</v>
      </c>
      <c r="AH24" s="1">
        <f t="shared" si="21"/>
        <v>4348.4932130449806</v>
      </c>
      <c r="AI24" s="1">
        <f t="shared" si="21"/>
        <v>4416.2289690890802</v>
      </c>
      <c r="AJ24" s="1">
        <f t="shared" si="21"/>
        <v>4485.1270991718939</v>
      </c>
      <c r="AK24" s="1">
        <f t="shared" si="21"/>
        <v>4555.2089273633746</v>
      </c>
      <c r="AL24" s="1">
        <f t="shared" si="21"/>
        <v>4626.496184980766</v>
      </c>
      <c r="AM24" s="1">
        <f t="shared" si="21"/>
        <v>4513.9511711419746</v>
      </c>
      <c r="AN24" s="1">
        <f t="shared" si="21"/>
        <v>4404.2575102841347</v>
      </c>
      <c r="AO24" s="1">
        <f t="shared" si="21"/>
        <v>4297.3401617665004</v>
      </c>
      <c r="AP24" s="1">
        <f t="shared" si="21"/>
        <v>4193.1261261685786</v>
      </c>
      <c r="AQ24" s="1">
        <f t="shared" si="21"/>
        <v>4091.5443882534928</v>
      </c>
    </row>
    <row r="25" spans="2:125" s="1" customFormat="1" x14ac:dyDescent="0.5">
      <c r="B25" s="1" t="s">
        <v>30</v>
      </c>
      <c r="C25" s="1">
        <f t="shared" ref="C25:N25" si="22">+C20-C24</f>
        <v>2563</v>
      </c>
      <c r="D25" s="1">
        <f t="shared" si="22"/>
        <v>2723</v>
      </c>
      <c r="E25" s="1">
        <f t="shared" si="22"/>
        <v>2678</v>
      </c>
      <c r="F25" s="1">
        <f t="shared" si="22"/>
        <v>2176</v>
      </c>
      <c r="G25" s="1">
        <f t="shared" si="22"/>
        <v>1934</v>
      </c>
      <c r="H25" s="1">
        <f t="shared" si="22"/>
        <v>1972</v>
      </c>
      <c r="I25" s="1">
        <f t="shared" si="22"/>
        <v>1892</v>
      </c>
      <c r="J25" s="1">
        <f t="shared" si="22"/>
        <v>1533</v>
      </c>
      <c r="K25" s="1">
        <f t="shared" si="22"/>
        <v>1286</v>
      </c>
      <c r="L25" s="1">
        <f t="shared" si="22"/>
        <v>1248</v>
      </c>
      <c r="M25" s="1">
        <f t="shared" si="22"/>
        <v>1554</v>
      </c>
      <c r="N25" s="1">
        <f t="shared" si="22"/>
        <v>1377</v>
      </c>
      <c r="O25" s="1">
        <f t="shared" ref="O25:R25" si="23">+O20-O24</f>
        <v>1277.77</v>
      </c>
      <c r="P25" s="1">
        <f t="shared" si="23"/>
        <v>1356.4739999999997</v>
      </c>
      <c r="Q25" s="1">
        <f t="shared" si="23"/>
        <v>1651.1839999999997</v>
      </c>
      <c r="R25" s="1">
        <f t="shared" si="23"/>
        <v>1568.2200000000003</v>
      </c>
      <c r="V25" s="1">
        <f t="shared" ref="V25:AQ25" si="24">+V20-V24</f>
        <v>5723</v>
      </c>
      <c r="W25" s="1">
        <f t="shared" si="24"/>
        <v>5894</v>
      </c>
      <c r="X25" s="1">
        <f t="shared" si="24"/>
        <v>8960</v>
      </c>
      <c r="Y25" s="1">
        <f t="shared" si="24"/>
        <v>10140</v>
      </c>
      <c r="Z25" s="1">
        <f t="shared" si="24"/>
        <v>7331</v>
      </c>
      <c r="AA25" s="1">
        <f t="shared" si="24"/>
        <v>5465</v>
      </c>
      <c r="AB25" s="1">
        <f t="shared" si="24"/>
        <v>5853.6479999999983</v>
      </c>
      <c r="AC25" s="1">
        <f t="shared" si="24"/>
        <v>6024.8540399999983</v>
      </c>
      <c r="AD25" s="1">
        <f t="shared" si="24"/>
        <v>7814.3548845000005</v>
      </c>
      <c r="AE25" s="1">
        <f t="shared" si="24"/>
        <v>8941.3748744100012</v>
      </c>
      <c r="AF25" s="1">
        <f t="shared" si="24"/>
        <v>10186.345029345604</v>
      </c>
      <c r="AG25" s="1">
        <f t="shared" si="24"/>
        <v>10841.010166603359</v>
      </c>
      <c r="AH25" s="1">
        <f t="shared" si="24"/>
        <v>11530.561313627863</v>
      </c>
      <c r="AI25" s="1">
        <f t="shared" si="24"/>
        <v>12256.778283917407</v>
      </c>
      <c r="AJ25" s="1">
        <f t="shared" si="24"/>
        <v>13021.530516484918</v>
      </c>
      <c r="AK25" s="1">
        <f t="shared" si="24"/>
        <v>13301.58184060657</v>
      </c>
      <c r="AL25" s="1">
        <f t="shared" si="24"/>
        <v>13587.430398348581</v>
      </c>
      <c r="AM25" s="1">
        <f t="shared" si="24"/>
        <v>14064.253943853959</v>
      </c>
      <c r="AN25" s="1">
        <f t="shared" si="24"/>
        <v>14545.511707011714</v>
      </c>
      <c r="AO25" s="1">
        <f t="shared" si="24"/>
        <v>15031.424439875267</v>
      </c>
      <c r="AP25" s="1">
        <f t="shared" si="24"/>
        <v>15522.213767506026</v>
      </c>
      <c r="AQ25" s="1">
        <f t="shared" si="24"/>
        <v>16018.102303294603</v>
      </c>
    </row>
    <row r="26" spans="2:125" s="1" customFormat="1" x14ac:dyDescent="0.5">
      <c r="B26" s="1" t="s">
        <v>31</v>
      </c>
      <c r="C26" s="1">
        <f>15-52</f>
        <v>-37</v>
      </c>
      <c r="D26" s="1">
        <f>7-49</f>
        <v>-42</v>
      </c>
      <c r="E26" s="1">
        <f>33-53</f>
        <v>-20</v>
      </c>
      <c r="F26" s="1">
        <f>51-60</f>
        <v>-9</v>
      </c>
      <c r="G26" s="1">
        <f>80-68</f>
        <v>12</v>
      </c>
      <c r="H26" s="1">
        <f>119-89</f>
        <v>30</v>
      </c>
      <c r="I26" s="1">
        <f>128-98</f>
        <v>30</v>
      </c>
      <c r="J26" s="1">
        <f>113-98</f>
        <v>15</v>
      </c>
      <c r="K26" s="1">
        <f>123-116</f>
        <v>7</v>
      </c>
      <c r="L26" s="1">
        <f>130-131</f>
        <v>-1</v>
      </c>
      <c r="M26" s="1">
        <f>131-131</f>
        <v>0</v>
      </c>
      <c r="N26" s="1">
        <f>112-130</f>
        <v>-18</v>
      </c>
      <c r="O26" s="1">
        <v>0</v>
      </c>
      <c r="P26" s="1">
        <v>0</v>
      </c>
      <c r="Q26" s="1">
        <v>0</v>
      </c>
      <c r="R26" s="1">
        <v>0</v>
      </c>
      <c r="V26" s="1">
        <f>175-170</f>
        <v>5</v>
      </c>
      <c r="W26" s="1">
        <f>313-190</f>
        <v>123</v>
      </c>
      <c r="X26" s="1">
        <f>143-184</f>
        <v>-41</v>
      </c>
      <c r="Y26" s="1">
        <f>SUM(C26:F26)</f>
        <v>-108</v>
      </c>
      <c r="Z26" s="1">
        <f>SUM(G26:J26)</f>
        <v>87</v>
      </c>
      <c r="AA26" s="1">
        <f>SUM(K26:N26)</f>
        <v>-12</v>
      </c>
      <c r="AB26" s="1">
        <f>SUM(O26:R26)</f>
        <v>0</v>
      </c>
      <c r="AC26" s="1">
        <v>0</v>
      </c>
      <c r="AD26" s="1">
        <f>+AC44*$AU$42</f>
        <v>96</v>
      </c>
      <c r="AE26" s="1">
        <f t="shared" ref="AE26:AQ26" si="25">+AD44*$AU$42</f>
        <v>117.23404955475002</v>
      </c>
      <c r="AF26" s="1">
        <f t="shared" si="25"/>
        <v>348.22857711585118</v>
      </c>
      <c r="AG26" s="1">
        <f t="shared" si="25"/>
        <v>616.86020408061825</v>
      </c>
      <c r="AH26" s="1">
        <f t="shared" si="25"/>
        <v>909.03589853305959</v>
      </c>
      <c r="AI26" s="1">
        <f t="shared" si="25"/>
        <v>1226.2456274431631</v>
      </c>
      <c r="AJ26" s="1">
        <f t="shared" si="25"/>
        <v>1570.0627371828577</v>
      </c>
      <c r="AK26" s="1">
        <f t="shared" si="25"/>
        <v>1942.1483651513859</v>
      </c>
      <c r="AL26" s="1">
        <f t="shared" si="25"/>
        <v>2330.8634853982139</v>
      </c>
      <c r="AM26" s="1">
        <f t="shared" si="25"/>
        <v>2736.779979433757</v>
      </c>
      <c r="AN26" s="1">
        <f t="shared" si="25"/>
        <v>3165.206344477594</v>
      </c>
      <c r="AO26" s="1">
        <f t="shared" si="25"/>
        <v>3616.8296547905711</v>
      </c>
      <c r="AP26" s="1">
        <f t="shared" si="25"/>
        <v>4092.3601342045495</v>
      </c>
      <c r="AQ26" s="1">
        <f t="shared" si="25"/>
        <v>4592.5317686981698</v>
      </c>
    </row>
    <row r="27" spans="2:125" s="1" customFormat="1" x14ac:dyDescent="0.5">
      <c r="B27" s="1" t="s">
        <v>32</v>
      </c>
      <c r="C27" s="1">
        <f t="shared" ref="C27:R27" si="26">+C25+C26</f>
        <v>2526</v>
      </c>
      <c r="D27" s="1">
        <f t="shared" si="26"/>
        <v>2681</v>
      </c>
      <c r="E27" s="1">
        <f t="shared" si="26"/>
        <v>2658</v>
      </c>
      <c r="F27" s="1">
        <f t="shared" si="26"/>
        <v>2167</v>
      </c>
      <c r="G27" s="1">
        <f t="shared" si="26"/>
        <v>1946</v>
      </c>
      <c r="H27" s="1">
        <f t="shared" si="26"/>
        <v>2002</v>
      </c>
      <c r="I27" s="1">
        <f t="shared" si="26"/>
        <v>1922</v>
      </c>
      <c r="J27" s="1">
        <f t="shared" si="26"/>
        <v>1548</v>
      </c>
      <c r="K27" s="1">
        <f t="shared" si="26"/>
        <v>1293</v>
      </c>
      <c r="L27" s="1">
        <f t="shared" si="26"/>
        <v>1247</v>
      </c>
      <c r="M27" s="1">
        <f t="shared" si="26"/>
        <v>1554</v>
      </c>
      <c r="N27" s="1">
        <f t="shared" si="26"/>
        <v>1359</v>
      </c>
      <c r="O27" s="1">
        <f t="shared" si="26"/>
        <v>1277.77</v>
      </c>
      <c r="P27" s="1">
        <f t="shared" si="26"/>
        <v>1356.4739999999997</v>
      </c>
      <c r="Q27" s="1">
        <f t="shared" si="26"/>
        <v>1651.1839999999997</v>
      </c>
      <c r="R27" s="1">
        <f t="shared" si="26"/>
        <v>1568.2200000000003</v>
      </c>
      <c r="V27" s="1">
        <f t="shared" ref="V27:AQ27" si="27">+V25+V26</f>
        <v>5728</v>
      </c>
      <c r="W27" s="1">
        <f t="shared" si="27"/>
        <v>6017</v>
      </c>
      <c r="X27" s="1">
        <f t="shared" si="27"/>
        <v>8919</v>
      </c>
      <c r="Y27" s="1">
        <f t="shared" si="27"/>
        <v>10032</v>
      </c>
      <c r="Z27" s="1">
        <f t="shared" si="27"/>
        <v>7418</v>
      </c>
      <c r="AA27" s="1">
        <f t="shared" si="27"/>
        <v>5453</v>
      </c>
      <c r="AB27" s="1">
        <f t="shared" si="27"/>
        <v>5853.6479999999983</v>
      </c>
      <c r="AC27" s="1">
        <f t="shared" si="27"/>
        <v>6024.8540399999983</v>
      </c>
      <c r="AD27" s="1">
        <f t="shared" si="27"/>
        <v>7910.3548845000005</v>
      </c>
      <c r="AE27" s="1">
        <f t="shared" si="27"/>
        <v>9058.6089239647517</v>
      </c>
      <c r="AF27" s="1">
        <f t="shared" si="27"/>
        <v>10534.573606461456</v>
      </c>
      <c r="AG27" s="1">
        <f t="shared" si="27"/>
        <v>11457.870370683977</v>
      </c>
      <c r="AH27" s="1">
        <f t="shared" si="27"/>
        <v>12439.597212160923</v>
      </c>
      <c r="AI27" s="1">
        <f t="shared" si="27"/>
        <v>13483.023911360569</v>
      </c>
      <c r="AJ27" s="1">
        <f t="shared" si="27"/>
        <v>14591.593253667776</v>
      </c>
      <c r="AK27" s="1">
        <f t="shared" si="27"/>
        <v>15243.730205757956</v>
      </c>
      <c r="AL27" s="1">
        <f t="shared" si="27"/>
        <v>15918.293883746795</v>
      </c>
      <c r="AM27" s="1">
        <f t="shared" si="27"/>
        <v>16801.033923287716</v>
      </c>
      <c r="AN27" s="1">
        <f t="shared" si="27"/>
        <v>17710.718051489308</v>
      </c>
      <c r="AO27" s="1">
        <f t="shared" si="27"/>
        <v>18648.254094665837</v>
      </c>
      <c r="AP27" s="1">
        <f t="shared" si="27"/>
        <v>19614.573901710573</v>
      </c>
      <c r="AQ27" s="1">
        <f t="shared" si="27"/>
        <v>20610.634071992772</v>
      </c>
    </row>
    <row r="28" spans="2:125" s="1" customFormat="1" x14ac:dyDescent="0.5">
      <c r="B28" s="1" t="s">
        <v>33</v>
      </c>
      <c r="C28" s="1">
        <v>325</v>
      </c>
      <c r="D28" s="1">
        <v>390</v>
      </c>
      <c r="E28" s="1">
        <v>363</v>
      </c>
      <c r="F28" s="1">
        <v>205</v>
      </c>
      <c r="G28" s="1">
        <v>238</v>
      </c>
      <c r="H28" s="1">
        <v>280</v>
      </c>
      <c r="I28" s="1">
        <v>213</v>
      </c>
      <c r="J28" s="1">
        <v>177</v>
      </c>
      <c r="K28" s="1">
        <v>188</v>
      </c>
      <c r="L28" s="1">
        <v>120</v>
      </c>
      <c r="M28" s="1">
        <v>192</v>
      </c>
      <c r="N28" s="1">
        <v>154</v>
      </c>
      <c r="O28" s="1">
        <f>+O27*0.12</f>
        <v>153.33239999999998</v>
      </c>
      <c r="P28" s="1">
        <f t="shared" ref="P28:R28" si="28">+P27*0.12</f>
        <v>162.77687999999995</v>
      </c>
      <c r="Q28" s="1">
        <f t="shared" si="28"/>
        <v>198.14207999999996</v>
      </c>
      <c r="R28" s="1">
        <f t="shared" si="28"/>
        <v>188.18640000000002</v>
      </c>
      <c r="V28" s="1">
        <v>711</v>
      </c>
      <c r="W28" s="1">
        <v>422</v>
      </c>
      <c r="X28" s="1">
        <v>1150</v>
      </c>
      <c r="Y28" s="1">
        <f>SUM(C28:F28)</f>
        <v>1283</v>
      </c>
      <c r="Z28" s="1">
        <f>SUM(G28:J28)</f>
        <v>908</v>
      </c>
      <c r="AA28" s="1">
        <f>SUM(K28:N28)</f>
        <v>654</v>
      </c>
      <c r="AB28" s="1">
        <f>SUM(O28:R28)</f>
        <v>702.43775999999991</v>
      </c>
      <c r="AC28" s="1">
        <f>+AC27*0.15</f>
        <v>903.72810599999968</v>
      </c>
      <c r="AD28" s="1">
        <f t="shared" ref="AD28:AQ28" si="29">+AD27*0.15</f>
        <v>1186.5532326750001</v>
      </c>
      <c r="AE28" s="1">
        <f t="shared" si="29"/>
        <v>1358.7913385947127</v>
      </c>
      <c r="AF28" s="1">
        <f t="shared" si="29"/>
        <v>1580.1860409692183</v>
      </c>
      <c r="AG28" s="1">
        <f t="shared" si="29"/>
        <v>1718.6805556025965</v>
      </c>
      <c r="AH28" s="1">
        <f t="shared" si="29"/>
        <v>1865.9395818241383</v>
      </c>
      <c r="AI28" s="1">
        <f t="shared" si="29"/>
        <v>2022.4535867040854</v>
      </c>
      <c r="AJ28" s="1">
        <f t="shared" si="29"/>
        <v>2188.7389880501664</v>
      </c>
      <c r="AK28" s="1">
        <f t="shared" si="29"/>
        <v>2286.5595308636935</v>
      </c>
      <c r="AL28" s="1">
        <f t="shared" si="29"/>
        <v>2387.7440825620192</v>
      </c>
      <c r="AM28" s="1">
        <f t="shared" si="29"/>
        <v>2520.1550884931571</v>
      </c>
      <c r="AN28" s="1">
        <f t="shared" si="29"/>
        <v>2656.6077077233963</v>
      </c>
      <c r="AO28" s="1">
        <f t="shared" si="29"/>
        <v>2797.2381141998753</v>
      </c>
      <c r="AP28" s="1">
        <f t="shared" si="29"/>
        <v>2942.186085256586</v>
      </c>
      <c r="AQ28" s="1">
        <f t="shared" si="29"/>
        <v>3091.5951107989158</v>
      </c>
    </row>
    <row r="29" spans="2:125" s="1" customFormat="1" x14ac:dyDescent="0.5">
      <c r="B29" s="1" t="s">
        <v>34</v>
      </c>
      <c r="C29" s="1">
        <f t="shared" ref="C29:R29" si="30">+C27-C28</f>
        <v>2201</v>
      </c>
      <c r="D29" s="1">
        <f t="shared" si="30"/>
        <v>2291</v>
      </c>
      <c r="E29" s="1">
        <f t="shared" si="30"/>
        <v>2295</v>
      </c>
      <c r="F29" s="1">
        <f t="shared" si="30"/>
        <v>1962</v>
      </c>
      <c r="G29" s="1">
        <f t="shared" si="30"/>
        <v>1708</v>
      </c>
      <c r="H29" s="1">
        <f t="shared" si="30"/>
        <v>1722</v>
      </c>
      <c r="I29" s="1">
        <f t="shared" si="30"/>
        <v>1709</v>
      </c>
      <c r="J29" s="1">
        <f t="shared" si="30"/>
        <v>1371</v>
      </c>
      <c r="K29" s="1">
        <f t="shared" si="30"/>
        <v>1105</v>
      </c>
      <c r="L29" s="1">
        <f t="shared" si="30"/>
        <v>1127</v>
      </c>
      <c r="M29" s="1">
        <f t="shared" si="30"/>
        <v>1362</v>
      </c>
      <c r="N29" s="1">
        <f t="shared" si="30"/>
        <v>1205</v>
      </c>
      <c r="O29" s="1">
        <f t="shared" si="30"/>
        <v>1124.4376</v>
      </c>
      <c r="P29" s="1">
        <f t="shared" si="30"/>
        <v>1193.6971199999998</v>
      </c>
      <c r="Q29" s="1">
        <f t="shared" si="30"/>
        <v>1453.0419199999997</v>
      </c>
      <c r="R29" s="1">
        <f t="shared" si="30"/>
        <v>1380.0336000000002</v>
      </c>
      <c r="V29" s="1">
        <f t="shared" ref="V29:AQ29" si="31">+V27-V28</f>
        <v>5017</v>
      </c>
      <c r="W29" s="1">
        <f t="shared" si="31"/>
        <v>5595</v>
      </c>
      <c r="X29" s="1">
        <f t="shared" si="31"/>
        <v>7769</v>
      </c>
      <c r="Y29" s="1">
        <f t="shared" si="31"/>
        <v>8749</v>
      </c>
      <c r="Z29" s="1">
        <f t="shared" si="31"/>
        <v>6510</v>
      </c>
      <c r="AA29" s="1">
        <f t="shared" si="31"/>
        <v>4799</v>
      </c>
      <c r="AB29" s="1">
        <f t="shared" si="31"/>
        <v>5151.2102399999985</v>
      </c>
      <c r="AC29" s="1">
        <f t="shared" si="31"/>
        <v>5121.1259339999988</v>
      </c>
      <c r="AD29" s="1">
        <f t="shared" si="31"/>
        <v>6723.8016518250006</v>
      </c>
      <c r="AE29" s="1">
        <f t="shared" si="31"/>
        <v>7699.8175853700395</v>
      </c>
      <c r="AF29" s="1">
        <f t="shared" si="31"/>
        <v>8954.3875654922376</v>
      </c>
      <c r="AG29" s="1">
        <f t="shared" si="31"/>
        <v>9739.1898150813795</v>
      </c>
      <c r="AH29" s="1">
        <f t="shared" si="31"/>
        <v>10573.657630336784</v>
      </c>
      <c r="AI29" s="1">
        <f t="shared" si="31"/>
        <v>11460.570324656484</v>
      </c>
      <c r="AJ29" s="1">
        <f t="shared" si="31"/>
        <v>12402.854265617609</v>
      </c>
      <c r="AK29" s="1">
        <f t="shared" si="31"/>
        <v>12957.170674894263</v>
      </c>
      <c r="AL29" s="1">
        <f t="shared" si="31"/>
        <v>13530.549801184776</v>
      </c>
      <c r="AM29" s="1">
        <f t="shared" si="31"/>
        <v>14280.878834794559</v>
      </c>
      <c r="AN29" s="1">
        <f t="shared" si="31"/>
        <v>15054.110343765911</v>
      </c>
      <c r="AO29" s="1">
        <f t="shared" si="31"/>
        <v>15851.015980465962</v>
      </c>
      <c r="AP29" s="1">
        <f t="shared" si="31"/>
        <v>16672.387816453986</v>
      </c>
      <c r="AQ29" s="1">
        <f t="shared" si="31"/>
        <v>17519.038961193855</v>
      </c>
      <c r="AR29" s="1">
        <f>+AQ29*(1+$AU$41)</f>
        <v>16993.467792358038</v>
      </c>
      <c r="AS29" s="1">
        <f t="shared" ref="AS29:DD29" si="32">+AR29*(1+$AU$41)</f>
        <v>16483.663758587296</v>
      </c>
      <c r="AT29" s="1">
        <f t="shared" si="32"/>
        <v>15989.153845829676</v>
      </c>
      <c r="AU29" s="1">
        <f t="shared" si="32"/>
        <v>15509.479230454786</v>
      </c>
      <c r="AV29" s="1">
        <f t="shared" si="32"/>
        <v>15044.194853541143</v>
      </c>
      <c r="AW29" s="1">
        <f t="shared" si="32"/>
        <v>14592.869007934909</v>
      </c>
      <c r="AX29" s="1">
        <f t="shared" si="32"/>
        <v>14155.082937696861</v>
      </c>
      <c r="AY29" s="1">
        <f t="shared" si="32"/>
        <v>13730.430449565954</v>
      </c>
      <c r="AZ29" s="1">
        <f t="shared" si="32"/>
        <v>13318.517536078976</v>
      </c>
      <c r="BA29" s="1">
        <f t="shared" si="32"/>
        <v>12918.962009996607</v>
      </c>
      <c r="BB29" s="1">
        <f t="shared" si="32"/>
        <v>12531.393149696709</v>
      </c>
      <c r="BC29" s="1">
        <f t="shared" si="32"/>
        <v>12155.451355205807</v>
      </c>
      <c r="BD29" s="1">
        <f t="shared" si="32"/>
        <v>11790.787814549632</v>
      </c>
      <c r="BE29" s="1">
        <f t="shared" si="32"/>
        <v>11437.064180113142</v>
      </c>
      <c r="BF29" s="1">
        <f t="shared" si="32"/>
        <v>11093.952254709748</v>
      </c>
      <c r="BG29" s="1">
        <f t="shared" si="32"/>
        <v>10761.133687068455</v>
      </c>
      <c r="BH29" s="1">
        <f t="shared" si="32"/>
        <v>10438.299676456401</v>
      </c>
      <c r="BI29" s="1">
        <f t="shared" si="32"/>
        <v>10125.150686162709</v>
      </c>
      <c r="BJ29" s="1">
        <f t="shared" si="32"/>
        <v>9821.3961655778276</v>
      </c>
      <c r="BK29" s="1">
        <f t="shared" si="32"/>
        <v>9526.7542806104921</v>
      </c>
      <c r="BL29" s="1">
        <f t="shared" si="32"/>
        <v>9240.9516521921778</v>
      </c>
      <c r="BM29" s="1">
        <f t="shared" si="32"/>
        <v>8963.7231026264126</v>
      </c>
      <c r="BN29" s="1">
        <f t="shared" si="32"/>
        <v>8694.8114095476194</v>
      </c>
      <c r="BO29" s="1">
        <f t="shared" si="32"/>
        <v>8433.9670672611901</v>
      </c>
      <c r="BP29" s="1">
        <f t="shared" si="32"/>
        <v>8180.9480552433542</v>
      </c>
      <c r="BQ29" s="1">
        <f t="shared" si="32"/>
        <v>7935.5196135860533</v>
      </c>
      <c r="BR29" s="1">
        <f t="shared" si="32"/>
        <v>7697.4540251784711</v>
      </c>
      <c r="BS29" s="1">
        <f t="shared" si="32"/>
        <v>7466.530404423117</v>
      </c>
      <c r="BT29" s="1">
        <f t="shared" si="32"/>
        <v>7242.5344922904233</v>
      </c>
      <c r="BU29" s="1">
        <f t="shared" si="32"/>
        <v>7025.2584575217106</v>
      </c>
      <c r="BV29" s="1">
        <f t="shared" si="32"/>
        <v>6814.5007037960595</v>
      </c>
      <c r="BW29" s="1">
        <f t="shared" si="32"/>
        <v>6610.0656826821778</v>
      </c>
      <c r="BX29" s="1">
        <f t="shared" si="32"/>
        <v>6411.7637122017122</v>
      </c>
      <c r="BY29" s="1">
        <f t="shared" si="32"/>
        <v>6219.4108008356607</v>
      </c>
      <c r="BZ29" s="1">
        <f t="shared" si="32"/>
        <v>6032.8284768105905</v>
      </c>
      <c r="CA29" s="1">
        <f t="shared" si="32"/>
        <v>5851.8436225062724</v>
      </c>
      <c r="CB29" s="1">
        <f t="shared" si="32"/>
        <v>5676.2883138310845</v>
      </c>
      <c r="CC29" s="1">
        <f t="shared" si="32"/>
        <v>5505.999664416152</v>
      </c>
      <c r="CD29" s="1">
        <f t="shared" si="32"/>
        <v>5340.8196744836669</v>
      </c>
      <c r="CE29" s="1">
        <f t="shared" si="32"/>
        <v>5180.5950842491566</v>
      </c>
      <c r="CF29" s="1">
        <f t="shared" si="32"/>
        <v>5025.1772317216819</v>
      </c>
      <c r="CG29" s="1">
        <f t="shared" si="32"/>
        <v>4874.4219147700314</v>
      </c>
      <c r="CH29" s="1">
        <f t="shared" si="32"/>
        <v>4728.1892573269306</v>
      </c>
      <c r="CI29" s="1">
        <f t="shared" si="32"/>
        <v>4586.3435796071226</v>
      </c>
      <c r="CJ29" s="1">
        <f t="shared" si="32"/>
        <v>4448.7532722189089</v>
      </c>
      <c r="CK29" s="1">
        <f t="shared" si="32"/>
        <v>4315.2906740523413</v>
      </c>
      <c r="CL29" s="1">
        <f t="shared" si="32"/>
        <v>4185.8319538307705</v>
      </c>
      <c r="CM29" s="1">
        <f t="shared" si="32"/>
        <v>4060.2569952158474</v>
      </c>
      <c r="CN29" s="1">
        <f t="shared" si="32"/>
        <v>3938.449285359372</v>
      </c>
      <c r="CO29" s="1">
        <f t="shared" si="32"/>
        <v>3820.2958067985905</v>
      </c>
      <c r="CP29" s="1">
        <f t="shared" si="32"/>
        <v>3705.6869325946327</v>
      </c>
      <c r="CQ29" s="1">
        <f t="shared" si="32"/>
        <v>3594.5163246167936</v>
      </c>
      <c r="CR29" s="1">
        <f t="shared" si="32"/>
        <v>3486.6808348782897</v>
      </c>
      <c r="CS29" s="1">
        <f t="shared" si="32"/>
        <v>3382.0804098319409</v>
      </c>
      <c r="CT29" s="1">
        <f t="shared" si="32"/>
        <v>3280.6179975369823</v>
      </c>
      <c r="CU29" s="1">
        <f t="shared" si="32"/>
        <v>3182.1994576108727</v>
      </c>
      <c r="CV29" s="1">
        <f t="shared" si="32"/>
        <v>3086.7334738825466</v>
      </c>
      <c r="CW29" s="1">
        <f t="shared" si="32"/>
        <v>2994.1314696660702</v>
      </c>
      <c r="CX29" s="1">
        <f t="shared" si="32"/>
        <v>2904.3075255760882</v>
      </c>
      <c r="CY29" s="1">
        <f t="shared" si="32"/>
        <v>2817.1782998088056</v>
      </c>
      <c r="CZ29" s="1">
        <f t="shared" si="32"/>
        <v>2732.6629508145415</v>
      </c>
      <c r="DA29" s="1">
        <f t="shared" si="32"/>
        <v>2650.6830622901052</v>
      </c>
      <c r="DB29" s="1">
        <f t="shared" si="32"/>
        <v>2571.1625704214021</v>
      </c>
      <c r="DC29" s="1">
        <f t="shared" si="32"/>
        <v>2494.0276933087598</v>
      </c>
      <c r="DD29" s="1">
        <f t="shared" si="32"/>
        <v>2419.2068625094971</v>
      </c>
      <c r="DE29" s="1">
        <f t="shared" ref="DE29:DU29" si="33">+DD29*(1+$AU$41)</f>
        <v>2346.6306566342123</v>
      </c>
      <c r="DF29" s="1">
        <f t="shared" si="33"/>
        <v>2276.2317369351858</v>
      </c>
      <c r="DG29" s="1">
        <f t="shared" si="33"/>
        <v>2207.9447848271302</v>
      </c>
      <c r="DH29" s="1">
        <f t="shared" si="33"/>
        <v>2141.7064412823161</v>
      </c>
      <c r="DI29" s="1">
        <f t="shared" si="33"/>
        <v>2077.4552480438465</v>
      </c>
      <c r="DJ29" s="1">
        <f t="shared" si="33"/>
        <v>2015.1315906025311</v>
      </c>
      <c r="DK29" s="1">
        <f t="shared" si="33"/>
        <v>1954.6776428844551</v>
      </c>
      <c r="DL29" s="1">
        <f t="shared" si="33"/>
        <v>1896.0373135979214</v>
      </c>
      <c r="DM29" s="1">
        <f t="shared" si="33"/>
        <v>1839.1561941899838</v>
      </c>
      <c r="DN29" s="1">
        <f t="shared" si="33"/>
        <v>1783.9815083642843</v>
      </c>
      <c r="DO29" s="1">
        <f t="shared" si="33"/>
        <v>1730.4620631133557</v>
      </c>
      <c r="DP29" s="1">
        <f t="shared" si="33"/>
        <v>1678.548201219955</v>
      </c>
      <c r="DQ29" s="1">
        <f t="shared" si="33"/>
        <v>1628.1917551833562</v>
      </c>
      <c r="DR29" s="1">
        <f t="shared" si="33"/>
        <v>1579.3460025278555</v>
      </c>
      <c r="DS29" s="1">
        <f t="shared" si="33"/>
        <v>1531.9656224520197</v>
      </c>
      <c r="DT29" s="1">
        <f t="shared" si="33"/>
        <v>1486.0066537784592</v>
      </c>
      <c r="DU29" s="1">
        <f t="shared" si="33"/>
        <v>1441.4264541651053</v>
      </c>
    </row>
    <row r="30" spans="2:125" s="1" customFormat="1" x14ac:dyDescent="0.5">
      <c r="B30" s="1" t="s">
        <v>1</v>
      </c>
      <c r="C30" s="1">
        <v>934</v>
      </c>
      <c r="D30" s="1">
        <v>930</v>
      </c>
      <c r="E30" s="1">
        <v>923</v>
      </c>
      <c r="F30" s="1">
        <v>916</v>
      </c>
      <c r="G30" s="1">
        <v>916</v>
      </c>
      <c r="H30" s="1">
        <v>916</v>
      </c>
      <c r="I30" s="1">
        <v>916</v>
      </c>
      <c r="J30" s="1">
        <v>915</v>
      </c>
      <c r="K30" s="1">
        <v>917</v>
      </c>
      <c r="L30" s="1">
        <v>919</v>
      </c>
      <c r="M30" s="1">
        <v>920</v>
      </c>
      <c r="N30" s="1">
        <v>919</v>
      </c>
      <c r="O30" s="1">
        <v>919</v>
      </c>
      <c r="P30" s="1">
        <v>919</v>
      </c>
      <c r="Q30" s="1">
        <v>919</v>
      </c>
      <c r="R30" s="1">
        <v>919</v>
      </c>
      <c r="V30" s="1">
        <v>936</v>
      </c>
      <c r="W30" s="1">
        <v>933</v>
      </c>
      <c r="X30" s="1">
        <v>936</v>
      </c>
      <c r="Y30" s="1">
        <f>AVERAGE(C30:F30)</f>
        <v>925.75</v>
      </c>
      <c r="Z30" s="1">
        <f>AVERAGE(G30:J30)</f>
        <v>915.75</v>
      </c>
      <c r="AA30" s="1">
        <f>AVERAGE(K30:N30)</f>
        <v>918.75</v>
      </c>
      <c r="AB30" s="1">
        <f>AVERAGE(O30:R30)</f>
        <v>919</v>
      </c>
    </row>
    <row r="31" spans="2:125" s="3" customFormat="1" x14ac:dyDescent="0.5">
      <c r="B31" s="3" t="s">
        <v>35</v>
      </c>
      <c r="C31" s="3">
        <f t="shared" ref="C31:R31" si="34">+C29/C30</f>
        <v>2.3565310492505351</v>
      </c>
      <c r="D31" s="3">
        <f t="shared" si="34"/>
        <v>2.4634408602150537</v>
      </c>
      <c r="E31" s="3">
        <f t="shared" si="34"/>
        <v>2.4864572047670639</v>
      </c>
      <c r="F31" s="3">
        <f t="shared" si="34"/>
        <v>2.1419213973799125</v>
      </c>
      <c r="G31" s="3">
        <f t="shared" si="34"/>
        <v>1.8646288209606987</v>
      </c>
      <c r="H31" s="3">
        <f t="shared" si="34"/>
        <v>1.8799126637554586</v>
      </c>
      <c r="I31" s="3">
        <f t="shared" si="34"/>
        <v>1.8657205240174672</v>
      </c>
      <c r="J31" s="3">
        <f t="shared" si="34"/>
        <v>1.4983606557377049</v>
      </c>
      <c r="K31" s="3">
        <f t="shared" si="34"/>
        <v>1.2050163576881134</v>
      </c>
      <c r="L31" s="3">
        <f t="shared" si="34"/>
        <v>1.2263329706202395</v>
      </c>
      <c r="M31" s="3">
        <f t="shared" si="34"/>
        <v>1.4804347826086957</v>
      </c>
      <c r="N31" s="3">
        <f t="shared" si="34"/>
        <v>1.3112078346028291</v>
      </c>
      <c r="O31" s="3">
        <f t="shared" si="34"/>
        <v>1.2235447225244831</v>
      </c>
      <c r="P31" s="3">
        <f t="shared" si="34"/>
        <v>1.2989087268770401</v>
      </c>
      <c r="Q31" s="3">
        <f t="shared" si="34"/>
        <v>1.5811119912948854</v>
      </c>
      <c r="R31" s="3">
        <f t="shared" si="34"/>
        <v>1.5016687704026117</v>
      </c>
      <c r="V31" s="3">
        <f t="shared" ref="V31:AB31" si="35">+V29/V30</f>
        <v>5.3600427350427351</v>
      </c>
      <c r="W31" s="3">
        <f t="shared" si="35"/>
        <v>5.996784565916399</v>
      </c>
      <c r="X31" s="3">
        <f t="shared" si="35"/>
        <v>8.3002136752136746</v>
      </c>
      <c r="Y31" s="3">
        <f t="shared" si="35"/>
        <v>9.450715635970834</v>
      </c>
      <c r="Z31" s="3">
        <f t="shared" si="35"/>
        <v>7.1089271089271087</v>
      </c>
      <c r="AA31" s="3">
        <f t="shared" si="35"/>
        <v>5.2234013605442176</v>
      </c>
      <c r="AB31" s="3">
        <f t="shared" si="35"/>
        <v>5.6052342110990194</v>
      </c>
    </row>
    <row r="32" spans="2:125" s="1" customFormat="1" x14ac:dyDescent="0.5"/>
    <row r="33" spans="2:47" s="1" customFormat="1" x14ac:dyDescent="0.5"/>
    <row r="34" spans="2:47" s="4" customFormat="1" x14ac:dyDescent="0.5">
      <c r="B34" s="4" t="s">
        <v>57</v>
      </c>
      <c r="G34" s="4">
        <f t="shared" ref="G34:M34" si="36">+G18/C18-1</f>
        <v>-0.10723751274209992</v>
      </c>
      <c r="H34" s="4">
        <f t="shared" si="36"/>
        <v>-0.13066001534919414</v>
      </c>
      <c r="I34" s="4">
        <f t="shared" si="36"/>
        <v>-0.13527952680786115</v>
      </c>
      <c r="J34" s="4">
        <f t="shared" si="36"/>
        <v>-0.12698072805139182</v>
      </c>
      <c r="K34" s="4">
        <f t="shared" si="36"/>
        <v>-0.16396437542817999</v>
      </c>
      <c r="L34" s="4">
        <f t="shared" si="36"/>
        <v>-0.15647759876406975</v>
      </c>
      <c r="M34" s="4">
        <f t="shared" si="36"/>
        <v>-8.4068843777581614E-2</v>
      </c>
      <c r="N34" s="4">
        <f>+N18/J18-1</f>
        <v>-1.7169487368162817E-2</v>
      </c>
      <c r="O34" s="4">
        <f>+O18/K18-1</f>
        <v>2.1578803605572183E-2</v>
      </c>
      <c r="P34" s="4">
        <f>+P18/L18-1</f>
        <v>2.0000000000000018E-2</v>
      </c>
      <c r="Q34" s="4">
        <f>+Q18/M18-1</f>
        <v>4.0000000000000036E-2</v>
      </c>
      <c r="R34" s="4">
        <f>+R18/N18-1</f>
        <v>5.0000000000000044E-2</v>
      </c>
      <c r="W34" s="4">
        <f t="shared" ref="W34:Z34" si="37">+W18/V18-1</f>
        <v>5.4230689007856991E-3</v>
      </c>
      <c r="X34" s="4">
        <f t="shared" si="37"/>
        <v>0.26851531705967768</v>
      </c>
      <c r="Y34" s="4">
        <f t="shared" si="37"/>
        <v>9.1801133885739183E-2</v>
      </c>
      <c r="Z34" s="4">
        <f t="shared" si="37"/>
        <v>-0.12527461553824648</v>
      </c>
      <c r="AA34" s="4">
        <f>+AA18/Z18-1</f>
        <v>-0.10719789942348312</v>
      </c>
      <c r="AB34" s="4">
        <f t="shared" ref="AB34:AQ34" si="38">+AB18/AA18-1</f>
        <v>3.3362956332715354E-2</v>
      </c>
      <c r="AC34" s="4">
        <f t="shared" si="38"/>
        <v>3.0000000000000027E-2</v>
      </c>
      <c r="AD34" s="4">
        <f t="shared" si="38"/>
        <v>0.10000000000000009</v>
      </c>
      <c r="AE34" s="4">
        <f t="shared" si="38"/>
        <v>0.10000000000000009</v>
      </c>
      <c r="AF34" s="4">
        <f t="shared" si="38"/>
        <v>0.10000000000000009</v>
      </c>
      <c r="AG34" s="4">
        <f t="shared" si="38"/>
        <v>5.0000000000000044E-2</v>
      </c>
      <c r="AH34" s="4">
        <f t="shared" si="38"/>
        <v>5.0000000000000044E-2</v>
      </c>
      <c r="AI34" s="4">
        <f t="shared" si="38"/>
        <v>5.0000000000000044E-2</v>
      </c>
      <c r="AJ34" s="4">
        <f t="shared" si="38"/>
        <v>5.0000000000000044E-2</v>
      </c>
      <c r="AK34" s="4">
        <f t="shared" si="38"/>
        <v>2.0000000000000018E-2</v>
      </c>
      <c r="AL34" s="4">
        <f t="shared" si="38"/>
        <v>2.0000000000000018E-2</v>
      </c>
      <c r="AM34" s="4">
        <f t="shared" si="38"/>
        <v>2.0000000000000018E-2</v>
      </c>
      <c r="AN34" s="4">
        <f t="shared" si="38"/>
        <v>2.0000000000000018E-2</v>
      </c>
      <c r="AO34" s="4">
        <f t="shared" si="38"/>
        <v>2.0000000000000018E-2</v>
      </c>
      <c r="AP34" s="4">
        <f t="shared" si="38"/>
        <v>2.0000000000000018E-2</v>
      </c>
      <c r="AQ34" s="4">
        <f t="shared" si="38"/>
        <v>2.0000000000000018E-2</v>
      </c>
    </row>
    <row r="35" spans="2:47" s="4" customFormat="1" x14ac:dyDescent="0.5">
      <c r="B35" s="4" t="s">
        <v>58</v>
      </c>
      <c r="G35" s="4">
        <f t="shared" ref="G35:M35" si="39">+G21/C21-1</f>
        <v>0.16368286445012781</v>
      </c>
      <c r="H35" s="4">
        <f t="shared" si="39"/>
        <v>0.15217391304347827</v>
      </c>
      <c r="I35" s="4">
        <f t="shared" si="39"/>
        <v>9.2807424593967625E-2</v>
      </c>
      <c r="J35" s="4">
        <f t="shared" si="39"/>
        <v>5.9907834101382562E-2</v>
      </c>
      <c r="K35" s="4">
        <f t="shared" si="39"/>
        <v>5.0549450549450592E-2</v>
      </c>
      <c r="L35" s="4">
        <f t="shared" si="39"/>
        <v>4.4025157232704393E-2</v>
      </c>
      <c r="M35" s="4">
        <f t="shared" si="39"/>
        <v>4.4585987261146487E-2</v>
      </c>
      <c r="N35" s="4">
        <f>+N21/J21-1</f>
        <v>6.7391304347826031E-2</v>
      </c>
      <c r="O35" s="4">
        <f>+O21/K21-1</f>
        <v>6.0000000000000053E-2</v>
      </c>
      <c r="P35" s="4">
        <f>+P21/L21-1</f>
        <v>3.0000000000000027E-2</v>
      </c>
      <c r="Q35" s="4">
        <f>+Q21/M21-1</f>
        <v>3.0000000000000027E-2</v>
      </c>
      <c r="R35" s="4">
        <f>+R21/N21-1</f>
        <v>3.0000000000000027E-2</v>
      </c>
      <c r="W35" s="4">
        <f t="shared" ref="W35:Z35" si="40">+W21/V21-1</f>
        <v>-9.0673575129534001E-3</v>
      </c>
      <c r="X35" s="4">
        <f t="shared" si="40"/>
        <v>1.5686274509803866E-2</v>
      </c>
      <c r="Y35" s="4">
        <f t="shared" si="40"/>
        <v>7.4646074646074645E-2</v>
      </c>
      <c r="Z35" s="4">
        <f t="shared" si="40"/>
        <v>0.11556886227544916</v>
      </c>
      <c r="AA35" s="4">
        <f>+AA21/Z21-1</f>
        <v>5.152979066022545E-2</v>
      </c>
      <c r="AB35" s="4">
        <f t="shared" ref="AB35:AQ35" si="41">+AB21/AA21-1</f>
        <v>3.732006125574272E-2</v>
      </c>
      <c r="AC35" s="4">
        <f t="shared" si="41"/>
        <v>5.0000000000000044E-2</v>
      </c>
      <c r="AD35" s="4">
        <f t="shared" si="41"/>
        <v>5.0000000000000044E-2</v>
      </c>
      <c r="AE35" s="4">
        <f t="shared" si="41"/>
        <v>2.0000000000000018E-2</v>
      </c>
      <c r="AF35" s="4">
        <f t="shared" si="41"/>
        <v>2.0000000000000018E-2</v>
      </c>
      <c r="AG35" s="4">
        <f t="shared" si="41"/>
        <v>2.0000000000000018E-2</v>
      </c>
      <c r="AH35" s="4">
        <f t="shared" si="41"/>
        <v>2.0000000000000018E-2</v>
      </c>
      <c r="AI35" s="4">
        <f t="shared" si="41"/>
        <v>2.0000000000000018E-2</v>
      </c>
      <c r="AJ35" s="4">
        <f t="shared" si="41"/>
        <v>2.0000000000000018E-2</v>
      </c>
      <c r="AK35" s="4">
        <f t="shared" si="41"/>
        <v>2.0000000000000018E-2</v>
      </c>
      <c r="AL35" s="4">
        <f t="shared" si="41"/>
        <v>2.0000000000000018E-2</v>
      </c>
      <c r="AM35" s="4">
        <f t="shared" si="41"/>
        <v>-2.0000000000000018E-2</v>
      </c>
      <c r="AN35" s="4">
        <f t="shared" si="41"/>
        <v>-2.0000000000000018E-2</v>
      </c>
      <c r="AO35" s="4">
        <f t="shared" si="41"/>
        <v>-2.0000000000000018E-2</v>
      </c>
      <c r="AP35" s="4">
        <f t="shared" si="41"/>
        <v>-2.0000000000000018E-2</v>
      </c>
      <c r="AQ35" s="4">
        <f t="shared" si="41"/>
        <v>-2.0000000000000129E-2</v>
      </c>
    </row>
    <row r="36" spans="2:47" s="4" customFormat="1" x14ac:dyDescent="0.5">
      <c r="B36" s="4" t="s">
        <v>59</v>
      </c>
      <c r="G36" s="4">
        <f t="shared" ref="G36:R36" si="42">+G22/C22-1</f>
        <v>0.12322274881516582</v>
      </c>
      <c r="H36" s="4">
        <f t="shared" si="42"/>
        <v>9.2417061611374418E-2</v>
      </c>
      <c r="I36" s="4">
        <f t="shared" si="42"/>
        <v>4.8723897911832958E-2</v>
      </c>
      <c r="J36" s="4">
        <f t="shared" si="42"/>
        <v>2.0979020979021046E-2</v>
      </c>
      <c r="K36" s="4">
        <f t="shared" si="42"/>
        <v>-4.0084388185653963E-2</v>
      </c>
      <c r="L36" s="4">
        <f t="shared" si="42"/>
        <v>8.6767895878525625E-3</v>
      </c>
      <c r="M36" s="4">
        <f t="shared" si="42"/>
        <v>-5.3097345132743334E-2</v>
      </c>
      <c r="N36" s="4">
        <f t="shared" si="42"/>
        <v>1.8264840182648401E-2</v>
      </c>
      <c r="O36" s="4">
        <f t="shared" si="42"/>
        <v>1.0000000000000009E-2</v>
      </c>
      <c r="P36" s="4">
        <f t="shared" si="42"/>
        <v>1.0000000000000009E-2</v>
      </c>
      <c r="Q36" s="4">
        <f t="shared" si="42"/>
        <v>1.0000000000000009E-2</v>
      </c>
      <c r="R36" s="4">
        <f t="shared" si="42"/>
        <v>1.0000000000000009E-2</v>
      </c>
      <c r="W36" s="4">
        <f t="shared" ref="W36:Z36" si="43">+W22/V22-1</f>
        <v>-1.3373860182370856E-2</v>
      </c>
      <c r="X36" s="4">
        <f t="shared" si="43"/>
        <v>2.6494146642020988E-2</v>
      </c>
      <c r="Y36" s="4">
        <f t="shared" si="43"/>
        <v>2.2809123649459861E-2</v>
      </c>
      <c r="Z36" s="4">
        <f t="shared" si="43"/>
        <v>7.10093896713615E-2</v>
      </c>
      <c r="AA36" s="4">
        <f>+AA22/Z22-1</f>
        <v>-1.6986301369863011E-2</v>
      </c>
      <c r="AB36" s="4">
        <f t="shared" ref="AB36:AQ36" si="44">+AB22/AA22-1</f>
        <v>1.0000000000000009E-2</v>
      </c>
      <c r="AC36" s="4">
        <f t="shared" si="44"/>
        <v>1.0000000000000009E-2</v>
      </c>
      <c r="AD36" s="4">
        <f t="shared" si="44"/>
        <v>1.0000000000000009E-2</v>
      </c>
      <c r="AE36" s="4">
        <f t="shared" si="44"/>
        <v>1.0000000000000009E-2</v>
      </c>
      <c r="AF36" s="4">
        <f t="shared" si="44"/>
        <v>1.0000000000000009E-2</v>
      </c>
      <c r="AG36" s="4">
        <f t="shared" si="44"/>
        <v>1.0000000000000009E-2</v>
      </c>
      <c r="AH36" s="4">
        <f t="shared" si="44"/>
        <v>1.0000000000000009E-2</v>
      </c>
      <c r="AI36" s="4">
        <f t="shared" si="44"/>
        <v>1.0000000000000009E-2</v>
      </c>
      <c r="AJ36" s="4">
        <f t="shared" si="44"/>
        <v>1.0000000000000009E-2</v>
      </c>
      <c r="AK36" s="4">
        <f t="shared" si="44"/>
        <v>1.0000000000000009E-2</v>
      </c>
      <c r="AL36" s="4">
        <f t="shared" si="44"/>
        <v>1.0000000000000009E-2</v>
      </c>
      <c r="AM36" s="4">
        <f t="shared" si="44"/>
        <v>-3.0000000000000027E-2</v>
      </c>
      <c r="AN36" s="4">
        <f t="shared" si="44"/>
        <v>-3.0000000000000027E-2</v>
      </c>
      <c r="AO36" s="4">
        <f t="shared" si="44"/>
        <v>-3.0000000000000027E-2</v>
      </c>
      <c r="AP36" s="4">
        <f t="shared" si="44"/>
        <v>-3.0000000000000027E-2</v>
      </c>
      <c r="AQ36" s="4">
        <f t="shared" si="44"/>
        <v>-3.0000000000000027E-2</v>
      </c>
    </row>
    <row r="37" spans="2:47" s="4" customFormat="1" x14ac:dyDescent="0.5">
      <c r="B37" s="4" t="s">
        <v>98</v>
      </c>
      <c r="W37" s="4">
        <f t="shared" ref="W37:AA37" si="45">+W24/V24-1</f>
        <v>-1.9180470793374038E-2</v>
      </c>
      <c r="X37" s="4">
        <f t="shared" si="45"/>
        <v>1.2148148148148241E-2</v>
      </c>
      <c r="Y37" s="4">
        <f t="shared" si="45"/>
        <v>6.2939110070257653E-2</v>
      </c>
      <c r="Z37" s="4">
        <f t="shared" si="45"/>
        <v>1.5698154778297946E-2</v>
      </c>
      <c r="AA37" s="4">
        <f>+AA24/Z24-1</f>
        <v>-1.5997830802603086E-2</v>
      </c>
      <c r="AB37" s="4">
        <f t="shared" ref="AB37:AQ37" si="46">+AB24/AA24-1</f>
        <v>5.9258748966657615E-2</v>
      </c>
      <c r="AC37" s="4">
        <f t="shared" si="46"/>
        <v>3.1145510594295045E-2</v>
      </c>
      <c r="AD37" s="4">
        <f t="shared" si="46"/>
        <v>3.1532156127231259E-2</v>
      </c>
      <c r="AE37" s="4">
        <f t="shared" si="46"/>
        <v>1.5479413268723041E-2</v>
      </c>
      <c r="AF37" s="4">
        <f t="shared" si="46"/>
        <v>1.5503805848813057E-2</v>
      </c>
      <c r="AG37" s="4">
        <f t="shared" si="46"/>
        <v>1.5528174225892588E-2</v>
      </c>
      <c r="AH37" s="4">
        <f t="shared" si="46"/>
        <v>1.5552517255081444E-2</v>
      </c>
      <c r="AI37" s="4">
        <f t="shared" si="46"/>
        <v>1.5576833796336675E-2</v>
      </c>
      <c r="AJ37" s="4">
        <f t="shared" si="46"/>
        <v>1.5601122714664184E-2</v>
      </c>
      <c r="AK37" s="4">
        <f t="shared" si="46"/>
        <v>1.5625382880324779E-2</v>
      </c>
      <c r="AL37" s="4">
        <f t="shared" si="46"/>
        <v>1.5649613169039345E-2</v>
      </c>
      <c r="AM37" s="4">
        <f t="shared" si="46"/>
        <v>-2.4326187537807131E-2</v>
      </c>
      <c r="AN37" s="4">
        <f t="shared" si="46"/>
        <v>-2.4301029563438714E-2</v>
      </c>
      <c r="AO37" s="4">
        <f t="shared" si="46"/>
        <v>-2.4275907634369154E-2</v>
      </c>
      <c r="AP37" s="4">
        <f t="shared" si="46"/>
        <v>-2.4250822991653265E-2</v>
      </c>
      <c r="AQ37" s="4">
        <f t="shared" si="46"/>
        <v>-2.4225776868749938E-2</v>
      </c>
    </row>
    <row r="38" spans="2:47" s="1" customFormat="1" x14ac:dyDescent="0.5"/>
    <row r="39" spans="2:47" s="4" customFormat="1" x14ac:dyDescent="0.5">
      <c r="B39" s="4" t="s">
        <v>33</v>
      </c>
      <c r="C39" s="4">
        <f t="shared" ref="C39:M39" si="47">+C28/C27</f>
        <v>0.12866191607284244</v>
      </c>
      <c r="D39" s="4">
        <f t="shared" si="47"/>
        <v>0.14546810891458412</v>
      </c>
      <c r="E39" s="4">
        <f t="shared" si="47"/>
        <v>0.13656884875846501</v>
      </c>
      <c r="F39" s="4">
        <f t="shared" si="47"/>
        <v>9.4600830641439773E-2</v>
      </c>
      <c r="G39" s="4">
        <f t="shared" si="47"/>
        <v>0.1223021582733813</v>
      </c>
      <c r="H39" s="4">
        <f t="shared" si="47"/>
        <v>0.13986013986013987</v>
      </c>
      <c r="I39" s="4">
        <f t="shared" si="47"/>
        <v>0.11082206035379813</v>
      </c>
      <c r="J39" s="4">
        <f t="shared" si="47"/>
        <v>0.11434108527131782</v>
      </c>
      <c r="K39" s="4">
        <f t="shared" si="47"/>
        <v>0.14539829853054911</v>
      </c>
      <c r="L39" s="4">
        <f t="shared" si="47"/>
        <v>9.6230954290296711E-2</v>
      </c>
      <c r="M39" s="4">
        <f t="shared" si="47"/>
        <v>0.12355212355212356</v>
      </c>
      <c r="N39" s="4">
        <f>+N28/N27</f>
        <v>0.11331861662987491</v>
      </c>
      <c r="O39" s="4">
        <f>+O28/O27</f>
        <v>0.11999999999999998</v>
      </c>
      <c r="P39" s="4">
        <f>+P28/P27</f>
        <v>0.11999999999999998</v>
      </c>
      <c r="Q39" s="4">
        <f>+Q28/Q27</f>
        <v>0.12</v>
      </c>
      <c r="R39" s="4">
        <f>+R28/R27</f>
        <v>0.12</v>
      </c>
      <c r="V39" s="4">
        <f t="shared" ref="V39:Z39" si="48">+V28/V27</f>
        <v>0.12412709497206705</v>
      </c>
      <c r="W39" s="4">
        <f t="shared" si="48"/>
        <v>7.0134618580688049E-2</v>
      </c>
      <c r="X39" s="4">
        <f t="shared" si="48"/>
        <v>0.12893822177374145</v>
      </c>
      <c r="Y39" s="4">
        <f t="shared" si="48"/>
        <v>0.12789074960127592</v>
      </c>
      <c r="Z39" s="4">
        <f t="shared" si="48"/>
        <v>0.12240496090590455</v>
      </c>
      <c r="AA39" s="4">
        <f>+AA28/AA27</f>
        <v>0.11993398129470016</v>
      </c>
      <c r="AB39" s="4">
        <f t="shared" ref="AB39:AQ39" si="49">+AB28/AB27</f>
        <v>0.12000000000000002</v>
      </c>
      <c r="AC39" s="4">
        <f t="shared" si="49"/>
        <v>0.15</v>
      </c>
      <c r="AD39" s="4">
        <f t="shared" si="49"/>
        <v>0.15</v>
      </c>
      <c r="AE39" s="4">
        <f t="shared" si="49"/>
        <v>0.15</v>
      </c>
      <c r="AF39" s="4">
        <f t="shared" si="49"/>
        <v>0.15</v>
      </c>
      <c r="AG39" s="4">
        <f t="shared" si="49"/>
        <v>0.15</v>
      </c>
      <c r="AH39" s="4">
        <f t="shared" si="49"/>
        <v>0.15</v>
      </c>
      <c r="AI39" s="4">
        <f t="shared" si="49"/>
        <v>0.15</v>
      </c>
      <c r="AJ39" s="4">
        <f t="shared" si="49"/>
        <v>0.15</v>
      </c>
      <c r="AK39" s="4">
        <f t="shared" si="49"/>
        <v>0.15</v>
      </c>
      <c r="AL39" s="4">
        <f t="shared" si="49"/>
        <v>0.15</v>
      </c>
      <c r="AM39" s="4">
        <f t="shared" si="49"/>
        <v>0.15</v>
      </c>
      <c r="AN39" s="4">
        <f t="shared" si="49"/>
        <v>0.15</v>
      </c>
      <c r="AO39" s="4">
        <f t="shared" si="49"/>
        <v>0.15</v>
      </c>
      <c r="AP39" s="4">
        <f t="shared" si="49"/>
        <v>0.15</v>
      </c>
      <c r="AQ39" s="4">
        <f t="shared" si="49"/>
        <v>0.15</v>
      </c>
    </row>
    <row r="40" spans="2:47" s="1" customFormat="1" x14ac:dyDescent="0.5"/>
    <row r="41" spans="2:47" s="4" customFormat="1" x14ac:dyDescent="0.5">
      <c r="B41" s="4" t="s">
        <v>60</v>
      </c>
      <c r="C41" s="4">
        <f t="shared" ref="C41:M41" si="50">+C20/C18</f>
        <v>0.70173292558613665</v>
      </c>
      <c r="D41" s="4">
        <f t="shared" si="50"/>
        <v>0.69551036070606298</v>
      </c>
      <c r="E41" s="4">
        <f t="shared" si="50"/>
        <v>0.69013547033008971</v>
      </c>
      <c r="F41" s="4">
        <f t="shared" si="50"/>
        <v>0.66102783725910064</v>
      </c>
      <c r="G41" s="4">
        <f t="shared" si="50"/>
        <v>0.65380223795387071</v>
      </c>
      <c r="H41" s="4">
        <f t="shared" si="50"/>
        <v>0.64224233061134406</v>
      </c>
      <c r="I41" s="4">
        <f t="shared" si="50"/>
        <v>0.62113857016769636</v>
      </c>
      <c r="J41" s="4">
        <f t="shared" si="50"/>
        <v>0.59627176845719887</v>
      </c>
      <c r="K41" s="4">
        <f t="shared" si="50"/>
        <v>0.57224801966675776</v>
      </c>
      <c r="L41" s="4">
        <f t="shared" si="50"/>
        <v>0.57849293563579274</v>
      </c>
      <c r="M41" s="4">
        <f t="shared" si="50"/>
        <v>0.5960009636232233</v>
      </c>
      <c r="N41" s="4">
        <f>+N20/N18</f>
        <v>0.57748939356126783</v>
      </c>
      <c r="O41" s="4">
        <f>+O20/O18</f>
        <v>0.6</v>
      </c>
      <c r="P41" s="4">
        <f>+P20/P18</f>
        <v>0.6</v>
      </c>
      <c r="Q41" s="4">
        <f>+Q20/Q18</f>
        <v>0.6</v>
      </c>
      <c r="R41" s="4">
        <f>+R20/R18</f>
        <v>0.6</v>
      </c>
      <c r="V41" s="4">
        <f t="shared" ref="V41:Z41" si="51">+V20/V18</f>
        <v>0.63714106931794479</v>
      </c>
      <c r="W41" s="4">
        <f t="shared" si="51"/>
        <v>0.64096535509300878</v>
      </c>
      <c r="X41" s="4">
        <f t="shared" si="51"/>
        <v>0.67466201482773658</v>
      </c>
      <c r="Y41" s="4">
        <f t="shared" si="51"/>
        <v>0.68758737767126021</v>
      </c>
      <c r="Z41" s="4">
        <f t="shared" si="51"/>
        <v>0.62897425652149097</v>
      </c>
      <c r="AA41" s="4">
        <f>+AA20/AA18</f>
        <v>0.58142062527971361</v>
      </c>
      <c r="AB41" s="4">
        <f t="shared" ref="AB41:AQ41" si="52">+AB20/AB18</f>
        <v>0.59999999999999987</v>
      </c>
      <c r="AC41" s="4">
        <f t="shared" si="52"/>
        <v>0.6</v>
      </c>
      <c r="AD41" s="4">
        <f t="shared" si="52"/>
        <v>0.65</v>
      </c>
      <c r="AE41" s="4">
        <f t="shared" si="52"/>
        <v>0.65</v>
      </c>
      <c r="AF41" s="4">
        <f t="shared" si="52"/>
        <v>0.65</v>
      </c>
      <c r="AG41" s="4">
        <f t="shared" si="52"/>
        <v>0.65</v>
      </c>
      <c r="AH41" s="4">
        <f t="shared" si="52"/>
        <v>0.65</v>
      </c>
      <c r="AI41" s="4">
        <f t="shared" si="52"/>
        <v>0.65</v>
      </c>
      <c r="AJ41" s="4">
        <f t="shared" si="52"/>
        <v>0.65</v>
      </c>
      <c r="AK41" s="4">
        <f t="shared" si="52"/>
        <v>0.64999999999999991</v>
      </c>
      <c r="AL41" s="4">
        <f t="shared" si="52"/>
        <v>0.65</v>
      </c>
      <c r="AM41" s="4">
        <f t="shared" si="52"/>
        <v>0.65</v>
      </c>
      <c r="AN41" s="4">
        <f t="shared" si="52"/>
        <v>0.64999999999999991</v>
      </c>
      <c r="AO41" s="4">
        <f t="shared" si="52"/>
        <v>0.65</v>
      </c>
      <c r="AP41" s="4">
        <f t="shared" si="52"/>
        <v>0.65000000000000013</v>
      </c>
      <c r="AQ41" s="4">
        <f t="shared" si="52"/>
        <v>0.65</v>
      </c>
      <c r="AT41" s="4" t="s">
        <v>100</v>
      </c>
      <c r="AU41" s="4">
        <v>-0.03</v>
      </c>
    </row>
    <row r="42" spans="2:47" s="4" customFormat="1" x14ac:dyDescent="0.5">
      <c r="B42" s="4" t="s">
        <v>61</v>
      </c>
      <c r="C42" s="4">
        <f t="shared" ref="C42:M42" si="53">+C25/C18</f>
        <v>0.52252803261977576</v>
      </c>
      <c r="D42" s="4">
        <f t="shared" si="53"/>
        <v>0.52244819646968532</v>
      </c>
      <c r="E42" s="4">
        <f t="shared" si="53"/>
        <v>0.51097118870444569</v>
      </c>
      <c r="F42" s="4">
        <f t="shared" si="53"/>
        <v>0.46595289079229124</v>
      </c>
      <c r="G42" s="4">
        <f t="shared" si="53"/>
        <v>0.4416533455126741</v>
      </c>
      <c r="H42" s="4">
        <f t="shared" si="53"/>
        <v>0.43522401235930258</v>
      </c>
      <c r="I42" s="4">
        <f t="shared" si="53"/>
        <v>0.41747572815533979</v>
      </c>
      <c r="J42" s="4">
        <f t="shared" si="53"/>
        <v>0.37601177336276675</v>
      </c>
      <c r="K42" s="4">
        <f t="shared" si="53"/>
        <v>0.35127014476918872</v>
      </c>
      <c r="L42" s="4">
        <f t="shared" si="53"/>
        <v>0.32653061224489793</v>
      </c>
      <c r="M42" s="4">
        <f t="shared" si="53"/>
        <v>0.37436762225969644</v>
      </c>
      <c r="N42" s="4">
        <f>+N25/N18</f>
        <v>0.34364861492388321</v>
      </c>
      <c r="O42" s="4">
        <f>+O25/O18</f>
        <v>0.34164973262032083</v>
      </c>
      <c r="P42" s="4">
        <f>+P25/P18</f>
        <v>0.347953027364792</v>
      </c>
      <c r="Q42" s="4">
        <f>+Q25/Q18</f>
        <v>0.38248058855141481</v>
      </c>
      <c r="R42" s="4">
        <f>+R25/R18</f>
        <v>0.37273343078184606</v>
      </c>
      <c r="V42" s="4">
        <f t="shared" ref="V42:Z42" si="54">+V25/V18</f>
        <v>0.39790029896405477</v>
      </c>
      <c r="W42" s="4">
        <f t="shared" si="54"/>
        <v>0.40757900560127241</v>
      </c>
      <c r="X42" s="4">
        <f t="shared" si="54"/>
        <v>0.48844308765808986</v>
      </c>
      <c r="Y42" s="4">
        <f t="shared" si="54"/>
        <v>0.50629119233073694</v>
      </c>
      <c r="Z42" s="4">
        <f t="shared" si="54"/>
        <v>0.41845995776014611</v>
      </c>
      <c r="AA42" s="4">
        <f>+AA25/AA18</f>
        <v>0.34940221213477402</v>
      </c>
      <c r="AB42" s="4">
        <f t="shared" ref="AB42:AQ42" si="55">+AB25/AB18</f>
        <v>0.36216726897455448</v>
      </c>
      <c r="AC42" s="4">
        <f t="shared" si="55"/>
        <v>0.36190276420459355</v>
      </c>
      <c r="AD42" s="4">
        <f t="shared" si="55"/>
        <v>0.42672276817457333</v>
      </c>
      <c r="AE42" s="4">
        <f t="shared" si="55"/>
        <v>0.44387869784513734</v>
      </c>
      <c r="AF42" s="4">
        <f t="shared" si="55"/>
        <v>0.45971184835929446</v>
      </c>
      <c r="AG42" s="4">
        <f t="shared" si="55"/>
        <v>0.46595906741666138</v>
      </c>
      <c r="AH42" s="4">
        <f t="shared" si="55"/>
        <v>0.47199692155906459</v>
      </c>
      <c r="AI42" s="4">
        <f t="shared" si="55"/>
        <v>0.47783256875328944</v>
      </c>
      <c r="AJ42" s="4">
        <f t="shared" si="55"/>
        <v>0.48347291764851524</v>
      </c>
      <c r="AK42" s="4">
        <f t="shared" si="55"/>
        <v>0.48418712571257821</v>
      </c>
      <c r="AL42" s="4">
        <f t="shared" si="55"/>
        <v>0.48489433173679769</v>
      </c>
      <c r="AM42" s="4">
        <f t="shared" si="55"/>
        <v>0.49206933645737583</v>
      </c>
      <c r="AN42" s="4">
        <f t="shared" si="55"/>
        <v>0.49892864135401815</v>
      </c>
      <c r="AO42" s="4">
        <f t="shared" si="55"/>
        <v>0.50548630951245754</v>
      </c>
      <c r="AP42" s="4">
        <f t="shared" si="55"/>
        <v>0.51175577003955053</v>
      </c>
      <c r="AQ42" s="4">
        <f t="shared" si="55"/>
        <v>0.51774984696859272</v>
      </c>
      <c r="AT42" s="4" t="s">
        <v>99</v>
      </c>
      <c r="AU42" s="4">
        <v>0.03</v>
      </c>
    </row>
    <row r="43" spans="2:47" s="1" customFormat="1" x14ac:dyDescent="0.5">
      <c r="AT43" s="1" t="s">
        <v>101</v>
      </c>
      <c r="AU43" s="4">
        <v>0.08</v>
      </c>
    </row>
    <row r="44" spans="2:47" s="1" customFormat="1" x14ac:dyDescent="0.5">
      <c r="B44" s="1" t="s">
        <v>97</v>
      </c>
      <c r="AA44" s="1">
        <v>3200</v>
      </c>
      <c r="AB44" s="1">
        <v>3200</v>
      </c>
      <c r="AC44" s="1">
        <v>3200</v>
      </c>
      <c r="AD44" s="1">
        <f>+AD29+AC44+AA45</f>
        <v>3907.8016518250006</v>
      </c>
      <c r="AE44" s="1">
        <f t="shared" ref="AE44:AQ44" si="56">+AE29+AD44</f>
        <v>11607.61923719504</v>
      </c>
      <c r="AF44" s="1">
        <f t="shared" si="56"/>
        <v>20562.006802687276</v>
      </c>
      <c r="AG44" s="1">
        <f t="shared" si="56"/>
        <v>30301.196617768655</v>
      </c>
      <c r="AH44" s="1">
        <f t="shared" si="56"/>
        <v>40874.854248105439</v>
      </c>
      <c r="AI44" s="1">
        <f t="shared" si="56"/>
        <v>52335.424572761927</v>
      </c>
      <c r="AJ44" s="1">
        <f t="shared" si="56"/>
        <v>64738.278838379534</v>
      </c>
      <c r="AK44" s="1">
        <f t="shared" si="56"/>
        <v>77695.449513273794</v>
      </c>
      <c r="AL44" s="1">
        <f t="shared" si="56"/>
        <v>91225.999314458575</v>
      </c>
      <c r="AM44" s="1">
        <f t="shared" si="56"/>
        <v>105506.87814925314</v>
      </c>
      <c r="AN44" s="1">
        <f t="shared" si="56"/>
        <v>120560.98849301905</v>
      </c>
      <c r="AO44" s="1">
        <f t="shared" si="56"/>
        <v>136412.00447348499</v>
      </c>
      <c r="AP44" s="1">
        <f t="shared" si="56"/>
        <v>153084.39228993899</v>
      </c>
      <c r="AQ44" s="1">
        <f t="shared" si="56"/>
        <v>170603.43125113283</v>
      </c>
      <c r="AT44" s="1" t="s">
        <v>102</v>
      </c>
      <c r="AU44" s="1">
        <f>NPV(AU43,AB29:DU29)</f>
        <v>134818.41919287376</v>
      </c>
    </row>
    <row r="45" spans="2:47" s="1" customFormat="1" x14ac:dyDescent="0.5">
      <c r="B45" s="1" t="s">
        <v>7</v>
      </c>
      <c r="N45" s="1">
        <v>-6016</v>
      </c>
      <c r="AA45" s="1">
        <v>-6016</v>
      </c>
      <c r="AT45" s="1" t="s">
        <v>1</v>
      </c>
      <c r="AU45" s="1">
        <f>Main!L4</f>
        <v>910.33199999999999</v>
      </c>
    </row>
    <row r="46" spans="2:47" s="1" customFormat="1" x14ac:dyDescent="0.5">
      <c r="AT46" s="1" t="s">
        <v>0</v>
      </c>
      <c r="AU46" s="1">
        <f>+AU44/AU45</f>
        <v>148.09807761659894</v>
      </c>
    </row>
    <row r="47" spans="2:47" s="1" customFormat="1" x14ac:dyDescent="0.5">
      <c r="B47" s="1" t="s">
        <v>63</v>
      </c>
      <c r="C47" s="1">
        <f>+C29</f>
        <v>2201</v>
      </c>
      <c r="D47" s="1">
        <f t="shared" ref="D47:N47" si="57">+D29</f>
        <v>2291</v>
      </c>
      <c r="E47" s="1">
        <f t="shared" si="57"/>
        <v>2295</v>
      </c>
      <c r="F47" s="1">
        <f t="shared" si="57"/>
        <v>1962</v>
      </c>
      <c r="G47" s="1">
        <f t="shared" si="57"/>
        <v>1708</v>
      </c>
      <c r="H47" s="1">
        <f t="shared" si="57"/>
        <v>1722</v>
      </c>
      <c r="I47" s="1">
        <f t="shared" si="57"/>
        <v>1709</v>
      </c>
      <c r="J47" s="1">
        <f t="shared" si="57"/>
        <v>1371</v>
      </c>
      <c r="K47" s="1">
        <f t="shared" si="57"/>
        <v>1105</v>
      </c>
      <c r="L47" s="1">
        <f t="shared" si="57"/>
        <v>1127</v>
      </c>
      <c r="M47" s="1">
        <f t="shared" si="57"/>
        <v>1362</v>
      </c>
      <c r="N47" s="1">
        <f t="shared" si="57"/>
        <v>1205</v>
      </c>
      <c r="V47" s="1">
        <f t="shared" ref="V47:AA47" si="58">V29</f>
        <v>5017</v>
      </c>
      <c r="W47" s="1">
        <f t="shared" si="58"/>
        <v>5595</v>
      </c>
      <c r="X47" s="1">
        <f t="shared" si="58"/>
        <v>7769</v>
      </c>
      <c r="Y47" s="1">
        <f t="shared" si="58"/>
        <v>8749</v>
      </c>
      <c r="Z47" s="1">
        <f t="shared" si="58"/>
        <v>6510</v>
      </c>
      <c r="AA47" s="1">
        <f>AA29</f>
        <v>4799</v>
      </c>
      <c r="AT47" s="1" t="s">
        <v>103</v>
      </c>
      <c r="AU47" s="1">
        <v>180.45</v>
      </c>
    </row>
    <row r="48" spans="2:47" s="1" customFormat="1" x14ac:dyDescent="0.5">
      <c r="B48" s="1" t="s">
        <v>62</v>
      </c>
      <c r="V48" s="1">
        <v>5017</v>
      </c>
      <c r="W48" s="1">
        <v>5595</v>
      </c>
      <c r="X48" s="1">
        <v>7769</v>
      </c>
      <c r="Y48" s="1">
        <v>8749</v>
      </c>
      <c r="Z48" s="1">
        <v>6510</v>
      </c>
      <c r="AA48" s="1">
        <v>4799</v>
      </c>
      <c r="AT48" s="1" t="s">
        <v>104</v>
      </c>
      <c r="AU48" s="4">
        <f>+AU46/AU47-1</f>
        <v>-0.17928469040399586</v>
      </c>
    </row>
    <row r="49" spans="2:27" s="1" customFormat="1" x14ac:dyDescent="0.5">
      <c r="B49" s="1" t="s">
        <v>79</v>
      </c>
      <c r="V49" s="1">
        <v>708</v>
      </c>
      <c r="W49" s="1">
        <v>733</v>
      </c>
      <c r="X49" s="1">
        <v>755</v>
      </c>
      <c r="Y49" s="1">
        <v>925</v>
      </c>
      <c r="Z49" s="1">
        <v>1175</v>
      </c>
      <c r="AA49" s="1">
        <v>1508</v>
      </c>
    </row>
    <row r="50" spans="2:27" s="1" customFormat="1" x14ac:dyDescent="0.5">
      <c r="B50" s="1" t="s">
        <v>80</v>
      </c>
      <c r="V50" s="1">
        <f>288+54</f>
        <v>342</v>
      </c>
      <c r="W50" s="1">
        <f>198+61</f>
        <v>259</v>
      </c>
      <c r="X50" s="1">
        <f>142+57</f>
        <v>199</v>
      </c>
      <c r="Y50" s="1">
        <v>54</v>
      </c>
      <c r="Z50" s="1">
        <v>63</v>
      </c>
      <c r="AA50" s="1">
        <v>72</v>
      </c>
    </row>
    <row r="51" spans="2:27" s="1" customFormat="1" x14ac:dyDescent="0.5">
      <c r="B51" s="1" t="s">
        <v>81</v>
      </c>
      <c r="V51" s="1">
        <v>217</v>
      </c>
      <c r="W51" s="1">
        <v>224</v>
      </c>
      <c r="X51" s="1">
        <v>230</v>
      </c>
      <c r="Y51" s="1">
        <v>289</v>
      </c>
      <c r="Z51" s="1">
        <v>362</v>
      </c>
      <c r="AA51" s="1">
        <v>387</v>
      </c>
    </row>
    <row r="52" spans="2:27" s="1" customFormat="1" x14ac:dyDescent="0.5">
      <c r="B52" s="1" t="s">
        <v>82</v>
      </c>
      <c r="V52" s="1">
        <v>-23</v>
      </c>
      <c r="W52" s="1">
        <v>-4</v>
      </c>
      <c r="X52" s="1">
        <v>-57</v>
      </c>
      <c r="Y52" s="1">
        <v>-3</v>
      </c>
      <c r="Z52" s="1">
        <v>0</v>
      </c>
      <c r="AA52" s="1">
        <v>-127</v>
      </c>
    </row>
    <row r="53" spans="2:27" s="1" customFormat="1" x14ac:dyDescent="0.5">
      <c r="B53" s="1" t="s">
        <v>83</v>
      </c>
      <c r="V53" s="1">
        <v>81</v>
      </c>
      <c r="W53" s="1">
        <v>-137</v>
      </c>
      <c r="X53" s="1">
        <v>15</v>
      </c>
      <c r="Y53" s="1">
        <v>-191</v>
      </c>
      <c r="Z53" s="1">
        <v>-299</v>
      </c>
      <c r="AA53" s="1">
        <v>-210</v>
      </c>
    </row>
    <row r="54" spans="2:27" s="1" customFormat="1" x14ac:dyDescent="0.5">
      <c r="B54" s="1" t="s">
        <v>84</v>
      </c>
      <c r="V54" s="1">
        <v>133</v>
      </c>
      <c r="W54" s="1">
        <v>-340</v>
      </c>
      <c r="X54" s="1">
        <v>-287</v>
      </c>
      <c r="Y54" s="1">
        <v>-194</v>
      </c>
      <c r="Z54" s="1">
        <v>108</v>
      </c>
      <c r="AA54" s="1">
        <v>68</v>
      </c>
    </row>
    <row r="55" spans="2:27" s="1" customFormat="1" x14ac:dyDescent="0.5">
      <c r="B55" s="1" t="s">
        <v>85</v>
      </c>
      <c r="V55" s="1">
        <v>216</v>
      </c>
      <c r="W55" s="1">
        <v>46</v>
      </c>
      <c r="X55" s="1">
        <v>45</v>
      </c>
      <c r="Y55" s="1">
        <v>-847</v>
      </c>
      <c r="Z55" s="1">
        <v>-1242</v>
      </c>
      <c r="AA55" s="1">
        <v>-528</v>
      </c>
    </row>
    <row r="56" spans="2:27" s="1" customFormat="1" x14ac:dyDescent="0.5">
      <c r="B56" s="1" t="s">
        <v>86</v>
      </c>
      <c r="V56" s="1">
        <v>265</v>
      </c>
      <c r="W56" s="1">
        <v>-79</v>
      </c>
      <c r="X56" s="1">
        <v>57</v>
      </c>
      <c r="Y56" s="1">
        <v>6</v>
      </c>
      <c r="Z56" s="1">
        <v>46</v>
      </c>
      <c r="AA56" s="1">
        <v>7</v>
      </c>
    </row>
    <row r="57" spans="2:27" s="1" customFormat="1" x14ac:dyDescent="0.5">
      <c r="B57" s="1" t="s">
        <v>87</v>
      </c>
      <c r="V57" s="1">
        <v>-93</v>
      </c>
      <c r="W57" s="1">
        <v>63</v>
      </c>
      <c r="X57" s="1">
        <v>33</v>
      </c>
      <c r="Y57" s="1">
        <v>106</v>
      </c>
      <c r="Z57" s="1">
        <v>-33</v>
      </c>
      <c r="AA57" s="1">
        <v>125</v>
      </c>
    </row>
    <row r="58" spans="2:27" s="1" customFormat="1" x14ac:dyDescent="0.5">
      <c r="B58" s="1" t="s">
        <v>88</v>
      </c>
      <c r="V58" s="1">
        <v>-15</v>
      </c>
      <c r="W58" s="1">
        <v>63</v>
      </c>
      <c r="X58" s="1">
        <v>7</v>
      </c>
      <c r="Y58" s="1">
        <v>22</v>
      </c>
      <c r="Z58" s="1">
        <v>29</v>
      </c>
      <c r="AA58" s="1">
        <v>-12</v>
      </c>
    </row>
    <row r="59" spans="2:27" s="1" customFormat="1" x14ac:dyDescent="0.5">
      <c r="B59" s="1" t="s">
        <v>89</v>
      </c>
      <c r="V59" s="1">
        <v>-193</v>
      </c>
      <c r="W59" s="1">
        <v>-181</v>
      </c>
      <c r="X59" s="1">
        <v>-20</v>
      </c>
      <c r="Y59" s="1">
        <v>94</v>
      </c>
      <c r="Z59" s="1">
        <v>-7</v>
      </c>
      <c r="AA59" s="1">
        <v>597</v>
      </c>
    </row>
    <row r="60" spans="2:27" s="1" customFormat="1" x14ac:dyDescent="0.5">
      <c r="B60" s="1" t="s">
        <v>90</v>
      </c>
      <c r="V60" s="1">
        <v>29</v>
      </c>
      <c r="W60" s="1">
        <v>-9</v>
      </c>
      <c r="X60" s="1">
        <v>62</v>
      </c>
      <c r="Y60" s="1">
        <v>114</v>
      </c>
      <c r="Z60" s="1">
        <v>45</v>
      </c>
      <c r="AA60" s="1">
        <v>33</v>
      </c>
    </row>
    <row r="61" spans="2:27" s="1" customFormat="1" x14ac:dyDescent="0.5">
      <c r="B61" s="1" t="s">
        <v>55</v>
      </c>
      <c r="V61" s="1">
        <v>-35</v>
      </c>
      <c r="W61" s="1">
        <v>-94</v>
      </c>
      <c r="X61" s="1">
        <v>-52</v>
      </c>
      <c r="Y61" s="1">
        <v>-404</v>
      </c>
      <c r="Z61" s="1">
        <v>-337</v>
      </c>
      <c r="AA61" s="1">
        <v>-401</v>
      </c>
    </row>
    <row r="62" spans="2:27" s="1" customFormat="1" x14ac:dyDescent="0.5">
      <c r="B62" s="1" t="s">
        <v>91</v>
      </c>
      <c r="V62" s="1">
        <f>SUM(V48:V61)</f>
        <v>6649</v>
      </c>
      <c r="W62" s="1">
        <f>SUM(W48:W61)</f>
        <v>6139</v>
      </c>
      <c r="X62" s="1">
        <f>SUM(X48:X61)</f>
        <v>8756</v>
      </c>
      <c r="Y62" s="1">
        <f>SUM(Y48:Y61)</f>
        <v>8720</v>
      </c>
      <c r="Z62" s="1">
        <f>SUM(Z48:Z61)</f>
        <v>6420</v>
      </c>
      <c r="AA62" s="1">
        <f>SUM(AA48:AA61)</f>
        <v>6318</v>
      </c>
    </row>
    <row r="63" spans="2:27" s="1" customFormat="1" x14ac:dyDescent="0.5">
      <c r="B63" s="1" t="s">
        <v>92</v>
      </c>
      <c r="V63" s="1">
        <v>847</v>
      </c>
      <c r="W63" s="1">
        <v>649</v>
      </c>
      <c r="X63" s="1">
        <v>2462</v>
      </c>
      <c r="Y63" s="1">
        <v>2797</v>
      </c>
      <c r="Z63" s="1">
        <v>5071</v>
      </c>
      <c r="AA63" s="1">
        <v>4820</v>
      </c>
    </row>
    <row r="64" spans="2:27" s="9" customFormat="1" x14ac:dyDescent="0.5">
      <c r="B64" s="9" t="s">
        <v>94</v>
      </c>
      <c r="V64" s="9">
        <f>+V62-V63</f>
        <v>5802</v>
      </c>
      <c r="W64" s="9">
        <f>+W62-W63</f>
        <v>5490</v>
      </c>
      <c r="X64" s="9">
        <f>+X62-X63</f>
        <v>6294</v>
      </c>
      <c r="Y64" s="9">
        <f>+Y62-Y63</f>
        <v>5923</v>
      </c>
      <c r="Z64" s="9">
        <f>+Z62-Z63</f>
        <v>1349</v>
      </c>
      <c r="AA64" s="9">
        <f>+AA62-AA63</f>
        <v>1498</v>
      </c>
    </row>
    <row r="65" spans="2:27" s="1" customFormat="1" x14ac:dyDescent="0.5">
      <c r="B65" s="1" t="s">
        <v>93</v>
      </c>
      <c r="V65" s="1">
        <v>-1920</v>
      </c>
      <c r="W65" s="1">
        <v>-922</v>
      </c>
      <c r="X65" s="1">
        <v>-4095</v>
      </c>
      <c r="Y65" s="1">
        <v>-3583</v>
      </c>
      <c r="Z65" s="1">
        <v>-4362</v>
      </c>
      <c r="AA65" s="1">
        <v>-3202</v>
      </c>
    </row>
    <row r="66" spans="2:27" s="1" customFormat="1" x14ac:dyDescent="0.5">
      <c r="B66" s="1" t="s">
        <v>95</v>
      </c>
      <c r="V66" s="1">
        <v>-4730</v>
      </c>
      <c r="W66" s="1">
        <v>-4547</v>
      </c>
      <c r="X66" s="1">
        <v>-3137</v>
      </c>
      <c r="Y66" s="1">
        <v>-6718</v>
      </c>
      <c r="Z66" s="1">
        <v>-2144</v>
      </c>
      <c r="AA66" s="1">
        <v>-2880</v>
      </c>
    </row>
    <row r="67" spans="2:27" s="1" customFormat="1" x14ac:dyDescent="0.5">
      <c r="B67" s="1" t="s">
        <v>96</v>
      </c>
      <c r="V67" s="10">
        <f>+V66+V65+V62</f>
        <v>-1</v>
      </c>
      <c r="W67" s="10">
        <f>+W66+W65+W62</f>
        <v>670</v>
      </c>
      <c r="X67" s="10">
        <f>+X66+X65+X62</f>
        <v>1524</v>
      </c>
      <c r="Y67" s="10">
        <f>+Y66+Y65+Y62</f>
        <v>-1581</v>
      </c>
      <c r="Z67" s="10">
        <f>+Z66+Z65+Z62</f>
        <v>-86</v>
      </c>
      <c r="AA67" s="1">
        <f>+AA66+AA65+AA62</f>
        <v>236</v>
      </c>
    </row>
    <row r="68" spans="2:27" s="1" customFormat="1" x14ac:dyDescent="0.5"/>
    <row r="69" spans="2:27" s="1" customFormat="1" x14ac:dyDescent="0.5"/>
    <row r="70" spans="2:27" s="1" customFormat="1" x14ac:dyDescent="0.5"/>
    <row r="71" spans="2:27" s="1" customFormat="1" x14ac:dyDescent="0.5"/>
    <row r="72" spans="2:27" s="1" customFormat="1" x14ac:dyDescent="0.5"/>
    <row r="73" spans="2:27" s="1" customFormat="1" x14ac:dyDescent="0.5"/>
    <row r="74" spans="2:27" s="1" customFormat="1" x14ac:dyDescent="0.5"/>
    <row r="75" spans="2:27" s="1" customFormat="1" x14ac:dyDescent="0.5"/>
    <row r="76" spans="2:27" s="1" customFormat="1" x14ac:dyDescent="0.5"/>
    <row r="77" spans="2:27" s="1" customFormat="1" x14ac:dyDescent="0.5"/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2025-03-17T15:48:53Z</dcterms:created>
  <dcterms:modified xsi:type="dcterms:W3CDTF">2025-03-20T16:45:16Z</dcterms:modified>
</cp:coreProperties>
</file>