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07474b3756498a/Value Investing/"/>
    </mc:Choice>
  </mc:AlternateContent>
  <xr:revisionPtr revIDLastSave="130" documentId="8_{1D37A1E2-6938-B14D-ABDE-889C88F16272}" xr6:coauthVersionLast="47" xr6:coauthVersionMax="47" xr10:uidLastSave="{B06AD61A-06EF-CB47-B88E-ACDDD0B87F6D}"/>
  <bookViews>
    <workbookView xWindow="-25600" yWindow="-11860" windowWidth="25600" windowHeight="30000" activeTab="1" xr2:uid="{C49540F0-36B4-7247-9322-CC4CE7A21343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2" l="1"/>
  <c r="H13" i="2"/>
  <c r="H11" i="2"/>
  <c r="H8" i="2"/>
  <c r="H7" i="2"/>
  <c r="H5" i="2"/>
  <c r="H4" i="2"/>
  <c r="G16" i="2"/>
  <c r="F16" i="2"/>
  <c r="E16" i="2"/>
  <c r="D16" i="2"/>
  <c r="C16" i="2"/>
  <c r="H6" i="2"/>
  <c r="H9" i="2"/>
  <c r="H10" i="2"/>
  <c r="H12" i="2" s="1"/>
  <c r="H14" i="2" s="1"/>
  <c r="H16" i="2" s="1"/>
  <c r="D13" i="2"/>
  <c r="D11" i="2"/>
  <c r="D8" i="2"/>
  <c r="D7" i="2"/>
  <c r="D9" i="2" s="1"/>
  <c r="D5" i="2"/>
  <c r="D4" i="2"/>
  <c r="D6" i="2" s="1"/>
  <c r="D10" i="2" s="1"/>
  <c r="D12" i="2" s="1"/>
  <c r="D14" i="2" s="1"/>
  <c r="G11" i="2"/>
  <c r="G8" i="2"/>
  <c r="G9" i="2"/>
  <c r="G6" i="2"/>
  <c r="G10" i="2" s="1"/>
  <c r="G12" i="2" s="1"/>
  <c r="G14" i="2" s="1"/>
  <c r="C8" i="2"/>
  <c r="C11" i="2"/>
  <c r="C9" i="2"/>
  <c r="C6" i="2"/>
  <c r="C10" i="2" s="1"/>
  <c r="C12" i="2" s="1"/>
  <c r="C14" i="2" s="1"/>
  <c r="M6" i="1"/>
  <c r="M8" i="1"/>
  <c r="M7" i="1"/>
  <c r="M5" i="1"/>
</calcChain>
</file>

<file path=xl/sharedStrings.xml><?xml version="1.0" encoding="utf-8"?>
<sst xmlns="http://schemas.openxmlformats.org/spreadsheetml/2006/main" count="34" uniqueCount="30">
  <si>
    <t>Price</t>
  </si>
  <si>
    <t>Shares</t>
  </si>
  <si>
    <t>MC</t>
  </si>
  <si>
    <t>Cash</t>
  </si>
  <si>
    <t>Debt</t>
  </si>
  <si>
    <t>EV</t>
  </si>
  <si>
    <t>Yen</t>
  </si>
  <si>
    <t>Q224</t>
  </si>
  <si>
    <t>Revenue</t>
  </si>
  <si>
    <t>COGs</t>
  </si>
  <si>
    <t>Gross Profit</t>
  </si>
  <si>
    <t>Q123</t>
  </si>
  <si>
    <t>Q223</t>
  </si>
  <si>
    <t>Q323</t>
  </si>
  <si>
    <t>Q424</t>
  </si>
  <si>
    <t>Q423</t>
  </si>
  <si>
    <t>Q124</t>
  </si>
  <si>
    <t>Q324</t>
  </si>
  <si>
    <t>Other</t>
  </si>
  <si>
    <t>SG&amp;A</t>
  </si>
  <si>
    <t>Operating Expense</t>
  </si>
  <si>
    <t>Operating Income</t>
  </si>
  <si>
    <t>Interest Income</t>
  </si>
  <si>
    <t>Pretax Income</t>
  </si>
  <si>
    <t>Taxes</t>
  </si>
  <si>
    <t>Net Income</t>
  </si>
  <si>
    <t>EPS</t>
  </si>
  <si>
    <t>CFFO</t>
  </si>
  <si>
    <t>Capex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</si>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</sst>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1E20-41C5-E14D-A440-0C8A2F72EE6F}">
  <dimension ref="L2:N8"/>
  <sheetViews>
    <sheetView topLeftCell="C1" zoomScale="140" zoomScaleNormal="140" workbookViewId="0">
      <selection activeCell="N6" sqref="N6:N7"/>
    </sheetView>
  </sheetViews>
  <sheetFormatPr baseColWidth="10" defaultRowHeight="16" x14ac:dyDescent="0.2"/>
  <cols>
    <col min="13" max="13" width="11.1640625" bestFit="1" customWidth="1"/>
  </cols>
  <sheetData>
    <row r="2" spans="12:14" x14ac:dyDescent="0.2">
      <c r="M2" t="s">
        <v>6</v>
      </c>
    </row>
    <row r="3" spans="12:14" x14ac:dyDescent="0.2">
      <c r="L3" s="1" t="s">
        <v>0</v>
      </c>
      <c r="M3" s="2">
        <v>9411</v>
      </c>
    </row>
    <row r="4" spans="12:14" x14ac:dyDescent="0.2">
      <c r="L4" s="1" t="s">
        <v>1</v>
      </c>
      <c r="M4" s="2">
        <v>1470</v>
      </c>
      <c r="N4" t="s">
        <v>7</v>
      </c>
    </row>
    <row r="5" spans="12:14" x14ac:dyDescent="0.2">
      <c r="L5" s="1" t="s">
        <v>2</v>
      </c>
      <c r="M5" s="2">
        <f>M4*M3</f>
        <v>13834170</v>
      </c>
    </row>
    <row r="6" spans="12:14" x14ac:dyDescent="0.2">
      <c r="L6" s="1" t="s">
        <v>3</v>
      </c>
      <c r="M6" s="2">
        <f>1992873+272788+522232+229715</f>
        <v>3017608</v>
      </c>
      <c r="N6" t="s">
        <v>7</v>
      </c>
    </row>
    <row r="7" spans="12:14" x14ac:dyDescent="0.2">
      <c r="L7" s="1" t="s">
        <v>4</v>
      </c>
      <c r="M7" s="2">
        <f>2381632+3939255</f>
        <v>6320887</v>
      </c>
      <c r="N7" t="s">
        <v>7</v>
      </c>
    </row>
    <row r="8" spans="12:14" x14ac:dyDescent="0.2">
      <c r="L8" s="1" t="s">
        <v>5</v>
      </c>
      <c r="M8" s="2">
        <f>M5-M6+M7</f>
        <v>17137449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335D-3FDE-B642-8958-30726864EB1B}">
  <dimension ref="B2:J22"/>
  <sheetViews>
    <sheetView tabSelected="1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G22" sqref="G22"/>
    </sheetView>
  </sheetViews>
  <sheetFormatPr baseColWidth="10" defaultRowHeight="16" x14ac:dyDescent="0.2"/>
  <cols>
    <col min="2" max="2" width="16.33203125" bestFit="1" customWidth="1"/>
    <col min="3" max="10" width="10.83203125" style="4"/>
  </cols>
  <sheetData>
    <row r="2" spans="2:10" x14ac:dyDescent="0.2">
      <c r="C2" s="3">
        <v>45107</v>
      </c>
      <c r="D2" s="3">
        <v>45199</v>
      </c>
      <c r="E2" s="3">
        <v>45657</v>
      </c>
      <c r="F2" s="3">
        <v>45382</v>
      </c>
      <c r="G2" s="3">
        <v>45473</v>
      </c>
      <c r="H2" s="3">
        <v>45565</v>
      </c>
      <c r="I2" s="3">
        <v>45657</v>
      </c>
      <c r="J2" s="3">
        <v>45382</v>
      </c>
    </row>
    <row r="3" spans="2:10" x14ac:dyDescent="0.2">
      <c r="C3" s="4" t="s">
        <v>11</v>
      </c>
      <c r="D3" s="4" t="s">
        <v>12</v>
      </c>
      <c r="E3" s="4" t="s">
        <v>13</v>
      </c>
      <c r="F3" s="4" t="s">
        <v>15</v>
      </c>
      <c r="G3" s="4" t="s">
        <v>16</v>
      </c>
      <c r="H3" s="4" t="s">
        <v>7</v>
      </c>
      <c r="I3" s="4" t="s">
        <v>17</v>
      </c>
      <c r="J3" s="4" t="s">
        <v>14</v>
      </c>
    </row>
    <row r="4" spans="2:10" s="2" customFormat="1" x14ac:dyDescent="0.2">
      <c r="B4" s="2" t="s">
        <v>8</v>
      </c>
      <c r="C4" s="5">
        <v>1429666</v>
      </c>
      <c r="D4" s="2">
        <f>2933758-C4</f>
        <v>1504092</v>
      </c>
      <c r="E4" s="5"/>
      <c r="F4" s="5"/>
      <c r="G4" s="5">
        <v>1535722</v>
      </c>
      <c r="H4" s="2">
        <f>3152079-G4</f>
        <v>1616357</v>
      </c>
      <c r="I4" s="5"/>
      <c r="J4" s="5"/>
    </row>
    <row r="5" spans="2:10" s="2" customFormat="1" x14ac:dyDescent="0.2">
      <c r="B5" s="2" t="s">
        <v>9</v>
      </c>
      <c r="C5" s="5">
        <v>713739</v>
      </c>
      <c r="D5" s="2">
        <f>1466511-C5</f>
        <v>752772</v>
      </c>
      <c r="E5" s="5"/>
      <c r="F5" s="5"/>
      <c r="G5" s="5">
        <v>762330</v>
      </c>
      <c r="H5" s="2">
        <f>1574416-G5</f>
        <v>812086</v>
      </c>
      <c r="I5" s="5"/>
      <c r="J5" s="5"/>
    </row>
    <row r="6" spans="2:10" s="6" customFormat="1" x14ac:dyDescent="0.2">
      <c r="B6" s="6" t="s">
        <v>10</v>
      </c>
      <c r="C6" s="7">
        <f>C4-C5</f>
        <v>715927</v>
      </c>
      <c r="D6" s="7">
        <f>D4-D5</f>
        <v>751320</v>
      </c>
      <c r="E6" s="7"/>
      <c r="F6" s="7"/>
      <c r="G6" s="7">
        <f>G4-G5</f>
        <v>773392</v>
      </c>
      <c r="H6" s="7">
        <f>H4-H5</f>
        <v>804271</v>
      </c>
      <c r="I6" s="7"/>
      <c r="J6" s="7"/>
    </row>
    <row r="7" spans="2:10" s="2" customFormat="1" x14ac:dyDescent="0.2">
      <c r="B7" s="2" t="s">
        <v>19</v>
      </c>
      <c r="C7" s="5">
        <v>478516</v>
      </c>
      <c r="D7" s="2">
        <f>970792-C7</f>
        <v>492276</v>
      </c>
      <c r="E7" s="5"/>
      <c r="F7" s="5"/>
      <c r="G7" s="5">
        <v>510203</v>
      </c>
      <c r="H7" s="2">
        <f>1032097-G7</f>
        <v>521894</v>
      </c>
      <c r="I7" s="5"/>
      <c r="J7" s="5"/>
    </row>
    <row r="8" spans="2:10" s="2" customFormat="1" x14ac:dyDescent="0.2">
      <c r="B8" s="2" t="s">
        <v>18</v>
      </c>
      <c r="C8" s="5">
        <f>-10459+1551</f>
        <v>-8908</v>
      </c>
      <c r="D8" s="2">
        <f>-19484+1551-C8</f>
        <v>-9025</v>
      </c>
      <c r="E8" s="5"/>
      <c r="F8" s="5"/>
      <c r="G8" s="5">
        <f>-43195+2457</f>
        <v>-40738</v>
      </c>
      <c r="H8" s="2">
        <f>-43195+2872-G8</f>
        <v>415</v>
      </c>
      <c r="I8" s="5"/>
      <c r="J8" s="5"/>
    </row>
    <row r="9" spans="2:10" s="2" customFormat="1" x14ac:dyDescent="0.2">
      <c r="B9" s="2" t="s">
        <v>20</v>
      </c>
      <c r="C9" s="5">
        <f>SUM(C7:C8)</f>
        <v>469608</v>
      </c>
      <c r="D9" s="5">
        <f>SUM(D7:D8)</f>
        <v>483251</v>
      </c>
      <c r="E9" s="5"/>
      <c r="F9" s="5"/>
      <c r="G9" s="5">
        <f>SUM(G7:G8)</f>
        <v>469465</v>
      </c>
      <c r="H9" s="5">
        <f>SUM(H7:H8)</f>
        <v>522309</v>
      </c>
      <c r="I9" s="5"/>
      <c r="J9" s="5"/>
    </row>
    <row r="10" spans="2:10" s="2" customFormat="1" x14ac:dyDescent="0.2">
      <c r="B10" s="2" t="s">
        <v>21</v>
      </c>
      <c r="C10" s="5">
        <f>C6-C9</f>
        <v>246319</v>
      </c>
      <c r="D10" s="5">
        <f>D6-D9</f>
        <v>268069</v>
      </c>
      <c r="E10" s="5"/>
      <c r="F10" s="5"/>
      <c r="G10" s="5">
        <f>G6-G9</f>
        <v>303927</v>
      </c>
      <c r="H10" s="5">
        <f>H6-H9</f>
        <v>281962</v>
      </c>
      <c r="I10" s="5"/>
      <c r="J10" s="5"/>
    </row>
    <row r="11" spans="2:10" s="2" customFormat="1" x14ac:dyDescent="0.2">
      <c r="B11" s="2" t="s">
        <v>22</v>
      </c>
      <c r="C11" s="5">
        <f>19763-7589+7772-17644</f>
        <v>2302</v>
      </c>
      <c r="D11" s="2">
        <f>20333-12116+9235-36094+5227-C11</f>
        <v>-15717</v>
      </c>
      <c r="E11" s="5"/>
      <c r="F11" s="5"/>
      <c r="G11" s="5">
        <f>2839-2831+4514-37697+3160</f>
        <v>-30015</v>
      </c>
      <c r="H11" s="2">
        <f>3243-4349+6659-70180+4379-G11</f>
        <v>-30233</v>
      </c>
      <c r="I11" s="5"/>
      <c r="J11" s="5"/>
    </row>
    <row r="12" spans="2:10" s="2" customFormat="1" x14ac:dyDescent="0.2">
      <c r="B12" s="2" t="s">
        <v>23</v>
      </c>
      <c r="C12" s="5">
        <f>C10+C11</f>
        <v>248621</v>
      </c>
      <c r="D12" s="5">
        <f>D10+D11</f>
        <v>252352</v>
      </c>
      <c r="E12" s="5"/>
      <c r="F12" s="5"/>
      <c r="G12" s="5">
        <f>G10+G11</f>
        <v>273912</v>
      </c>
      <c r="H12" s="5">
        <f>H10+H11</f>
        <v>251729</v>
      </c>
      <c r="I12" s="5"/>
      <c r="J12" s="5"/>
    </row>
    <row r="13" spans="2:10" s="2" customFormat="1" x14ac:dyDescent="0.2">
      <c r="B13" s="2" t="s">
        <v>24</v>
      </c>
      <c r="C13" s="5">
        <v>75037</v>
      </c>
      <c r="D13" s="2">
        <f>128161-C13</f>
        <v>53124</v>
      </c>
      <c r="E13" s="5"/>
      <c r="F13" s="5"/>
      <c r="G13" s="5">
        <v>73343</v>
      </c>
      <c r="H13" s="2">
        <f>131854-G13</f>
        <v>58511</v>
      </c>
      <c r="I13" s="5"/>
      <c r="J13" s="5"/>
    </row>
    <row r="14" spans="2:10" s="2" customFormat="1" x14ac:dyDescent="0.2">
      <c r="B14" s="2" t="s">
        <v>25</v>
      </c>
      <c r="C14" s="5">
        <f>C12-C13</f>
        <v>173584</v>
      </c>
      <c r="D14" s="5">
        <f>D12-D13</f>
        <v>199228</v>
      </c>
      <c r="E14" s="5"/>
      <c r="F14" s="5"/>
      <c r="G14" s="5">
        <f>G12-G13</f>
        <v>200569</v>
      </c>
      <c r="H14" s="5">
        <f>H12-H13</f>
        <v>193218</v>
      </c>
      <c r="I14" s="5"/>
      <c r="J14" s="5"/>
    </row>
    <row r="15" spans="2:10" s="8" customFormat="1" x14ac:dyDescent="0.2">
      <c r="B15" s="8" t="s">
        <v>26</v>
      </c>
      <c r="C15" s="9">
        <v>30.69</v>
      </c>
      <c r="D15" s="9">
        <v>6.29</v>
      </c>
      <c r="E15" s="9"/>
      <c r="F15" s="9"/>
      <c r="G15" s="9">
        <v>33.799999999999997</v>
      </c>
      <c r="H15" s="9">
        <v>6.72</v>
      </c>
      <c r="I15" s="9"/>
      <c r="J15" s="9"/>
    </row>
    <row r="16" spans="2:10" s="2" customFormat="1" x14ac:dyDescent="0.2">
      <c r="B16" s="2" t="s">
        <v>1</v>
      </c>
      <c r="C16" s="5">
        <f>C14/C15</f>
        <v>5656.0443141088299</v>
      </c>
      <c r="D16" s="5">
        <f t="shared" ref="D16:H16" si="0">D14/D15</f>
        <v>31673.76788553259</v>
      </c>
      <c r="E16" s="5" t="e">
        <f t="shared" si="0"/>
        <v>#DIV/0!</v>
      </c>
      <c r="F16" s="5" t="e">
        <f t="shared" si="0"/>
        <v>#DIV/0!</v>
      </c>
      <c r="G16" s="5">
        <f t="shared" si="0"/>
        <v>5933.9940828402368</v>
      </c>
      <c r="H16" s="5">
        <f t="shared" si="0"/>
        <v>28752.678571428572</v>
      </c>
      <c r="I16" s="5"/>
      <c r="J16" s="5"/>
    </row>
    <row r="20" spans="2:7" x14ac:dyDescent="0.2">
      <c r="B20" t="s">
        <v>27</v>
      </c>
      <c r="G20" s="4">
        <v>172.1</v>
      </c>
    </row>
    <row r="21" spans="2:7" x14ac:dyDescent="0.2">
      <c r="B21" t="s">
        <v>28</v>
      </c>
      <c r="G21" s="4">
        <f>G20-G22</f>
        <v>339.5</v>
      </c>
    </row>
    <row r="22" spans="2:7" x14ac:dyDescent="0.2">
      <c r="B22" t="s">
        <v>29</v>
      </c>
      <c r="G22" s="4">
        <v>-167.4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S</dc:creator>
  <cp:lastModifiedBy>Bobby S</cp:lastModifiedBy>
  <dcterms:created xsi:type="dcterms:W3CDTF">2025-01-31T14:54:36Z</dcterms:created>
  <dcterms:modified xsi:type="dcterms:W3CDTF">2025-02-01T15:29:39Z</dcterms:modified>
</cp:coreProperties>
</file>