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593" documentId="8_{A2687E5F-4373-0F4A-9BC1-E4F5012B9F17}" xr6:coauthVersionLast="47" xr6:coauthVersionMax="47" xr10:uidLastSave="{5176FE13-6089-1E45-9D48-A070913ADB63}"/>
  <bookViews>
    <workbookView xWindow="30080" yWindow="-33340" windowWidth="30080" windowHeight="31840" activeTab="1" xr2:uid="{8A2A06D6-53B5-5342-87FF-7C577E05AA09}"/>
  </bookViews>
  <sheets>
    <sheet name="Main" sheetId="1" r:id="rId1"/>
    <sheet name="Model" sheetId="2" r:id="rId2"/>
    <sheet name="IAC Portfol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 s="1"/>
  <c r="W3" i="2" s="1"/>
  <c r="X3" i="2" s="1"/>
  <c r="Y3" i="2" s="1"/>
  <c r="Z3" i="2" s="1"/>
  <c r="AA3" i="2" s="1"/>
  <c r="AB3" i="2" s="1"/>
  <c r="AC3" i="2" s="1"/>
  <c r="T3" i="2"/>
  <c r="S11" i="2"/>
  <c r="U5" i="2"/>
  <c r="V8" i="2"/>
  <c r="W8" i="2"/>
  <c r="X8" i="2"/>
  <c r="Y8" i="2"/>
  <c r="Z8" i="2"/>
  <c r="AA8" i="2"/>
  <c r="AB8" i="2"/>
  <c r="AC8" i="2"/>
  <c r="W25" i="2"/>
  <c r="S29" i="2"/>
  <c r="R29" i="2"/>
  <c r="S28" i="2"/>
  <c r="R28" i="2"/>
  <c r="R27" i="2"/>
  <c r="W9" i="2"/>
  <c r="V9" i="2"/>
  <c r="U9" i="2"/>
  <c r="T9" i="2"/>
  <c r="X4" i="2"/>
  <c r="W4" i="2"/>
  <c r="V4" i="2"/>
  <c r="U4" i="2"/>
  <c r="AC4" i="2" s="1"/>
  <c r="T4" i="2"/>
  <c r="AB4" i="2" s="1"/>
  <c r="T5" i="2"/>
  <c r="T28" i="2" s="1"/>
  <c r="U6" i="2"/>
  <c r="V6" i="2" s="1"/>
  <c r="T6" i="2"/>
  <c r="V25" i="2"/>
  <c r="U25" i="2"/>
  <c r="T25" i="2"/>
  <c r="AC24" i="2"/>
  <c r="AB24" i="2"/>
  <c r="AA24" i="2"/>
  <c r="Z24" i="2"/>
  <c r="Y24" i="2"/>
  <c r="X24" i="2"/>
  <c r="W24" i="2"/>
  <c r="V24" i="2"/>
  <c r="U24" i="2"/>
  <c r="T24" i="2"/>
  <c r="U23" i="2"/>
  <c r="T23" i="2"/>
  <c r="T22" i="2"/>
  <c r="U7" i="2"/>
  <c r="V7" i="2" s="1"/>
  <c r="W7" i="2" s="1"/>
  <c r="X7" i="2" s="1"/>
  <c r="Y7" i="2" s="1"/>
  <c r="Z7" i="2" s="1"/>
  <c r="AA7" i="2" s="1"/>
  <c r="AB7" i="2" s="1"/>
  <c r="AC7" i="2" s="1"/>
  <c r="T7" i="2"/>
  <c r="U8" i="2"/>
  <c r="T8" i="2"/>
  <c r="S25" i="2"/>
  <c r="R25" i="2"/>
  <c r="S24" i="2"/>
  <c r="R24" i="2"/>
  <c r="R23" i="2"/>
  <c r="S23" i="2"/>
  <c r="R22" i="2"/>
  <c r="S22" i="2"/>
  <c r="N7" i="2"/>
  <c r="M7" i="2"/>
  <c r="L7" i="2"/>
  <c r="K7" i="2"/>
  <c r="K8" i="2"/>
  <c r="N6" i="2"/>
  <c r="M6" i="2"/>
  <c r="L6" i="2"/>
  <c r="K6" i="2"/>
  <c r="S15" i="2"/>
  <c r="S4" i="2"/>
  <c r="S5" i="2"/>
  <c r="S8" i="2"/>
  <c r="S7" i="2"/>
  <c r="S6" i="2"/>
  <c r="S3" i="2"/>
  <c r="R14" i="2"/>
  <c r="R12" i="2"/>
  <c r="R10" i="2"/>
  <c r="R9" i="2"/>
  <c r="R5" i="2"/>
  <c r="Q16" i="2"/>
  <c r="R16" i="2"/>
  <c r="R15" i="2"/>
  <c r="R13" i="2"/>
  <c r="R11" i="2"/>
  <c r="R8" i="2"/>
  <c r="R7" i="2"/>
  <c r="R6" i="2"/>
  <c r="R4" i="2"/>
  <c r="R3" i="2"/>
  <c r="Q15" i="2"/>
  <c r="Q14" i="2"/>
  <c r="Q13" i="2"/>
  <c r="Q11" i="2"/>
  <c r="Q8" i="2"/>
  <c r="Q7" i="2"/>
  <c r="Q6" i="2"/>
  <c r="Q9" i="2" s="1"/>
  <c r="Q4" i="2"/>
  <c r="Q3" i="2"/>
  <c r="Q5" i="2" s="1"/>
  <c r="N8" i="2"/>
  <c r="N25" i="2" s="1"/>
  <c r="M8" i="2"/>
  <c r="M25" i="2" s="1"/>
  <c r="L8" i="2"/>
  <c r="L25" i="2" s="1"/>
  <c r="K25" i="2"/>
  <c r="K24" i="2"/>
  <c r="L24" i="2"/>
  <c r="N24" i="2"/>
  <c r="N3" i="2"/>
  <c r="N5" i="2" s="1"/>
  <c r="N4" i="2" s="1"/>
  <c r="M3" i="2"/>
  <c r="M22" i="2" s="1"/>
  <c r="L3" i="2"/>
  <c r="L22" i="2" s="1"/>
  <c r="K3" i="2"/>
  <c r="K22" i="2" s="1"/>
  <c r="N23" i="2"/>
  <c r="M23" i="2"/>
  <c r="L23" i="2"/>
  <c r="K23" i="2"/>
  <c r="J25" i="2"/>
  <c r="I25" i="2"/>
  <c r="H25" i="2"/>
  <c r="G25" i="2"/>
  <c r="J24" i="2"/>
  <c r="I24" i="2"/>
  <c r="H24" i="2"/>
  <c r="G24" i="2"/>
  <c r="I23" i="2"/>
  <c r="H23" i="2"/>
  <c r="G23" i="2"/>
  <c r="J23" i="2"/>
  <c r="J9" i="1"/>
  <c r="J6" i="1"/>
  <c r="T2" i="2"/>
  <c r="U2" i="2" s="1"/>
  <c r="V2" i="2" s="1"/>
  <c r="W2" i="2" s="1"/>
  <c r="X2" i="2" s="1"/>
  <c r="Y2" i="2" s="1"/>
  <c r="Z2" i="2" s="1"/>
  <c r="AA2" i="2" s="1"/>
  <c r="AB2" i="2" s="1"/>
  <c r="AC2" i="2" s="1"/>
  <c r="I22" i="2"/>
  <c r="H22" i="2"/>
  <c r="G22" i="2"/>
  <c r="J22" i="2"/>
  <c r="F13" i="2"/>
  <c r="F11" i="2"/>
  <c r="F9" i="2"/>
  <c r="F5" i="2"/>
  <c r="F10" i="2" s="1"/>
  <c r="F12" i="2" s="1"/>
  <c r="J11" i="2"/>
  <c r="J9" i="2"/>
  <c r="J5" i="2"/>
  <c r="J10" i="2" s="1"/>
  <c r="J29" i="2" s="1"/>
  <c r="C13" i="2"/>
  <c r="C11" i="2"/>
  <c r="C9" i="2"/>
  <c r="C5" i="2"/>
  <c r="C28" i="2" s="1"/>
  <c r="G13" i="2"/>
  <c r="G11" i="2"/>
  <c r="G9" i="2"/>
  <c r="G5" i="2"/>
  <c r="D11" i="2"/>
  <c r="D13" i="2"/>
  <c r="D9" i="2"/>
  <c r="D5" i="2"/>
  <c r="D10" i="2" s="1"/>
  <c r="D29" i="2" s="1"/>
  <c r="H13" i="2"/>
  <c r="H11" i="2"/>
  <c r="H9" i="2"/>
  <c r="H5" i="2"/>
  <c r="I13" i="2"/>
  <c r="I27" i="2" s="1"/>
  <c r="E13" i="2"/>
  <c r="E11" i="2"/>
  <c r="E9" i="2"/>
  <c r="E5" i="2"/>
  <c r="E28" i="2" s="1"/>
  <c r="I11" i="2"/>
  <c r="I9" i="2"/>
  <c r="I5" i="2"/>
  <c r="I10" i="2" s="1"/>
  <c r="I12" i="2" s="1"/>
  <c r="T10" i="2" l="1"/>
  <c r="T29" i="2"/>
  <c r="U10" i="2"/>
  <c r="U28" i="2"/>
  <c r="U22" i="2"/>
  <c r="X9" i="2"/>
  <c r="Y4" i="2"/>
  <c r="Z4" i="2"/>
  <c r="AA4" i="2"/>
  <c r="W6" i="2"/>
  <c r="V23" i="2"/>
  <c r="M9" i="2"/>
  <c r="S9" i="2"/>
  <c r="S10" i="2" s="1"/>
  <c r="S12" i="2" s="1"/>
  <c r="S27" i="2" s="1"/>
  <c r="Q10" i="2"/>
  <c r="Q12" i="2" s="1"/>
  <c r="N22" i="2"/>
  <c r="M24" i="2"/>
  <c r="N9" i="2"/>
  <c r="N10" i="2" s="1"/>
  <c r="N12" i="2" s="1"/>
  <c r="N13" i="2" s="1"/>
  <c r="N14" i="2" s="1"/>
  <c r="N16" i="2" s="1"/>
  <c r="G10" i="2"/>
  <c r="G29" i="2" s="1"/>
  <c r="F27" i="2"/>
  <c r="K5" i="2"/>
  <c r="K4" i="2" s="1"/>
  <c r="L5" i="2"/>
  <c r="L4" i="2" s="1"/>
  <c r="L9" i="2"/>
  <c r="L10" i="2" s="1"/>
  <c r="L12" i="2" s="1"/>
  <c r="L13" i="2" s="1"/>
  <c r="L14" i="2" s="1"/>
  <c r="L16" i="2" s="1"/>
  <c r="M5" i="2"/>
  <c r="M4" i="2" s="1"/>
  <c r="K9" i="2"/>
  <c r="K10" i="2" s="1"/>
  <c r="K12" i="2" s="1"/>
  <c r="K13" i="2" s="1"/>
  <c r="J28" i="2"/>
  <c r="H10" i="2"/>
  <c r="H29" i="2" s="1"/>
  <c r="D28" i="2"/>
  <c r="F28" i="2"/>
  <c r="G28" i="2"/>
  <c r="F29" i="2"/>
  <c r="H28" i="2"/>
  <c r="I28" i="2"/>
  <c r="I29" i="2"/>
  <c r="C10" i="2"/>
  <c r="C29" i="2" s="1"/>
  <c r="F14" i="2"/>
  <c r="F16" i="2" s="1"/>
  <c r="J12" i="2"/>
  <c r="J27" i="2" s="1"/>
  <c r="I14" i="2"/>
  <c r="I16" i="2" s="1"/>
  <c r="D12" i="2"/>
  <c r="D14" i="2" s="1"/>
  <c r="D16" i="2" s="1"/>
  <c r="E10" i="2"/>
  <c r="G12" i="2"/>
  <c r="G14" i="2" s="1"/>
  <c r="G16" i="2" s="1"/>
  <c r="V5" i="2" l="1"/>
  <c r="U29" i="2"/>
  <c r="X25" i="2"/>
  <c r="W5" i="2"/>
  <c r="V22" i="2"/>
  <c r="X6" i="2"/>
  <c r="W23" i="2"/>
  <c r="K14" i="2"/>
  <c r="K16" i="2" s="1"/>
  <c r="H12" i="2"/>
  <c r="M10" i="2"/>
  <c r="M12" i="2" s="1"/>
  <c r="M13" i="2" s="1"/>
  <c r="M14" i="2" s="1"/>
  <c r="M16" i="2" s="1"/>
  <c r="G27" i="2"/>
  <c r="D27" i="2"/>
  <c r="C12" i="2"/>
  <c r="C27" i="2" s="1"/>
  <c r="E12" i="2"/>
  <c r="E27" i="2" s="1"/>
  <c r="E29" i="2"/>
  <c r="J14" i="2"/>
  <c r="J16" i="2" s="1"/>
  <c r="E14" i="2"/>
  <c r="E16" i="2" s="1"/>
  <c r="V28" i="2" l="1"/>
  <c r="V10" i="2"/>
  <c r="Y25" i="2"/>
  <c r="Y9" i="2"/>
  <c r="W10" i="2"/>
  <c r="W28" i="2"/>
  <c r="X5" i="2"/>
  <c r="W22" i="2"/>
  <c r="Y6" i="2"/>
  <c r="X23" i="2"/>
  <c r="S13" i="2"/>
  <c r="S14" i="2" s="1"/>
  <c r="H14" i="2"/>
  <c r="H16" i="2" s="1"/>
  <c r="H27" i="2"/>
  <c r="C14" i="2"/>
  <c r="C16" i="2" s="1"/>
  <c r="D5" i="1"/>
  <c r="D4" i="1"/>
  <c r="D3" i="1"/>
  <c r="J4" i="1"/>
  <c r="J7" i="1" s="1"/>
  <c r="S16" i="2" l="1"/>
  <c r="S31" i="2"/>
  <c r="V29" i="2"/>
  <c r="Z9" i="2"/>
  <c r="Z25" i="2"/>
  <c r="X10" i="2"/>
  <c r="X28" i="2"/>
  <c r="W29" i="2"/>
  <c r="Y5" i="2"/>
  <c r="X22" i="2"/>
  <c r="Z6" i="2"/>
  <c r="Y23" i="2"/>
  <c r="T11" i="2" l="1"/>
  <c r="T12" i="2" s="1"/>
  <c r="AA9" i="2"/>
  <c r="AA25" i="2"/>
  <c r="Y10" i="2"/>
  <c r="Y28" i="2"/>
  <c r="X29" i="2"/>
  <c r="Y22" i="2"/>
  <c r="Z5" i="2"/>
  <c r="AA6" i="2"/>
  <c r="Z23" i="2"/>
  <c r="T13" i="2" l="1"/>
  <c r="T27" i="2" s="1"/>
  <c r="T14" i="2"/>
  <c r="AB25" i="2"/>
  <c r="AB9" i="2"/>
  <c r="Z10" i="2"/>
  <c r="Z28" i="2"/>
  <c r="Y29" i="2"/>
  <c r="AA5" i="2"/>
  <c r="Z22" i="2"/>
  <c r="AB6" i="2"/>
  <c r="AA23" i="2"/>
  <c r="T31" i="2" l="1"/>
  <c r="U11" i="2"/>
  <c r="U12" i="2" s="1"/>
  <c r="AC9" i="2"/>
  <c r="AC25" i="2"/>
  <c r="AA28" i="2"/>
  <c r="AA10" i="2"/>
  <c r="Z29" i="2"/>
  <c r="AB5" i="2"/>
  <c r="AA22" i="2"/>
  <c r="AC6" i="2"/>
  <c r="AC23" i="2" s="1"/>
  <c r="AB23" i="2"/>
  <c r="U13" i="2" l="1"/>
  <c r="U27" i="2" s="1"/>
  <c r="U14" i="2"/>
  <c r="AB28" i="2"/>
  <c r="AB10" i="2"/>
  <c r="AA29" i="2"/>
  <c r="AB22" i="2"/>
  <c r="U31" i="2" l="1"/>
  <c r="V11" i="2"/>
  <c r="V12" i="2" s="1"/>
  <c r="AB29" i="2"/>
  <c r="AC22" i="2"/>
  <c r="AC5" i="2"/>
  <c r="V13" i="2" l="1"/>
  <c r="V27" i="2" s="1"/>
  <c r="V14" i="2"/>
  <c r="AC10" i="2"/>
  <c r="AC28" i="2"/>
  <c r="V31" i="2" l="1"/>
  <c r="W11" i="2"/>
  <c r="W12" i="2" s="1"/>
  <c r="AC29" i="2"/>
  <c r="W13" i="2" l="1"/>
  <c r="W27" i="2" s="1"/>
  <c r="W14" i="2"/>
  <c r="W31" i="2" l="1"/>
  <c r="X11" i="2"/>
  <c r="X12" i="2" s="1"/>
  <c r="X13" i="2" l="1"/>
  <c r="X27" i="2" s="1"/>
  <c r="X14" i="2" l="1"/>
  <c r="X31" i="2" s="1"/>
  <c r="Y11" i="2" s="1"/>
  <c r="Y12" i="2" s="1"/>
  <c r="Y13" i="2" l="1"/>
  <c r="Y27" i="2" s="1"/>
  <c r="Y14" i="2"/>
  <c r="Y31" i="2" s="1"/>
  <c r="Z11" i="2" l="1"/>
  <c r="Z12" i="2" s="1"/>
  <c r="Z13" i="2" l="1"/>
  <c r="Z27" i="2" s="1"/>
  <c r="Z14" i="2" l="1"/>
  <c r="Z31" i="2" s="1"/>
  <c r="AA11" i="2" s="1"/>
  <c r="AA12" i="2" s="1"/>
  <c r="AA13" i="2" l="1"/>
  <c r="AA27" i="2" s="1"/>
  <c r="AA14" i="2" l="1"/>
  <c r="AA31" i="2" s="1"/>
  <c r="AB11" i="2" s="1"/>
  <c r="AB12" i="2" s="1"/>
  <c r="AB13" i="2" l="1"/>
  <c r="AB27" i="2" s="1"/>
  <c r="AB14" i="2" l="1"/>
  <c r="AB31" i="2" s="1"/>
  <c r="AC11" i="2" l="1"/>
  <c r="AC12" i="2" s="1"/>
  <c r="AC13" i="2" l="1"/>
  <c r="AC27" i="2" s="1"/>
  <c r="AC14" i="2"/>
  <c r="AC31" i="2" l="1"/>
  <c r="AD14" i="2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AF26" i="2" s="1"/>
  <c r="AF28" i="2" s="1"/>
  <c r="AF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K7" authorId="0" shapeId="0" xr:uid="{8070FDDB-7A7B-674A-A63C-483A2B2F286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New CEO, reorgs
</t>
        </r>
      </text>
    </comment>
    <comment ref="L7" authorId="0" shapeId="0" xr:uid="{4890805A-7B7C-F44A-9BAB-DD34C1CEEFC1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New CEO, reorgs
</t>
        </r>
      </text>
    </comment>
    <comment ref="M7" authorId="0" shapeId="0" xr:uid="{2B170521-016D-5C4C-A75F-3DC58EAA42E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New CEO, reorgs
</t>
        </r>
      </text>
    </comment>
    <comment ref="N7" authorId="0" shapeId="0" xr:uid="{5A59FCD6-EF46-5840-A474-5967431BEEC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New CEO, reorgs
</t>
        </r>
      </text>
    </comment>
    <comment ref="K8" authorId="0" shapeId="0" xr:uid="{C5E8FD2B-93F3-9E44-A089-B4C575CB1FC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 / LLM and product revamp. Lots of work to be done.</t>
        </r>
      </text>
    </comment>
    <comment ref="L8" authorId="0" shapeId="0" xr:uid="{E00E4BE5-076B-774C-A88C-17C65507986D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 / LLM and product revamp. Lots of work to be done.</t>
        </r>
      </text>
    </comment>
    <comment ref="M8" authorId="0" shapeId="0" xr:uid="{F712B4A3-FB22-824E-9E06-67DB6C65E85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 / LLM and product revamp. Lots of work to be done.</t>
        </r>
      </text>
    </comment>
    <comment ref="N8" authorId="0" shapeId="0" xr:uid="{BEA6F42D-87EC-B248-91C0-B560609DD42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AI / LLM and product revamp. Lots of work to be done.</t>
        </r>
      </text>
    </comment>
    <comment ref="K10" authorId="0" shapeId="0" xr:uid="{16B02C3C-4810-6140-8627-711E7E22BC2C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0" authorId="0" shapeId="0" xr:uid="{44E79D78-6202-B84D-9541-4A78235DCE06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guidance was 25-60. big range = no idea. but i think underperform based on other portfolio companies. will cut expenses to drive op income up (seems to be their main focus in calls/ir)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<sst xmlns="http://schemas.openxmlformats.org/spreadsheetml/2006/main" count="96" uniqueCount="89">
  <si>
    <t>Price</t>
  </si>
  <si>
    <t>Shares</t>
  </si>
  <si>
    <t>MC</t>
  </si>
  <si>
    <t>Cash</t>
  </si>
  <si>
    <t>Debt</t>
  </si>
  <si>
    <t>EV</t>
  </si>
  <si>
    <t>Q324</t>
  </si>
  <si>
    <t>Ads &amp; Leads</t>
  </si>
  <si>
    <t>Services</t>
  </si>
  <si>
    <t>International</t>
  </si>
  <si>
    <t>Business</t>
  </si>
  <si>
    <t>Also connects service professionals to local but business models differ depending on country and jurisdiction</t>
  </si>
  <si>
    <t>Pay pre-priced offerings on platform directly.</t>
  </si>
  <si>
    <t>Connects service professionals to local customers for home services via paid marketig</t>
  </si>
  <si>
    <t>2022 to 2023 Change</t>
  </si>
  <si>
    <t>Segment</t>
  </si>
  <si>
    <t>% Revenue</t>
  </si>
  <si>
    <t>Description</t>
  </si>
  <si>
    <t>Comments</t>
  </si>
  <si>
    <t>Their main business segment is declining.</t>
  </si>
  <si>
    <t>International is only 1/10th and only increasing a tiny bit. Order of 1% impact on revenue</t>
  </si>
  <si>
    <t>Founded</t>
  </si>
  <si>
    <t>Raised 25M</t>
  </si>
  <si>
    <t>Went public</t>
  </si>
  <si>
    <t>18y in business, never had a profit</t>
  </si>
  <si>
    <t>Acquired by HomeAdvisor, became ANGI Homeservices INC</t>
  </si>
  <si>
    <t>Rebranded as ANGI</t>
  </si>
  <si>
    <t>Joey Levin CEO.</t>
  </si>
  <si>
    <t>Angie's husband died</t>
  </si>
  <si>
    <t>CEO Timeline</t>
  </si>
  <si>
    <t>Graduated</t>
  </si>
  <si>
    <t>Joined IAC</t>
  </si>
  <si>
    <t>CEO of IAC</t>
  </si>
  <si>
    <t>2021-2023</t>
  </si>
  <si>
    <t>Board of vimeo</t>
  </si>
  <si>
    <t>2017-2019</t>
  </si>
  <si>
    <t>Board of groupon</t>
  </si>
  <si>
    <t>2008-2014</t>
  </si>
  <si>
    <t>Tree.com board</t>
  </si>
  <si>
    <t>ANGI CEO</t>
  </si>
  <si>
    <t>Groupon still sucks so any turnaround will be a joke.</t>
  </si>
  <si>
    <t>Another shrinking, 'turnaround' business. Best move is to reduce costs faster than revenue shrinkage.</t>
  </si>
  <si>
    <t>Revenue</t>
  </si>
  <si>
    <t>Q123</t>
  </si>
  <si>
    <t>Q223</t>
  </si>
  <si>
    <t>Q323</t>
  </si>
  <si>
    <t>Q423</t>
  </si>
  <si>
    <t>Q124</t>
  </si>
  <si>
    <t>Q224</t>
  </si>
  <si>
    <t>Q424</t>
  </si>
  <si>
    <t>Gross Profit</t>
  </si>
  <si>
    <t>COGs</t>
  </si>
  <si>
    <t>S&amp;M</t>
  </si>
  <si>
    <t>G&amp;A</t>
  </si>
  <si>
    <t>R&amp;D</t>
  </si>
  <si>
    <t>Operating Expenses</t>
  </si>
  <si>
    <t>Operating Income</t>
  </si>
  <si>
    <t>Interest Income</t>
  </si>
  <si>
    <t>Pretax Income</t>
  </si>
  <si>
    <t>Net Income</t>
  </si>
  <si>
    <t>Tax</t>
  </si>
  <si>
    <t>EPS</t>
  </si>
  <si>
    <t>Revenue Growth</t>
  </si>
  <si>
    <t>S&amp;M Growth</t>
  </si>
  <si>
    <t>G&amp;A Growth</t>
  </si>
  <si>
    <t>Jan  25 Joey Levin New CEO</t>
  </si>
  <si>
    <t>R&amp;D Growth</t>
  </si>
  <si>
    <t>Gross Margin</t>
  </si>
  <si>
    <t>Operating Margin</t>
  </si>
  <si>
    <t>Q125</t>
  </si>
  <si>
    <t>Q225</t>
  </si>
  <si>
    <t>Q325</t>
  </si>
  <si>
    <t>Q425</t>
  </si>
  <si>
    <t>Net Cash</t>
  </si>
  <si>
    <t>Net cash</t>
  </si>
  <si>
    <t>ROIC</t>
  </si>
  <si>
    <t>Maturity</t>
  </si>
  <si>
    <t>Discount</t>
  </si>
  <si>
    <t>NPV</t>
  </si>
  <si>
    <t>Spot Price</t>
  </si>
  <si>
    <t>Difference</t>
  </si>
  <si>
    <t>Care.com halved traffic since acquisition</t>
  </si>
  <si>
    <t>ahref thinks the traffic is worth $1M</t>
  </si>
  <si>
    <t>Traffic 50-&gt;32 for better &amp; home gardens since acquisiton</t>
  </si>
  <si>
    <t>dotdash meredith roughly doubled</t>
  </si>
  <si>
    <t>Revenue growing a lot</t>
  </si>
  <si>
    <t>Ask media group</t>
  </si>
  <si>
    <t>Cut in half in 2024</t>
  </si>
  <si>
    <t>But traffic seems equal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</si>
</sst>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12700</xdr:rowOff>
    </xdr:from>
    <xdr:to>
      <xdr:col>10</xdr:col>
      <xdr:colOff>25400</xdr:colOff>
      <xdr:row>51</xdr:row>
      <xdr:rowOff>88900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F016F5F-5081-C732-100F-57AF3E65BD00}"/>
            </a:ext>
          </a:extLst>
        </xdr:cNvPr>
        <xdr:cNvCxnSpPr/>
      </xdr:nvCxnSpPr>
      <xdr:spPr>
        <a:xfrm>
          <a:off x="12065000" y="12700"/>
          <a:ext cx="0" cy="10439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812800</xdr:colOff>
      <xdr:row>0</xdr:row>
      <xdr:rowOff>25400</xdr:rowOff>
    </xdr:from>
    <xdr:to>
      <xdr:col>17</xdr:col>
      <xdr:colOff>812800</xdr:colOff>
      <xdr:row>42</xdr:row>
      <xdr:rowOff>177800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E6128D-18AD-882C-66B6-B6E167DBF7E4}"/>
            </a:ext>
          </a:extLst>
        </xdr:cNvPr>
        <xdr:cNvCxnSpPr/>
      </xdr:nvCxnSpPr>
      <xdr:spPr>
        <a:xfrm>
          <a:off x="16979900" y="25400"/>
          <a:ext cx="0" cy="8686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4</xdr:row>
      <xdr:rowOff>88900</xdr:rowOff>
    </xdr:from>
    <xdr:to>
      <xdr:col>9</xdr:col>
      <xdr:colOff>596900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2BA12B-1263-8CA9-28F2-5F07C55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01700"/>
          <a:ext cx="7632700" cy="295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342900</xdr:colOff>
      <xdr:row>36</xdr:row>
      <xdr:rowOff>88990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A1263-AC75-110E-CA88-AB84FBFDF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4470400"/>
          <a:ext cx="7772400" cy="29337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40</xdr:row>
      <xdr:rowOff>165100</xdr:rowOff>
    </xdr:from>
    <xdr:to>
      <xdr:col>10</xdr:col>
      <xdr:colOff>279400</xdr:colOff>
      <xdr:row>54</xdr:row>
      <xdr:rowOff>104725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38993C-EA82-BD6A-6D3C-E0A2AF0E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293100"/>
          <a:ext cx="7772400" cy="2784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E5B72-91BA-FC4D-860B-B661248948A7}" name="Table1" displayName="Table1" ref="B2:E5" totalsRowShown="0" headerRowDxfId="2">
  <autoFilter ref="B2:E5" xr:uid="{84EE5B72-91BA-FC4D-860B-B661248948A7}"/>
  <tableColumns count="4">
    <tableColumn id="1" xr3:uid="{131BD37D-A024-1645-93AE-03CF2807D310}" name="Segment"/>
    <tableColumn id="2" xr3:uid="{FA35EAE9-6A3A-3B47-8C12-078310A1F295}" name="Description"/>
    <tableColumn id="3" xr3:uid="{6D652218-BFA9-684C-B952-E0BAE6E560FE}" name="% Revenue" dataDxfId="1"/>
    <tableColumn id="4" xr3:uid="{AF15D74C-CA69-3443-9215-27723B19C6C8}" name="2022 to 2023 Ch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A485-1EA1-D340-98B6-7C8831C00CCD}">
  <dimension ref="B2:K29"/>
  <sheetViews>
    <sheetView workbookViewId="0">
      <selection activeCell="J9" sqref="J9"/>
    </sheetView>
  </sheetViews>
  <sheetFormatPr baseColWidth="10" defaultRowHeight="16" x14ac:dyDescent="0.2"/>
  <cols>
    <col min="3" max="3" width="24.83203125" customWidth="1"/>
    <col min="4" max="4" width="12.33203125" customWidth="1"/>
    <col min="5" max="5" width="20.5" customWidth="1"/>
  </cols>
  <sheetData>
    <row r="2" spans="2:11" x14ac:dyDescent="0.2">
      <c r="B2" s="2" t="s">
        <v>15</v>
      </c>
      <c r="C2" s="2" t="s">
        <v>17</v>
      </c>
      <c r="D2" s="2" t="s">
        <v>16</v>
      </c>
      <c r="E2" s="2" t="s">
        <v>14</v>
      </c>
      <c r="I2" t="s">
        <v>0</v>
      </c>
      <c r="J2">
        <v>1.76</v>
      </c>
    </row>
    <row r="3" spans="2:11" x14ac:dyDescent="0.2">
      <c r="B3" t="s">
        <v>7</v>
      </c>
      <c r="C3" t="s">
        <v>13</v>
      </c>
      <c r="D3" s="4">
        <f>1124.908/1358.748</f>
        <v>0.82790039065374876</v>
      </c>
      <c r="E3" s="4">
        <v>-0.12</v>
      </c>
      <c r="I3" t="s">
        <v>1</v>
      </c>
      <c r="J3" s="1">
        <v>497.8</v>
      </c>
      <c r="K3" t="s">
        <v>49</v>
      </c>
    </row>
    <row r="4" spans="2:11" x14ac:dyDescent="0.2">
      <c r="B4" t="s">
        <v>8</v>
      </c>
      <c r="C4" t="s">
        <v>12</v>
      </c>
      <c r="D4" s="4">
        <f>118.033/1358.748</f>
        <v>8.6868941113436779E-2</v>
      </c>
      <c r="E4" s="4">
        <v>-0.69</v>
      </c>
      <c r="I4" t="s">
        <v>2</v>
      </c>
      <c r="J4" s="1">
        <f>J2*J3</f>
        <v>876.12800000000004</v>
      </c>
    </row>
    <row r="5" spans="2:11" x14ac:dyDescent="0.2">
      <c r="B5" t="s">
        <v>9</v>
      </c>
      <c r="C5" t="s">
        <v>11</v>
      </c>
      <c r="D5" s="4">
        <f>115.807/1358.748</f>
        <v>8.5230668232814319E-2</v>
      </c>
      <c r="E5" s="4">
        <v>0.15</v>
      </c>
      <c r="I5" t="s">
        <v>3</v>
      </c>
      <c r="J5" s="1">
        <v>416.43400000000003</v>
      </c>
      <c r="K5" t="s">
        <v>49</v>
      </c>
    </row>
    <row r="6" spans="2:11" x14ac:dyDescent="0.2">
      <c r="I6" t="s">
        <v>4</v>
      </c>
      <c r="J6" s="1">
        <f>496.84+37.916</f>
        <v>534.75599999999997</v>
      </c>
      <c r="K6" t="s">
        <v>49</v>
      </c>
    </row>
    <row r="7" spans="2:11" x14ac:dyDescent="0.2">
      <c r="I7" t="s">
        <v>5</v>
      </c>
      <c r="J7" s="1">
        <f>J4-J5+J6</f>
        <v>994.45</v>
      </c>
    </row>
    <row r="9" spans="2:11" x14ac:dyDescent="0.2">
      <c r="I9" t="s">
        <v>74</v>
      </c>
      <c r="J9" s="1">
        <f>J5-J6</f>
        <v>-118.32199999999995</v>
      </c>
    </row>
    <row r="15" spans="2:11" x14ac:dyDescent="0.2">
      <c r="B15" s="3" t="s">
        <v>18</v>
      </c>
    </row>
    <row r="16" spans="2:11" x14ac:dyDescent="0.2">
      <c r="B16" t="s">
        <v>19</v>
      </c>
    </row>
    <row r="17" spans="2:6" x14ac:dyDescent="0.2">
      <c r="B17" t="s">
        <v>20</v>
      </c>
    </row>
    <row r="18" spans="2:6" x14ac:dyDescent="0.2">
      <c r="B18" t="s">
        <v>41</v>
      </c>
    </row>
    <row r="21" spans="2:6" x14ac:dyDescent="0.2">
      <c r="B21" s="3" t="s">
        <v>10</v>
      </c>
      <c r="D21" s="3" t="s">
        <v>29</v>
      </c>
    </row>
    <row r="22" spans="2:6" x14ac:dyDescent="0.2">
      <c r="B22">
        <v>1995</v>
      </c>
      <c r="C22" t="s">
        <v>21</v>
      </c>
      <c r="D22">
        <v>2001</v>
      </c>
      <c r="E22" t="s">
        <v>30</v>
      </c>
    </row>
    <row r="23" spans="2:6" x14ac:dyDescent="0.2">
      <c r="B23">
        <v>2010</v>
      </c>
      <c r="C23" t="s">
        <v>22</v>
      </c>
      <c r="D23">
        <v>2003</v>
      </c>
      <c r="E23" t="s">
        <v>31</v>
      </c>
    </row>
    <row r="24" spans="2:6" x14ac:dyDescent="0.2">
      <c r="B24">
        <v>2011</v>
      </c>
      <c r="C24" t="s">
        <v>23</v>
      </c>
      <c r="D24">
        <v>2015</v>
      </c>
      <c r="E24" t="s">
        <v>32</v>
      </c>
    </row>
    <row r="25" spans="2:6" x14ac:dyDescent="0.2">
      <c r="B25">
        <v>2013</v>
      </c>
      <c r="C25" t="s">
        <v>24</v>
      </c>
      <c r="D25" t="s">
        <v>33</v>
      </c>
      <c r="E25" t="s">
        <v>34</v>
      </c>
    </row>
    <row r="26" spans="2:6" x14ac:dyDescent="0.2">
      <c r="B26">
        <v>2017</v>
      </c>
      <c r="C26" t="s">
        <v>25</v>
      </c>
      <c r="D26" t="s">
        <v>35</v>
      </c>
      <c r="E26" t="s">
        <v>36</v>
      </c>
      <c r="F26" s="2" t="s">
        <v>40</v>
      </c>
    </row>
    <row r="27" spans="2:6" x14ac:dyDescent="0.2">
      <c r="B27">
        <v>2021</v>
      </c>
      <c r="C27" t="s">
        <v>26</v>
      </c>
      <c r="D27" t="s">
        <v>37</v>
      </c>
      <c r="E27" t="s">
        <v>38</v>
      </c>
    </row>
    <row r="28" spans="2:6" x14ac:dyDescent="0.2">
      <c r="B28">
        <v>2022</v>
      </c>
      <c r="C28" t="s">
        <v>27</v>
      </c>
      <c r="D28">
        <v>2022</v>
      </c>
      <c r="E28" t="s">
        <v>39</v>
      </c>
    </row>
    <row r="29" spans="2:6" x14ac:dyDescent="0.2">
      <c r="B29">
        <v>2023</v>
      </c>
      <c r="C29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159-13C1-B34F-965D-51D8C1EEC59A}">
  <dimension ref="B1:DC33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F26" sqref="AF26"/>
    </sheetView>
  </sheetViews>
  <sheetFormatPr baseColWidth="10" defaultRowHeight="16" x14ac:dyDescent="0.2"/>
  <cols>
    <col min="2" max="2" width="17.1640625" bestFit="1" customWidth="1"/>
    <col min="3" max="62" width="10.83203125" style="5"/>
  </cols>
  <sheetData>
    <row r="1" spans="2:107" x14ac:dyDescent="0.2">
      <c r="K1" s="5" t="s">
        <v>65</v>
      </c>
    </row>
    <row r="2" spans="2:107" x14ac:dyDescent="0.2"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6</v>
      </c>
      <c r="J2" s="5" t="s">
        <v>49</v>
      </c>
      <c r="K2" s="5" t="s">
        <v>69</v>
      </c>
      <c r="L2" s="5" t="s">
        <v>70</v>
      </c>
      <c r="M2" s="5" t="s">
        <v>71</v>
      </c>
      <c r="N2" s="5" t="s">
        <v>72</v>
      </c>
      <c r="Q2" s="5">
        <v>2023</v>
      </c>
      <c r="R2" s="5">
        <v>2024</v>
      </c>
      <c r="S2" s="5">
        <v>2025</v>
      </c>
      <c r="T2" s="5">
        <f>+S2+1</f>
        <v>2026</v>
      </c>
      <c r="U2" s="5">
        <f t="shared" ref="U2:AC2" si="0">+T2+1</f>
        <v>2027</v>
      </c>
      <c r="V2" s="5">
        <f t="shared" si="0"/>
        <v>2028</v>
      </c>
      <c r="W2" s="5">
        <f t="shared" si="0"/>
        <v>2029</v>
      </c>
      <c r="X2" s="5">
        <f t="shared" si="0"/>
        <v>2030</v>
      </c>
      <c r="Y2" s="5">
        <f t="shared" si="0"/>
        <v>2031</v>
      </c>
      <c r="Z2" s="5">
        <f t="shared" si="0"/>
        <v>2032</v>
      </c>
      <c r="AA2" s="5">
        <f t="shared" si="0"/>
        <v>2033</v>
      </c>
      <c r="AB2" s="5">
        <f t="shared" si="0"/>
        <v>2034</v>
      </c>
      <c r="AC2" s="5">
        <f t="shared" si="0"/>
        <v>2035</v>
      </c>
    </row>
    <row r="3" spans="2:107" s="10" customFormat="1" x14ac:dyDescent="0.2">
      <c r="B3" s="10" t="s">
        <v>42</v>
      </c>
      <c r="C3" s="11">
        <v>355.49700000000001</v>
      </c>
      <c r="D3" s="11">
        <v>351.58699999999999</v>
      </c>
      <c r="E3" s="11">
        <v>351.23099999999999</v>
      </c>
      <c r="F3" s="11">
        <v>300.43299999999999</v>
      </c>
      <c r="G3" s="11">
        <v>305.39</v>
      </c>
      <c r="H3" s="11">
        <v>315.13400000000001</v>
      </c>
      <c r="I3" s="11">
        <v>296.71899999999999</v>
      </c>
      <c r="J3" s="11">
        <v>267.86900000000003</v>
      </c>
      <c r="K3" s="11">
        <f>G3*0.95</f>
        <v>290.12049999999999</v>
      </c>
      <c r="L3" s="11">
        <f t="shared" ref="L3:N3" si="1">H3*0.95</f>
        <v>299.37729999999999</v>
      </c>
      <c r="M3" s="11">
        <f t="shared" si="1"/>
        <v>281.88304999999997</v>
      </c>
      <c r="N3" s="11">
        <f t="shared" si="1"/>
        <v>254.47555000000003</v>
      </c>
      <c r="O3" s="11"/>
      <c r="P3" s="11"/>
      <c r="Q3" s="11">
        <f>SUM(C3:F3)</f>
        <v>1358.748</v>
      </c>
      <c r="R3" s="11">
        <f>SUM(G3:J3)</f>
        <v>1185.1120000000001</v>
      </c>
      <c r="S3" s="11">
        <f>SUM(K3:N3)</f>
        <v>1125.8564000000001</v>
      </c>
      <c r="T3" s="11">
        <f>S3*1.05</f>
        <v>1182.1492200000002</v>
      </c>
      <c r="U3" s="11">
        <f t="shared" ref="U3:V3" si="2">T3*1.05</f>
        <v>1241.2566810000003</v>
      </c>
      <c r="V3" s="11">
        <f t="shared" si="2"/>
        <v>1303.3195150500003</v>
      </c>
      <c r="W3" s="11">
        <f t="shared" ref="U3:AA3" si="3">V3*1.03</f>
        <v>1342.4191005015002</v>
      </c>
      <c r="X3" s="11">
        <f t="shared" si="3"/>
        <v>1382.6916735165453</v>
      </c>
      <c r="Y3" s="11">
        <f t="shared" si="3"/>
        <v>1424.1724237220417</v>
      </c>
      <c r="Z3" s="11">
        <f t="shared" si="3"/>
        <v>1466.897596433703</v>
      </c>
      <c r="AA3" s="11">
        <f t="shared" si="3"/>
        <v>1510.9045243267142</v>
      </c>
      <c r="AB3" s="11">
        <f t="shared" ref="AB3:AC3" si="4">AA3*1.03</f>
        <v>1556.2316600565157</v>
      </c>
      <c r="AC3" s="11">
        <f t="shared" si="4"/>
        <v>1602.9186098582113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2:107" s="1" customFormat="1" x14ac:dyDescent="0.2">
      <c r="B4" s="1" t="s">
        <v>51</v>
      </c>
      <c r="C4" s="6">
        <v>16.937000000000001</v>
      </c>
      <c r="D4" s="6">
        <v>14.708</v>
      </c>
      <c r="E4" s="6">
        <v>13.663</v>
      </c>
      <c r="F4" s="6">
        <v>17.239000000000001</v>
      </c>
      <c r="G4" s="6">
        <v>12.497</v>
      </c>
      <c r="H4" s="6">
        <v>14.151999999999999</v>
      </c>
      <c r="I4" s="6">
        <v>14.75</v>
      </c>
      <c r="J4" s="6">
        <v>16.178999999999998</v>
      </c>
      <c r="K4" s="6">
        <f>K3-K5</f>
        <v>14.506025000000022</v>
      </c>
      <c r="L4" s="6">
        <f t="shared" ref="L4:N4" si="5">L3-L5</f>
        <v>14.968864999999994</v>
      </c>
      <c r="M4" s="6">
        <f t="shared" si="5"/>
        <v>14.094152500000007</v>
      </c>
      <c r="N4" s="6">
        <f t="shared" si="5"/>
        <v>12.723777500000011</v>
      </c>
      <c r="O4" s="6"/>
      <c r="P4" s="6"/>
      <c r="Q4" s="12">
        <f>SUM(C4:F4)</f>
        <v>62.547000000000011</v>
      </c>
      <c r="R4" s="12">
        <f>SUM(G4:J4)</f>
        <v>57.578000000000003</v>
      </c>
      <c r="S4" s="12">
        <f>SUM(K4:N4)</f>
        <v>56.292820000000034</v>
      </c>
      <c r="T4" s="12">
        <f t="shared" ref="T4:AC4" si="6">SUM(L4:O4)</f>
        <v>41.786795000000012</v>
      </c>
      <c r="U4" s="12">
        <f t="shared" si="6"/>
        <v>26.817930000000018</v>
      </c>
      <c r="V4" s="12">
        <f t="shared" si="6"/>
        <v>75.270777500000023</v>
      </c>
      <c r="W4" s="12">
        <f t="shared" si="6"/>
        <v>120.12500000000001</v>
      </c>
      <c r="X4" s="12">
        <f t="shared" si="6"/>
        <v>176.41782000000006</v>
      </c>
      <c r="Y4" s="12">
        <f t="shared" si="6"/>
        <v>218.20461500000008</v>
      </c>
      <c r="Z4" s="12">
        <f t="shared" si="6"/>
        <v>182.47554500000007</v>
      </c>
      <c r="AA4" s="12">
        <f t="shared" si="6"/>
        <v>200.1683225000001</v>
      </c>
      <c r="AB4" s="12">
        <f t="shared" si="6"/>
        <v>264.00050250000004</v>
      </c>
      <c r="AC4" s="12">
        <f t="shared" si="6"/>
        <v>398.63152750000012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2:107" s="1" customFormat="1" x14ac:dyDescent="0.2">
      <c r="B5" s="1" t="s">
        <v>50</v>
      </c>
      <c r="C5" s="6">
        <f>C3-C4</f>
        <v>338.56</v>
      </c>
      <c r="D5" s="6">
        <f>D3-D4</f>
        <v>336.87899999999996</v>
      </c>
      <c r="E5" s="6">
        <f>E3-E4</f>
        <v>337.56799999999998</v>
      </c>
      <c r="F5" s="6">
        <f>F3-F4</f>
        <v>283.19400000000002</v>
      </c>
      <c r="G5" s="6">
        <f>G3-G4</f>
        <v>292.89299999999997</v>
      </c>
      <c r="H5" s="6">
        <f>H3-H4</f>
        <v>300.98200000000003</v>
      </c>
      <c r="I5" s="6">
        <f>I3-I4</f>
        <v>281.96899999999999</v>
      </c>
      <c r="J5" s="6">
        <f>J3-J4</f>
        <v>251.69000000000003</v>
      </c>
      <c r="K5" s="6">
        <f>K3*0.95</f>
        <v>275.61447499999997</v>
      </c>
      <c r="L5" s="6">
        <f t="shared" ref="L5:N5" si="7">L3*0.95</f>
        <v>284.408435</v>
      </c>
      <c r="M5" s="6">
        <f t="shared" si="7"/>
        <v>267.78889749999996</v>
      </c>
      <c r="N5" s="6">
        <f t="shared" si="7"/>
        <v>241.75177250000002</v>
      </c>
      <c r="O5" s="6"/>
      <c r="P5" s="6"/>
      <c r="Q5" s="6">
        <f>Q3-Q4</f>
        <v>1296.201</v>
      </c>
      <c r="R5" s="6">
        <f>R3-R4</f>
        <v>1127.5340000000001</v>
      </c>
      <c r="S5" s="6">
        <f t="shared" ref="S5:AC5" si="8">S3*0.95</f>
        <v>1069.56358</v>
      </c>
      <c r="T5" s="6">
        <f t="shared" si="8"/>
        <v>1123.0417590000002</v>
      </c>
      <c r="U5" s="6">
        <f t="shared" si="8"/>
        <v>1179.1938469500003</v>
      </c>
      <c r="V5" s="6">
        <f t="shared" si="8"/>
        <v>1238.1535392975002</v>
      </c>
      <c r="W5" s="6">
        <f t="shared" si="8"/>
        <v>1275.2981454764251</v>
      </c>
      <c r="X5" s="6">
        <f t="shared" si="8"/>
        <v>1313.5570898407179</v>
      </c>
      <c r="Y5" s="6">
        <f t="shared" si="8"/>
        <v>1352.9638025359395</v>
      </c>
      <c r="Z5" s="6">
        <f t="shared" si="8"/>
        <v>1393.5527166120178</v>
      </c>
      <c r="AA5" s="6">
        <f t="shared" si="8"/>
        <v>1435.3592981103784</v>
      </c>
      <c r="AB5" s="6">
        <f t="shared" si="8"/>
        <v>1478.4200770536897</v>
      </c>
      <c r="AC5" s="6">
        <f t="shared" si="8"/>
        <v>1522.7726793653007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2:107" s="1" customFormat="1" x14ac:dyDescent="0.2">
      <c r="B6" s="1" t="s">
        <v>52</v>
      </c>
      <c r="C6" s="6">
        <v>199.61</v>
      </c>
      <c r="D6" s="6">
        <v>208.87700000000001</v>
      </c>
      <c r="E6" s="6">
        <v>200.10499999999999</v>
      </c>
      <c r="F6" s="6">
        <v>156.613</v>
      </c>
      <c r="G6" s="6">
        <v>157.05099999999999</v>
      </c>
      <c r="H6" s="6">
        <v>158.32300000000001</v>
      </c>
      <c r="I6" s="6">
        <v>155.44300000000001</v>
      </c>
      <c r="J6" s="6">
        <v>130.821</v>
      </c>
      <c r="K6" s="6">
        <f>G6*1.05</f>
        <v>164.90355</v>
      </c>
      <c r="L6" s="6">
        <f t="shared" ref="L6:N6" si="9">H6*1.05</f>
        <v>166.23915000000002</v>
      </c>
      <c r="M6" s="6">
        <f t="shared" si="9"/>
        <v>163.21515000000002</v>
      </c>
      <c r="N6" s="6">
        <f t="shared" si="9"/>
        <v>137.36205000000001</v>
      </c>
      <c r="O6" s="6"/>
      <c r="P6" s="6"/>
      <c r="Q6" s="12">
        <f>SUM(C6:F6)</f>
        <v>765.20499999999993</v>
      </c>
      <c r="R6" s="12">
        <f>SUM(G6:J6)</f>
        <v>601.63800000000003</v>
      </c>
      <c r="S6" s="12">
        <f>SUM(K6:N6)</f>
        <v>631.71990000000005</v>
      </c>
      <c r="T6" s="6">
        <f>S6*1.05</f>
        <v>663.30589500000008</v>
      </c>
      <c r="U6" s="6">
        <f t="shared" ref="U6:AC6" si="10">T6*1.05</f>
        <v>696.47118975000012</v>
      </c>
      <c r="V6" s="6">
        <f t="shared" si="10"/>
        <v>731.29474923750013</v>
      </c>
      <c r="W6" s="6">
        <f t="shared" si="10"/>
        <v>767.85948669937511</v>
      </c>
      <c r="X6" s="6">
        <f t="shared" si="10"/>
        <v>806.25246103434392</v>
      </c>
      <c r="Y6" s="6">
        <f t="shared" si="10"/>
        <v>846.56508408606112</v>
      </c>
      <c r="Z6" s="6">
        <f t="shared" si="10"/>
        <v>888.89333829036423</v>
      </c>
      <c r="AA6" s="6">
        <f t="shared" si="10"/>
        <v>933.33800520488251</v>
      </c>
      <c r="AB6" s="6">
        <f t="shared" si="10"/>
        <v>980.00490546512663</v>
      </c>
      <c r="AC6" s="6">
        <f t="shared" si="10"/>
        <v>1029.005150738383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2:107" s="1" customFormat="1" x14ac:dyDescent="0.2">
      <c r="B7" s="1" t="s">
        <v>53</v>
      </c>
      <c r="C7" s="6">
        <v>96.667000000000002</v>
      </c>
      <c r="D7" s="6">
        <v>93.167000000000002</v>
      </c>
      <c r="E7" s="6">
        <v>98.701999999999998</v>
      </c>
      <c r="F7" s="6">
        <v>70.852999999999994</v>
      </c>
      <c r="G7" s="6">
        <v>85.521000000000001</v>
      </c>
      <c r="H7" s="6">
        <v>84.369</v>
      </c>
      <c r="I7" s="6">
        <v>76.826999999999998</v>
      </c>
      <c r="J7" s="6">
        <v>73.281999999999996</v>
      </c>
      <c r="K7" s="6">
        <f>G7*0.95</f>
        <v>81.244950000000003</v>
      </c>
      <c r="L7" s="6">
        <f t="shared" ref="L7:N7" si="11">H7*0.95</f>
        <v>80.150549999999996</v>
      </c>
      <c r="M7" s="6">
        <f t="shared" si="11"/>
        <v>72.985649999999993</v>
      </c>
      <c r="N7" s="6">
        <f t="shared" si="11"/>
        <v>69.617899999999992</v>
      </c>
      <c r="O7" s="6"/>
      <c r="P7" s="6"/>
      <c r="Q7" s="12">
        <f>SUM(C7:F7)</f>
        <v>359.38900000000001</v>
      </c>
      <c r="R7" s="12">
        <f>SUM(G7:J7)</f>
        <v>319.99899999999997</v>
      </c>
      <c r="S7" s="12">
        <f>SUM(K7:N7)</f>
        <v>303.99905000000001</v>
      </c>
      <c r="T7" s="6">
        <f>S7*0.97</f>
        <v>294.87907849999999</v>
      </c>
      <c r="U7" s="6">
        <f t="shared" ref="U7:AC7" si="12">T7*0.97</f>
        <v>286.03270614499996</v>
      </c>
      <c r="V7" s="6">
        <f t="shared" si="12"/>
        <v>277.45172496064998</v>
      </c>
      <c r="W7" s="6">
        <f t="shared" si="12"/>
        <v>269.12817321183047</v>
      </c>
      <c r="X7" s="6">
        <f t="shared" si="12"/>
        <v>261.05432801547556</v>
      </c>
      <c r="Y7" s="6">
        <f t="shared" si="12"/>
        <v>253.22269817501129</v>
      </c>
      <c r="Z7" s="6">
        <f t="shared" si="12"/>
        <v>245.62601722976095</v>
      </c>
      <c r="AA7" s="6">
        <f t="shared" si="12"/>
        <v>238.25723671286812</v>
      </c>
      <c r="AB7" s="6">
        <f t="shared" si="12"/>
        <v>231.10951961148206</v>
      </c>
      <c r="AC7" s="6">
        <f t="shared" si="12"/>
        <v>224.1762340231376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2:107" s="1" customFormat="1" x14ac:dyDescent="0.2">
      <c r="B8" s="1" t="s">
        <v>54</v>
      </c>
      <c r="C8" s="6">
        <v>25.312000000000001</v>
      </c>
      <c r="D8" s="6">
        <v>25.548999999999999</v>
      </c>
      <c r="E8" s="6">
        <v>21.497</v>
      </c>
      <c r="F8" s="6">
        <v>24.184999999999999</v>
      </c>
      <c r="G8" s="6">
        <v>23.756</v>
      </c>
      <c r="H8" s="6">
        <v>24.779</v>
      </c>
      <c r="I8" s="6">
        <v>24.314</v>
      </c>
      <c r="J8" s="6">
        <v>22.510999999999999</v>
      </c>
      <c r="K8" s="6">
        <f>G8*1.25</f>
        <v>29.695</v>
      </c>
      <c r="L8" s="6">
        <f t="shared" ref="L8:N8" si="13">H8*1.25</f>
        <v>30.973749999999999</v>
      </c>
      <c r="M8" s="6">
        <f t="shared" si="13"/>
        <v>30.392499999999998</v>
      </c>
      <c r="N8" s="6">
        <f t="shared" si="13"/>
        <v>28.138749999999998</v>
      </c>
      <c r="O8" s="6"/>
      <c r="P8" s="6"/>
      <c r="Q8" s="12">
        <f>SUM(C8:F8)</f>
        <v>96.543000000000006</v>
      </c>
      <c r="R8" s="12">
        <f>SUM(G8:J8)</f>
        <v>95.359999999999985</v>
      </c>
      <c r="S8" s="12">
        <f>SUM(K8:N8)</f>
        <v>119.2</v>
      </c>
      <c r="T8" s="6">
        <f>S8*1.15</f>
        <v>137.07999999999998</v>
      </c>
      <c r="U8" s="6">
        <f t="shared" ref="U8" si="14">T8*1.15</f>
        <v>157.64199999999997</v>
      </c>
      <c r="V8" s="6">
        <f>U8*0.9</f>
        <v>141.87779999999998</v>
      </c>
      <c r="W8" s="6">
        <f t="shared" ref="W8:AC8" si="15">V8*0.9</f>
        <v>127.69001999999999</v>
      </c>
      <c r="X8" s="6">
        <f t="shared" si="15"/>
        <v>114.92101799999999</v>
      </c>
      <c r="Y8" s="6">
        <f t="shared" si="15"/>
        <v>103.42891619999999</v>
      </c>
      <c r="Z8" s="6">
        <f t="shared" si="15"/>
        <v>93.086024579999986</v>
      </c>
      <c r="AA8" s="6">
        <f t="shared" si="15"/>
        <v>83.77742212199999</v>
      </c>
      <c r="AB8" s="6">
        <f t="shared" si="15"/>
        <v>75.3996799098</v>
      </c>
      <c r="AC8" s="6">
        <f t="shared" si="15"/>
        <v>67.859711918819997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2:107" s="1" customFormat="1" x14ac:dyDescent="0.2">
      <c r="B9" s="1" t="s">
        <v>55</v>
      </c>
      <c r="C9" s="6">
        <f>SUM(C6:C8)</f>
        <v>321.58900000000006</v>
      </c>
      <c r="D9" s="6">
        <f>SUM(D6:D8)</f>
        <v>327.59299999999996</v>
      </c>
      <c r="E9" s="6">
        <f>SUM(E6:E8)</f>
        <v>320.30400000000003</v>
      </c>
      <c r="F9" s="6">
        <f>SUM(F6:F8)</f>
        <v>251.65100000000001</v>
      </c>
      <c r="G9" s="6">
        <f>SUM(G6:G8)</f>
        <v>266.32799999999997</v>
      </c>
      <c r="H9" s="6">
        <f>SUM(H6:H8)</f>
        <v>267.471</v>
      </c>
      <c r="I9" s="6">
        <f>SUM(I6:I8)</f>
        <v>256.584</v>
      </c>
      <c r="J9" s="6">
        <f>SUM(J6:J8)</f>
        <v>226.614</v>
      </c>
      <c r="K9" s="6">
        <f t="shared" ref="K9:N9" si="16">SUM(K6:K8)</f>
        <v>275.84350000000001</v>
      </c>
      <c r="L9" s="6">
        <f t="shared" si="16"/>
        <v>277.36345</v>
      </c>
      <c r="M9" s="6">
        <f t="shared" si="16"/>
        <v>266.5933</v>
      </c>
      <c r="N9" s="6">
        <f t="shared" si="16"/>
        <v>235.11869999999999</v>
      </c>
      <c r="O9" s="6"/>
      <c r="P9" s="6"/>
      <c r="Q9" s="6">
        <f>SUM(Q6:Q8)</f>
        <v>1221.1370000000002</v>
      </c>
      <c r="R9" s="6">
        <f>SUM(R6:R8)</f>
        <v>1016.997</v>
      </c>
      <c r="S9" s="6">
        <f>SUM(S6:S8)</f>
        <v>1054.91895</v>
      </c>
      <c r="T9" s="6">
        <f t="shared" ref="T9:AC9" si="17">SUM(T6:T8)</f>
        <v>1095.2649735</v>
      </c>
      <c r="U9" s="6">
        <f t="shared" si="17"/>
        <v>1140.1458958950002</v>
      </c>
      <c r="V9" s="6">
        <f t="shared" si="17"/>
        <v>1150.62427419815</v>
      </c>
      <c r="W9" s="6">
        <f t="shared" si="17"/>
        <v>1164.6776799112056</v>
      </c>
      <c r="X9" s="6">
        <f t="shared" si="17"/>
        <v>1182.2278070498196</v>
      </c>
      <c r="Y9" s="6">
        <f t="shared" si="17"/>
        <v>1203.2166984610724</v>
      </c>
      <c r="Z9" s="6">
        <f t="shared" si="17"/>
        <v>1227.6053801001251</v>
      </c>
      <c r="AA9" s="6">
        <f t="shared" si="17"/>
        <v>1255.3726640397506</v>
      </c>
      <c r="AB9" s="6">
        <f t="shared" si="17"/>
        <v>1286.5141049864087</v>
      </c>
      <c r="AC9" s="6">
        <f t="shared" si="17"/>
        <v>1321.0410966803406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2:107" s="1" customFormat="1" x14ac:dyDescent="0.2">
      <c r="B10" s="1" t="s">
        <v>56</v>
      </c>
      <c r="C10" s="6">
        <f>C5-C9</f>
        <v>16.970999999999947</v>
      </c>
      <c r="D10" s="6">
        <f>D5-D9</f>
        <v>9.2860000000000014</v>
      </c>
      <c r="E10" s="6">
        <f>E5-E9</f>
        <v>17.263999999999953</v>
      </c>
      <c r="F10" s="6">
        <f>F5-F9</f>
        <v>31.543000000000006</v>
      </c>
      <c r="G10" s="6">
        <f>G5-G9</f>
        <v>26.564999999999998</v>
      </c>
      <c r="H10" s="6">
        <f>H5-H9</f>
        <v>33.511000000000024</v>
      </c>
      <c r="I10" s="6">
        <f>I5-I9</f>
        <v>25.384999999999991</v>
      </c>
      <c r="J10" s="6">
        <f>J5-J9</f>
        <v>25.076000000000022</v>
      </c>
      <c r="K10" s="6">
        <f t="shared" ref="K10:N10" si="18">K5-K9</f>
        <v>-0.22902500000003556</v>
      </c>
      <c r="L10" s="6">
        <f t="shared" si="18"/>
        <v>7.0449849999999969</v>
      </c>
      <c r="M10" s="6">
        <f t="shared" si="18"/>
        <v>1.1955974999999626</v>
      </c>
      <c r="N10" s="6">
        <f t="shared" si="18"/>
        <v>6.6330725000000257</v>
      </c>
      <c r="O10" s="6"/>
      <c r="P10" s="6"/>
      <c r="Q10" s="6">
        <f t="shared" ref="Q10:S10" si="19">Q5-Q9</f>
        <v>75.063999999999851</v>
      </c>
      <c r="R10" s="6">
        <f t="shared" si="19"/>
        <v>110.53700000000015</v>
      </c>
      <c r="S10" s="6">
        <f>S5-S9</f>
        <v>14.644630000000006</v>
      </c>
      <c r="T10" s="6">
        <f t="shared" ref="T10" si="20">T5-T9</f>
        <v>27.776785500000187</v>
      </c>
      <c r="U10" s="6">
        <f t="shared" ref="U10" si="21">U5-U9</f>
        <v>39.047951055000112</v>
      </c>
      <c r="V10" s="6">
        <f t="shared" ref="V10" si="22">V5-V9</f>
        <v>87.529265099350141</v>
      </c>
      <c r="W10" s="6">
        <f t="shared" ref="W10" si="23">W5-W9</f>
        <v>110.62046556521955</v>
      </c>
      <c r="X10" s="6">
        <f t="shared" ref="X10" si="24">X5-X9</f>
        <v>131.32928279089833</v>
      </c>
      <c r="Y10" s="6">
        <f t="shared" ref="Y10" si="25">Y5-Y9</f>
        <v>149.74710407486714</v>
      </c>
      <c r="Z10" s="6">
        <f t="shared" ref="Z10" si="26">Z5-Z9</f>
        <v>165.94733651189267</v>
      </c>
      <c r="AA10" s="6">
        <f t="shared" ref="AA10" si="27">AA5-AA9</f>
        <v>179.98663407062782</v>
      </c>
      <c r="AB10" s="6">
        <f t="shared" ref="AB10" si="28">AB5-AB9</f>
        <v>191.90597206728103</v>
      </c>
      <c r="AC10" s="6">
        <f t="shared" ref="AC10" si="29">AC5-AC9</f>
        <v>201.73158268496013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2:107" s="1" customFormat="1" x14ac:dyDescent="0.2">
      <c r="B11" s="1" t="s">
        <v>57</v>
      </c>
      <c r="C11" s="6">
        <f>-5.029+3.807</f>
        <v>-1.222</v>
      </c>
      <c r="D11" s="6">
        <f>-5.034+5.184</f>
        <v>0.15000000000000036</v>
      </c>
      <c r="E11" s="6">
        <f>-5.037+3.89</f>
        <v>-1.1469999999999998</v>
      </c>
      <c r="F11" s="6">
        <f>5.547-5.037</f>
        <v>0.50999999999999979</v>
      </c>
      <c r="G11" s="6">
        <f>4.484-5.038</f>
        <v>-0.55400000000000027</v>
      </c>
      <c r="H11" s="6">
        <f>-5.041+4.57</f>
        <v>-0.47100000000000009</v>
      </c>
      <c r="I11" s="6">
        <f>-5.045+5.979</f>
        <v>0.93400000000000016</v>
      </c>
      <c r="J11" s="6">
        <f>3.328-5.045</f>
        <v>-1.7170000000000001</v>
      </c>
      <c r="K11" s="6">
        <v>0</v>
      </c>
      <c r="L11" s="6">
        <v>0</v>
      </c>
      <c r="M11" s="6">
        <v>0</v>
      </c>
      <c r="N11" s="6">
        <v>0</v>
      </c>
      <c r="O11" s="6"/>
      <c r="P11" s="6"/>
      <c r="Q11" s="12">
        <f>SUM(C11:F11)</f>
        <v>-1.7089999999999996</v>
      </c>
      <c r="R11" s="12">
        <f>SUM(G11:J11)</f>
        <v>-1.8080000000000003</v>
      </c>
      <c r="S11" s="12">
        <f>R31*$AF$23</f>
        <v>-2.36</v>
      </c>
      <c r="T11" s="12">
        <f t="shared" ref="T11:AC11" si="30">S31*$AF$23</f>
        <v>-2.1582412899999999</v>
      </c>
      <c r="U11" s="12">
        <f t="shared" si="30"/>
        <v>-1.799581671059997</v>
      </c>
      <c r="V11" s="12">
        <f t="shared" si="30"/>
        <v>-1.2781044996848354</v>
      </c>
      <c r="W11" s="12">
        <f t="shared" si="30"/>
        <v>-7.058825128952094E-2</v>
      </c>
      <c r="X11" s="12">
        <f t="shared" si="30"/>
        <v>1.4771100311054994</v>
      </c>
      <c r="Y11" s="12">
        <f t="shared" si="30"/>
        <v>3.3363995306135532</v>
      </c>
      <c r="Z11" s="12">
        <f t="shared" si="30"/>
        <v>5.479568581090283</v>
      </c>
      <c r="AA11" s="12">
        <f t="shared" si="30"/>
        <v>7.8795452523920453</v>
      </c>
      <c r="AB11" s="12">
        <f t="shared" si="30"/>
        <v>10.509671762914323</v>
      </c>
      <c r="AC11" s="12">
        <f t="shared" si="30"/>
        <v>13.343490776537058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107" s="1" customFormat="1" x14ac:dyDescent="0.2">
      <c r="B12" s="1" t="s">
        <v>58</v>
      </c>
      <c r="C12" s="6">
        <f>C10+C11</f>
        <v>15.748999999999947</v>
      </c>
      <c r="D12" s="6">
        <f>D10+D11</f>
        <v>9.4360000000000017</v>
      </c>
      <c r="E12" s="6">
        <f>E10+E11</f>
        <v>16.116999999999955</v>
      </c>
      <c r="F12" s="6">
        <f>F10+F11</f>
        <v>32.053000000000004</v>
      </c>
      <c r="G12" s="6">
        <f>G10+G11</f>
        <v>26.010999999999996</v>
      </c>
      <c r="H12" s="6">
        <f>H10+H11</f>
        <v>33.04000000000002</v>
      </c>
      <c r="I12" s="6">
        <f>I10+I11</f>
        <v>26.318999999999992</v>
      </c>
      <c r="J12" s="6">
        <f>J10+J11</f>
        <v>23.359000000000023</v>
      </c>
      <c r="K12" s="6">
        <f t="shared" ref="K12:N12" si="31">K10+K11</f>
        <v>-0.22902500000003556</v>
      </c>
      <c r="L12" s="6">
        <f t="shared" si="31"/>
        <v>7.0449849999999969</v>
      </c>
      <c r="M12" s="6">
        <f t="shared" si="31"/>
        <v>1.1955974999999626</v>
      </c>
      <c r="N12" s="6">
        <f t="shared" si="31"/>
        <v>6.6330725000000257</v>
      </c>
      <c r="O12" s="6"/>
      <c r="P12" s="6"/>
      <c r="Q12" s="6">
        <f t="shared" ref="Q11:S12" si="32">Q10+Q11</f>
        <v>73.354999999999848</v>
      </c>
      <c r="R12" s="6">
        <f t="shared" si="32"/>
        <v>108.72900000000014</v>
      </c>
      <c r="S12" s="6">
        <f t="shared" si="32"/>
        <v>12.284630000000007</v>
      </c>
      <c r="T12" s="6">
        <f t="shared" ref="T12" si="33">T10+T11</f>
        <v>25.618544210000188</v>
      </c>
      <c r="U12" s="6">
        <f t="shared" ref="U12" si="34">U10+U11</f>
        <v>37.248369383940116</v>
      </c>
      <c r="V12" s="6">
        <f t="shared" ref="V12" si="35">V10+V11</f>
        <v>86.251160599665312</v>
      </c>
      <c r="W12" s="6">
        <f t="shared" ref="W12" si="36">W10+W11</f>
        <v>110.54987731393003</v>
      </c>
      <c r="X12" s="6">
        <f t="shared" ref="X12" si="37">X10+X11</f>
        <v>132.80639282200383</v>
      </c>
      <c r="Y12" s="6">
        <f t="shared" ref="Y12" si="38">Y10+Y11</f>
        <v>153.0835036054807</v>
      </c>
      <c r="Z12" s="6">
        <f t="shared" ref="Z12" si="39">Z10+Z11</f>
        <v>171.42690509298296</v>
      </c>
      <c r="AA12" s="6">
        <f t="shared" ref="AA12" si="40">AA10+AA11</f>
        <v>187.86617932301985</v>
      </c>
      <c r="AB12" s="6">
        <f t="shared" ref="AB12" si="41">AB10+AB11</f>
        <v>202.41564383019534</v>
      </c>
      <c r="AC12" s="6">
        <f t="shared" ref="AC12" si="42">AC10+AC11</f>
        <v>215.0750734614972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2:107" s="1" customFormat="1" x14ac:dyDescent="0.2">
      <c r="B13" s="1" t="s">
        <v>60</v>
      </c>
      <c r="C13" s="6">
        <f>1.884-0.325</f>
        <v>1.5589999999999999</v>
      </c>
      <c r="D13" s="6">
        <f>0.36+0.22</f>
        <v>0.57999999999999996</v>
      </c>
      <c r="E13" s="6">
        <f>-6.057+0.069</f>
        <v>-5.9880000000000004</v>
      </c>
      <c r="F13" s="6">
        <f>5.651+0.015</f>
        <v>5.6659999999999995</v>
      </c>
      <c r="G13" s="6">
        <f>3.479+0.314</f>
        <v>3.7930000000000001</v>
      </c>
      <c r="H13" s="6">
        <f>4.628+0.328</f>
        <v>4.9560000000000004</v>
      </c>
      <c r="I13" s="6">
        <f>-26.612+0.202</f>
        <v>-26.409999999999997</v>
      </c>
      <c r="J13" s="6">
        <v>1.734</v>
      </c>
      <c r="K13" s="6">
        <f>K12*0.15</f>
        <v>-3.4353750000005331E-2</v>
      </c>
      <c r="L13" s="6">
        <f t="shared" ref="L13:N13" si="43">L12*0.15</f>
        <v>1.0567477499999995</v>
      </c>
      <c r="M13" s="6">
        <f t="shared" si="43"/>
        <v>0.17933962499999437</v>
      </c>
      <c r="N13" s="6">
        <f t="shared" si="43"/>
        <v>0.99496087500000385</v>
      </c>
      <c r="O13" s="6"/>
      <c r="P13" s="6"/>
      <c r="Q13" s="12">
        <f>SUM(C13:F13)</f>
        <v>1.8169999999999988</v>
      </c>
      <c r="R13" s="12">
        <f>SUM(G13:J13)</f>
        <v>-15.926999999999994</v>
      </c>
      <c r="S13" s="12">
        <f>SUM(K13:N13)</f>
        <v>2.1966944999999924</v>
      </c>
      <c r="T13" s="6">
        <f>T12*0.3</f>
        <v>7.6855632630000557</v>
      </c>
      <c r="U13" s="6">
        <f t="shared" ref="U13:AC13" si="44">U12*0.3</f>
        <v>11.174510815182034</v>
      </c>
      <c r="V13" s="6">
        <f t="shared" si="44"/>
        <v>25.875348179899593</v>
      </c>
      <c r="W13" s="6">
        <f t="shared" si="44"/>
        <v>33.164963194179009</v>
      </c>
      <c r="X13" s="6">
        <f t="shared" si="44"/>
        <v>39.841917846601149</v>
      </c>
      <c r="Y13" s="6">
        <f t="shared" si="44"/>
        <v>45.925051081644206</v>
      </c>
      <c r="Z13" s="6">
        <f t="shared" si="44"/>
        <v>51.428071527894886</v>
      </c>
      <c r="AA13" s="6">
        <f t="shared" si="44"/>
        <v>56.359853796905952</v>
      </c>
      <c r="AB13" s="6">
        <f t="shared" si="44"/>
        <v>60.724693149058595</v>
      </c>
      <c r="AC13" s="6">
        <f t="shared" si="44"/>
        <v>64.522522038449154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2:107" s="1" customFormat="1" x14ac:dyDescent="0.2">
      <c r="B14" s="1" t="s">
        <v>59</v>
      </c>
      <c r="C14" s="6">
        <f>C12-C13</f>
        <v>14.189999999999948</v>
      </c>
      <c r="D14" s="6">
        <f>D12-D13</f>
        <v>8.8560000000000016</v>
      </c>
      <c r="E14" s="6">
        <f>E12-E13</f>
        <v>22.104999999999954</v>
      </c>
      <c r="F14" s="6">
        <f>F12-F13</f>
        <v>26.387000000000004</v>
      </c>
      <c r="G14" s="6">
        <f>G12-G13</f>
        <v>22.217999999999996</v>
      </c>
      <c r="H14" s="6">
        <f>H12-H13</f>
        <v>28.084000000000021</v>
      </c>
      <c r="I14" s="6">
        <f>I12-I13</f>
        <v>52.728999999999985</v>
      </c>
      <c r="J14" s="6">
        <f>J12-J13</f>
        <v>21.625000000000021</v>
      </c>
      <c r="K14" s="6">
        <f t="shared" ref="K14:N14" si="45">K12-K13</f>
        <v>-0.19467125000003022</v>
      </c>
      <c r="L14" s="6">
        <f t="shared" si="45"/>
        <v>5.9882372499999974</v>
      </c>
      <c r="M14" s="6">
        <f t="shared" si="45"/>
        <v>1.0162578749999682</v>
      </c>
      <c r="N14" s="6">
        <f t="shared" si="45"/>
        <v>5.6381116250000218</v>
      </c>
      <c r="O14" s="6"/>
      <c r="P14" s="6"/>
      <c r="Q14" s="6">
        <f t="shared" ref="Q14:R14" si="46">Q12-Q13</f>
        <v>71.537999999999855</v>
      </c>
      <c r="R14" s="6">
        <f>R12-R13</f>
        <v>124.65600000000013</v>
      </c>
      <c r="S14" s="6">
        <f>S12-S13</f>
        <v>10.087935500000015</v>
      </c>
      <c r="T14" s="6">
        <f t="shared" ref="T14:AC14" si="47">T12-T13</f>
        <v>17.932980947000132</v>
      </c>
      <c r="U14" s="6">
        <f t="shared" si="47"/>
        <v>26.073858568758084</v>
      </c>
      <c r="V14" s="6">
        <f t="shared" si="47"/>
        <v>60.375812419765722</v>
      </c>
      <c r="W14" s="6">
        <f t="shared" si="47"/>
        <v>77.384914119751016</v>
      </c>
      <c r="X14" s="6">
        <f t="shared" si="47"/>
        <v>92.96447497540268</v>
      </c>
      <c r="Y14" s="6">
        <f t="shared" si="47"/>
        <v>107.1584525238365</v>
      </c>
      <c r="Z14" s="6">
        <f t="shared" si="47"/>
        <v>119.99883356508808</v>
      </c>
      <c r="AA14" s="6">
        <f t="shared" si="47"/>
        <v>131.5063255261139</v>
      </c>
      <c r="AB14" s="6">
        <f t="shared" si="47"/>
        <v>141.69095068113674</v>
      </c>
      <c r="AC14" s="6">
        <f t="shared" si="47"/>
        <v>150.55255142304804</v>
      </c>
      <c r="AD14" s="6">
        <f>AC14*(1+$AF$24)</f>
        <v>149.04702590881757</v>
      </c>
      <c r="AE14" s="6">
        <f t="shared" ref="AE14:CP14" si="48">AD14*(1+$AF$24)</f>
        <v>147.5565556497294</v>
      </c>
      <c r="AF14" s="6">
        <f t="shared" si="48"/>
        <v>146.08099009323212</v>
      </c>
      <c r="AG14" s="6">
        <f t="shared" si="48"/>
        <v>144.62018019229978</v>
      </c>
      <c r="AH14" s="6">
        <f t="shared" si="48"/>
        <v>143.17397839037679</v>
      </c>
      <c r="AI14" s="6">
        <f t="shared" si="48"/>
        <v>141.74223860647302</v>
      </c>
      <c r="AJ14" s="6">
        <f t="shared" si="48"/>
        <v>140.32481622040828</v>
      </c>
      <c r="AK14" s="6">
        <f t="shared" si="48"/>
        <v>138.9215680582042</v>
      </c>
      <c r="AL14" s="6">
        <f t="shared" si="48"/>
        <v>137.53235237762215</v>
      </c>
      <c r="AM14" s="6">
        <f t="shared" si="48"/>
        <v>136.15702885384593</v>
      </c>
      <c r="AN14" s="6">
        <f t="shared" si="48"/>
        <v>134.79545856530746</v>
      </c>
      <c r="AO14" s="6">
        <f t="shared" si="48"/>
        <v>133.44750397965439</v>
      </c>
      <c r="AP14" s="6">
        <f t="shared" si="48"/>
        <v>132.11302893985783</v>
      </c>
      <c r="AQ14" s="6">
        <f t="shared" si="48"/>
        <v>130.79189865045925</v>
      </c>
      <c r="AR14" s="6">
        <f t="shared" si="48"/>
        <v>129.48397966395464</v>
      </c>
      <c r="AS14" s="6">
        <f t="shared" si="48"/>
        <v>128.18913986731511</v>
      </c>
      <c r="AT14" s="6">
        <f t="shared" si="48"/>
        <v>126.90724846864195</v>
      </c>
      <c r="AU14" s="6">
        <f t="shared" si="48"/>
        <v>125.63817598395553</v>
      </c>
      <c r="AV14" s="6">
        <f t="shared" si="48"/>
        <v>124.38179422411598</v>
      </c>
      <c r="AW14" s="6">
        <f t="shared" si="48"/>
        <v>123.13797628187481</v>
      </c>
      <c r="AX14" s="6">
        <f t="shared" si="48"/>
        <v>121.90659651905607</v>
      </c>
      <c r="AY14" s="6">
        <f t="shared" si="48"/>
        <v>120.6875305538655</v>
      </c>
      <c r="AZ14" s="6">
        <f t="shared" si="48"/>
        <v>119.48065524832684</v>
      </c>
      <c r="BA14" s="6">
        <f t="shared" si="48"/>
        <v>118.28584869584357</v>
      </c>
      <c r="BB14" s="6">
        <f t="shared" si="48"/>
        <v>117.10299020888513</v>
      </c>
      <c r="BC14" s="6">
        <f t="shared" si="48"/>
        <v>115.93196030679628</v>
      </c>
      <c r="BD14" s="6">
        <f t="shared" si="48"/>
        <v>114.77264070372831</v>
      </c>
      <c r="BE14" s="6">
        <f t="shared" si="48"/>
        <v>113.62491429669103</v>
      </c>
      <c r="BF14" s="6">
        <f t="shared" si="48"/>
        <v>112.48866515372411</v>
      </c>
      <c r="BG14" s="6">
        <f t="shared" si="48"/>
        <v>111.36377850218688</v>
      </c>
      <c r="BH14" s="6">
        <f t="shared" si="48"/>
        <v>110.25014071716501</v>
      </c>
      <c r="BI14" s="6">
        <f t="shared" si="48"/>
        <v>109.14763930999337</v>
      </c>
      <c r="BJ14" s="6">
        <f t="shared" si="48"/>
        <v>108.05616291689343</v>
      </c>
      <c r="BK14" s="6">
        <f t="shared" si="48"/>
        <v>106.97560128772449</v>
      </c>
      <c r="BL14" s="6">
        <f t="shared" si="48"/>
        <v>105.90584527484724</v>
      </c>
      <c r="BM14" s="6">
        <f t="shared" si="48"/>
        <v>104.84678682209876</v>
      </c>
      <c r="BN14" s="6">
        <f t="shared" si="48"/>
        <v>103.79831895387778</v>
      </c>
      <c r="BO14" s="6">
        <f t="shared" si="48"/>
        <v>102.760335764339</v>
      </c>
      <c r="BP14" s="6">
        <f t="shared" si="48"/>
        <v>101.73273240669562</v>
      </c>
      <c r="BQ14" s="6">
        <f t="shared" si="48"/>
        <v>100.71540508262866</v>
      </c>
      <c r="BR14" s="6">
        <f t="shared" si="48"/>
        <v>99.708251031802376</v>
      </c>
      <c r="BS14" s="6">
        <f t="shared" si="48"/>
        <v>98.711168521484353</v>
      </c>
      <c r="BT14" s="6">
        <f t="shared" si="48"/>
        <v>97.724056836269511</v>
      </c>
      <c r="BU14" s="6">
        <f t="shared" si="48"/>
        <v>96.746816267906809</v>
      </c>
      <c r="BV14" s="6">
        <f t="shared" si="48"/>
        <v>95.77934810522774</v>
      </c>
      <c r="BW14" s="6">
        <f t="shared" si="48"/>
        <v>94.821554624175462</v>
      </c>
      <c r="BX14" s="6">
        <f t="shared" si="48"/>
        <v>93.873339077933707</v>
      </c>
      <c r="BY14" s="6">
        <f t="shared" si="48"/>
        <v>92.934605687154374</v>
      </c>
      <c r="BZ14" s="6">
        <f t="shared" si="48"/>
        <v>92.005259630282836</v>
      </c>
      <c r="CA14" s="6">
        <f t="shared" si="48"/>
        <v>91.085207033980012</v>
      </c>
      <c r="CB14" s="6">
        <f t="shared" si="48"/>
        <v>90.174354963640212</v>
      </c>
      <c r="CC14" s="6">
        <f t="shared" si="48"/>
        <v>89.272611414003805</v>
      </c>
      <c r="CD14" s="6">
        <f t="shared" si="48"/>
        <v>88.379885299863773</v>
      </c>
      <c r="CE14" s="6">
        <f t="shared" si="48"/>
        <v>87.496086446865135</v>
      </c>
      <c r="CF14" s="6">
        <f t="shared" si="48"/>
        <v>86.621125582396488</v>
      </c>
      <c r="CG14" s="6">
        <f t="shared" si="48"/>
        <v>85.754914326572518</v>
      </c>
      <c r="CH14" s="6">
        <f t="shared" si="48"/>
        <v>84.897365183306789</v>
      </c>
      <c r="CI14" s="6">
        <f t="shared" si="48"/>
        <v>84.048391531473726</v>
      </c>
      <c r="CJ14" s="6">
        <f t="shared" si="48"/>
        <v>83.207907616158991</v>
      </c>
      <c r="CK14" s="6">
        <f t="shared" si="48"/>
        <v>82.3758285399974</v>
      </c>
      <c r="CL14" s="6">
        <f t="shared" si="48"/>
        <v>81.552070254597425</v>
      </c>
      <c r="CM14" s="6">
        <f t="shared" si="48"/>
        <v>80.736549552051443</v>
      </c>
      <c r="CN14" s="6">
        <f t="shared" si="48"/>
        <v>79.929184056530929</v>
      </c>
      <c r="CO14" s="6">
        <f t="shared" si="48"/>
        <v>79.129892215965626</v>
      </c>
      <c r="CP14" s="6">
        <f t="shared" si="48"/>
        <v>78.338593293805971</v>
      </c>
      <c r="CQ14" s="6">
        <f t="shared" ref="CQ14:DC14" si="49">CP14*(1+$AF$24)</f>
        <v>77.555207360867911</v>
      </c>
      <c r="CR14" s="6">
        <f t="shared" si="49"/>
        <v>76.779655287259231</v>
      </c>
      <c r="CS14" s="6">
        <f t="shared" si="49"/>
        <v>76.011858734386635</v>
      </c>
      <c r="CT14" s="6">
        <f t="shared" si="49"/>
        <v>75.251740147042767</v>
      </c>
      <c r="CU14" s="6">
        <f t="shared" si="49"/>
        <v>74.499222745572339</v>
      </c>
      <c r="CV14" s="6">
        <f t="shared" si="49"/>
        <v>73.754230518116614</v>
      </c>
      <c r="CW14" s="6">
        <f t="shared" si="49"/>
        <v>73.016688212935449</v>
      </c>
      <c r="CX14" s="6">
        <f t="shared" si="49"/>
        <v>72.286521330806096</v>
      </c>
      <c r="CY14" s="6">
        <f t="shared" si="49"/>
        <v>71.563656117498027</v>
      </c>
      <c r="CZ14" s="6">
        <f t="shared" si="49"/>
        <v>70.848019556323052</v>
      </c>
      <c r="DA14" s="6">
        <f t="shared" si="49"/>
        <v>70.139539360759827</v>
      </c>
      <c r="DB14" s="6">
        <f t="shared" si="49"/>
        <v>69.438143967152229</v>
      </c>
      <c r="DC14" s="6">
        <f t="shared" si="49"/>
        <v>68.743762527480712</v>
      </c>
    </row>
    <row r="15" spans="2:107" s="1" customFormat="1" x14ac:dyDescent="0.2">
      <c r="B15" s="1" t="s">
        <v>1</v>
      </c>
      <c r="C15" s="6">
        <v>506.56724600000001</v>
      </c>
      <c r="D15" s="6">
        <v>506.283525</v>
      </c>
      <c r="E15" s="6">
        <v>507.15524699999997</v>
      </c>
      <c r="F15" s="6">
        <v>502.03399999999999</v>
      </c>
      <c r="G15" s="6">
        <v>501.74185499999999</v>
      </c>
      <c r="H15" s="6">
        <v>498.66922499999998</v>
      </c>
      <c r="I15" s="6">
        <v>497.26903399999998</v>
      </c>
      <c r="J15" s="6">
        <v>497.8</v>
      </c>
      <c r="K15" s="6">
        <v>497.8</v>
      </c>
      <c r="L15" s="6">
        <v>497.8</v>
      </c>
      <c r="M15" s="6">
        <v>497.8</v>
      </c>
      <c r="N15" s="6">
        <v>497.8</v>
      </c>
      <c r="O15" s="6"/>
      <c r="P15" s="6"/>
      <c r="Q15" s="6">
        <f>AVERAGE(C15:F15)</f>
        <v>505.51000450000004</v>
      </c>
      <c r="R15" s="6">
        <f>AVERAGE(G15:J15)</f>
        <v>498.87002849999999</v>
      </c>
      <c r="S15" s="6">
        <f>AVERAGE(K15:N15)</f>
        <v>497.8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2:107" s="8" customFormat="1" x14ac:dyDescent="0.2">
      <c r="B16" s="8" t="s">
        <v>61</v>
      </c>
      <c r="C16" s="9">
        <f>C14/C15</f>
        <v>2.8012075616906246E-2</v>
      </c>
      <c r="D16" s="9">
        <f>D14/D15</f>
        <v>1.7492174962635811E-2</v>
      </c>
      <c r="E16" s="9">
        <f>E14/E15</f>
        <v>4.3586259100657505E-2</v>
      </c>
      <c r="F16" s="9">
        <f>F14/F15</f>
        <v>5.2560185166741706E-2</v>
      </c>
      <c r="G16" s="9">
        <f>G14/G15</f>
        <v>4.4281735276001634E-2</v>
      </c>
      <c r="H16" s="9">
        <f>H14/H15</f>
        <v>5.6317892887815607E-2</v>
      </c>
      <c r="I16" s="9">
        <f>I14/I15</f>
        <v>0.10603716779999614</v>
      </c>
      <c r="J16" s="9">
        <f>J14/J15</f>
        <v>4.3441141020490195E-2</v>
      </c>
      <c r="K16" s="9">
        <f t="shared" ref="K16:N16" si="50">K14/K15</f>
        <v>-3.9106317798318644E-4</v>
      </c>
      <c r="L16" s="9">
        <f t="shared" si="50"/>
        <v>1.2029403877059055E-2</v>
      </c>
      <c r="M16" s="9">
        <f t="shared" si="50"/>
        <v>2.0414983427078509E-3</v>
      </c>
      <c r="N16" s="9">
        <f t="shared" si="50"/>
        <v>1.132605790478108E-2</v>
      </c>
      <c r="O16" s="9"/>
      <c r="P16" s="9"/>
      <c r="Q16" s="9">
        <f t="shared" ref="Q16" si="51">Q14/Q15</f>
        <v>0.14151648703917954</v>
      </c>
      <c r="R16" s="9">
        <f t="shared" ref="Q16:S16" si="52">R14/R15</f>
        <v>0.24987670711510812</v>
      </c>
      <c r="S16" s="9">
        <f t="shared" si="52"/>
        <v>2.0265037163519514E-2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2:62" s="8" customFormat="1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s="8" customFormat="1" x14ac:dyDescent="0.2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s="8" customFormat="1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</row>
    <row r="20" spans="2:62" s="1" customFormat="1" x14ac:dyDescent="0.2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2:62" s="1" customFormat="1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2:62" s="4" customFormat="1" x14ac:dyDescent="0.2">
      <c r="B22" s="4" t="s">
        <v>62</v>
      </c>
      <c r="C22" s="7"/>
      <c r="D22" s="7"/>
      <c r="E22" s="7"/>
      <c r="F22" s="7"/>
      <c r="G22" s="7">
        <f t="shared" ref="G22:I22" si="53">G3/C3-1</f>
        <v>-0.14094915006315112</v>
      </c>
      <c r="H22" s="7">
        <f t="shared" si="53"/>
        <v>-0.1036813078981873</v>
      </c>
      <c r="I22" s="7">
        <f t="shared" si="53"/>
        <v>-0.1552027013560876</v>
      </c>
      <c r="J22" s="7">
        <f>J3/F3-1</f>
        <v>-0.10839022344416216</v>
      </c>
      <c r="K22" s="7">
        <f t="shared" ref="K22:N22" si="54">K3/G3-1</f>
        <v>-4.9999999999999933E-2</v>
      </c>
      <c r="L22" s="7">
        <f t="shared" si="54"/>
        <v>-5.0000000000000044E-2</v>
      </c>
      <c r="M22" s="7">
        <f t="shared" si="54"/>
        <v>-5.0000000000000044E-2</v>
      </c>
      <c r="N22" s="7">
        <f t="shared" si="54"/>
        <v>-5.0000000000000044E-2</v>
      </c>
      <c r="O22" s="7"/>
      <c r="P22" s="7"/>
      <c r="Q22" s="7"/>
      <c r="R22" s="7">
        <f t="shared" ref="R22:S22" si="55">R3/Q3-1</f>
        <v>-0.12779117246170735</v>
      </c>
      <c r="S22" s="7">
        <f>S3/R3-1</f>
        <v>-4.9999999999999933E-2</v>
      </c>
      <c r="T22" s="7">
        <f t="shared" ref="T22:AC22" si="56">T3/S3-1</f>
        <v>5.0000000000000044E-2</v>
      </c>
      <c r="U22" s="7">
        <f t="shared" si="56"/>
        <v>5.0000000000000044E-2</v>
      </c>
      <c r="V22" s="7">
        <f t="shared" si="56"/>
        <v>5.0000000000000044E-2</v>
      </c>
      <c r="W22" s="7">
        <f t="shared" si="56"/>
        <v>3.0000000000000027E-2</v>
      </c>
      <c r="X22" s="7">
        <f t="shared" si="56"/>
        <v>3.0000000000000027E-2</v>
      </c>
      <c r="Y22" s="7">
        <f t="shared" si="56"/>
        <v>3.0000000000000027E-2</v>
      </c>
      <c r="Z22" s="7">
        <f t="shared" si="56"/>
        <v>3.0000000000000027E-2</v>
      </c>
      <c r="AA22" s="7">
        <f t="shared" si="56"/>
        <v>3.0000000000000027E-2</v>
      </c>
      <c r="AB22" s="7">
        <f t="shared" si="56"/>
        <v>3.0000000000000027E-2</v>
      </c>
      <c r="AC22" s="7">
        <f t="shared" si="56"/>
        <v>3.0000000000000027E-2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2:62" s="4" customFormat="1" x14ac:dyDescent="0.2">
      <c r="B23" s="4" t="s">
        <v>63</v>
      </c>
      <c r="C23" s="7"/>
      <c r="D23" s="7"/>
      <c r="E23" s="7"/>
      <c r="F23" s="7"/>
      <c r="G23" s="7">
        <f t="shared" ref="G23:I23" si="57">G6/C6-1</f>
        <v>-0.21321076098391878</v>
      </c>
      <c r="H23" s="7">
        <f t="shared" si="57"/>
        <v>-0.24202760476261154</v>
      </c>
      <c r="I23" s="7">
        <f t="shared" si="57"/>
        <v>-0.22319282376752192</v>
      </c>
      <c r="J23" s="7">
        <f>J6/F6-1</f>
        <v>-0.16468620101779552</v>
      </c>
      <c r="K23" s="7">
        <f t="shared" ref="K23:N23" si="58">K6/G6-1</f>
        <v>5.0000000000000044E-2</v>
      </c>
      <c r="L23" s="7">
        <f t="shared" si="58"/>
        <v>5.0000000000000044E-2</v>
      </c>
      <c r="M23" s="7">
        <f t="shared" si="58"/>
        <v>5.0000000000000044E-2</v>
      </c>
      <c r="N23" s="7">
        <f t="shared" si="58"/>
        <v>5.0000000000000044E-2</v>
      </c>
      <c r="O23" s="7"/>
      <c r="P23" s="7"/>
      <c r="Q23" s="7"/>
      <c r="R23" s="7">
        <f t="shared" ref="R23:S23" si="59">R6/Q6-1</f>
        <v>-0.21375579093184172</v>
      </c>
      <c r="S23" s="7">
        <f>S6/R6-1</f>
        <v>5.0000000000000044E-2</v>
      </c>
      <c r="T23" s="7">
        <f t="shared" ref="T23:AC23" si="60">T6/S6-1</f>
        <v>5.0000000000000044E-2</v>
      </c>
      <c r="U23" s="7">
        <f t="shared" si="60"/>
        <v>5.0000000000000044E-2</v>
      </c>
      <c r="V23" s="7">
        <f t="shared" si="60"/>
        <v>5.0000000000000044E-2</v>
      </c>
      <c r="W23" s="7">
        <f t="shared" si="60"/>
        <v>5.0000000000000044E-2</v>
      </c>
      <c r="X23" s="7">
        <f t="shared" si="60"/>
        <v>5.0000000000000044E-2</v>
      </c>
      <c r="Y23" s="7">
        <f t="shared" si="60"/>
        <v>5.0000000000000044E-2</v>
      </c>
      <c r="Z23" s="7">
        <f t="shared" si="60"/>
        <v>5.0000000000000044E-2</v>
      </c>
      <c r="AA23" s="7">
        <f t="shared" si="60"/>
        <v>5.0000000000000044E-2</v>
      </c>
      <c r="AB23" s="7">
        <f t="shared" si="60"/>
        <v>5.0000000000000044E-2</v>
      </c>
      <c r="AC23" s="7">
        <f t="shared" si="60"/>
        <v>5.0000000000000044E-2</v>
      </c>
      <c r="AD23" s="7"/>
      <c r="AE23" s="7" t="s">
        <v>75</v>
      </c>
      <c r="AF23" s="7">
        <v>0.02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2:62" s="4" customFormat="1" x14ac:dyDescent="0.2">
      <c r="B24" s="4" t="s">
        <v>64</v>
      </c>
      <c r="C24" s="7"/>
      <c r="D24" s="7"/>
      <c r="E24" s="7"/>
      <c r="F24" s="7"/>
      <c r="G24" s="7">
        <f t="shared" ref="G24:N24" si="61">G7/C7-1</f>
        <v>-0.1153030506791356</v>
      </c>
      <c r="H24" s="7">
        <f t="shared" si="61"/>
        <v>-9.4432578058754713E-2</v>
      </c>
      <c r="I24" s="7">
        <f t="shared" si="61"/>
        <v>-0.22162671475755302</v>
      </c>
      <c r="J24" s="7">
        <f t="shared" si="61"/>
        <v>3.4282246341015954E-2</v>
      </c>
      <c r="K24" s="7">
        <f t="shared" si="61"/>
        <v>-4.9999999999999933E-2</v>
      </c>
      <c r="L24" s="7">
        <f t="shared" si="61"/>
        <v>-5.0000000000000044E-2</v>
      </c>
      <c r="M24" s="7">
        <f t="shared" si="61"/>
        <v>-5.0000000000000044E-2</v>
      </c>
      <c r="N24" s="7">
        <f t="shared" si="61"/>
        <v>-5.0000000000000044E-2</v>
      </c>
      <c r="O24" s="7"/>
      <c r="P24" s="7"/>
      <c r="Q24" s="7"/>
      <c r="R24" s="7">
        <f t="shared" ref="R24:S24" si="62">R7/Q7-1</f>
        <v>-0.10960268678228891</v>
      </c>
      <c r="S24" s="7">
        <f t="shared" si="62"/>
        <v>-4.9999999999999822E-2</v>
      </c>
      <c r="T24" s="7">
        <f t="shared" ref="T24:AC24" si="63">T7/S7-1</f>
        <v>-3.0000000000000027E-2</v>
      </c>
      <c r="U24" s="7">
        <f t="shared" si="63"/>
        <v>-3.0000000000000138E-2</v>
      </c>
      <c r="V24" s="7">
        <f t="shared" si="63"/>
        <v>-2.9999999999999916E-2</v>
      </c>
      <c r="W24" s="7">
        <f t="shared" si="63"/>
        <v>-3.0000000000000027E-2</v>
      </c>
      <c r="X24" s="7">
        <f t="shared" si="63"/>
        <v>-3.0000000000000027E-2</v>
      </c>
      <c r="Y24" s="7">
        <f t="shared" si="63"/>
        <v>-3.0000000000000027E-2</v>
      </c>
      <c r="Z24" s="7">
        <f t="shared" si="63"/>
        <v>-3.0000000000000027E-2</v>
      </c>
      <c r="AA24" s="7">
        <f t="shared" si="63"/>
        <v>-3.0000000000000027E-2</v>
      </c>
      <c r="AB24" s="7">
        <f t="shared" si="63"/>
        <v>-3.0000000000000138E-2</v>
      </c>
      <c r="AC24" s="7">
        <f t="shared" si="63"/>
        <v>-3.0000000000000027E-2</v>
      </c>
      <c r="AD24" s="7"/>
      <c r="AE24" s="7" t="s">
        <v>76</v>
      </c>
      <c r="AF24" s="7">
        <v>-0.01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2:62" s="1" customFormat="1" x14ac:dyDescent="0.2">
      <c r="B25" s="1" t="s">
        <v>66</v>
      </c>
      <c r="C25" s="7"/>
      <c r="D25" s="7"/>
      <c r="E25" s="7"/>
      <c r="F25" s="7"/>
      <c r="G25" s="7">
        <f t="shared" ref="G25:N25" si="64">G8/C8-1</f>
        <v>-6.1472819216182084E-2</v>
      </c>
      <c r="H25" s="7">
        <f t="shared" si="64"/>
        <v>-3.0138165877333756E-2</v>
      </c>
      <c r="I25" s="7">
        <f t="shared" si="64"/>
        <v>0.13104154068009488</v>
      </c>
      <c r="J25" s="7">
        <f t="shared" si="64"/>
        <v>-6.9216456481290045E-2</v>
      </c>
      <c r="K25" s="7">
        <f t="shared" si="64"/>
        <v>0.25</v>
      </c>
      <c r="L25" s="7">
        <f t="shared" si="64"/>
        <v>0.25</v>
      </c>
      <c r="M25" s="7">
        <f t="shared" si="64"/>
        <v>0.25</v>
      </c>
      <c r="N25" s="7">
        <f t="shared" si="64"/>
        <v>0.25</v>
      </c>
      <c r="O25" s="6"/>
      <c r="P25" s="6"/>
      <c r="Q25" s="6"/>
      <c r="R25" s="7">
        <f t="shared" ref="R25:S25" si="65">R8/Q8-1</f>
        <v>-1.22536072009366E-2</v>
      </c>
      <c r="S25" s="7">
        <f t="shared" si="65"/>
        <v>0.25000000000000022</v>
      </c>
      <c r="T25" s="7">
        <f t="shared" ref="T25:AC25" si="66">T8/S8-1</f>
        <v>0.14999999999999991</v>
      </c>
      <c r="U25" s="7">
        <f t="shared" si="66"/>
        <v>0.14999999999999991</v>
      </c>
      <c r="V25" s="7">
        <f t="shared" si="66"/>
        <v>-9.9999999999999978E-2</v>
      </c>
      <c r="W25" s="7">
        <f t="shared" si="66"/>
        <v>-9.9999999999999978E-2</v>
      </c>
      <c r="X25" s="7">
        <f t="shared" si="66"/>
        <v>-9.9999999999999978E-2</v>
      </c>
      <c r="Y25" s="7">
        <f t="shared" si="66"/>
        <v>-9.9999999999999978E-2</v>
      </c>
      <c r="Z25" s="7">
        <f t="shared" si="66"/>
        <v>-0.10000000000000009</v>
      </c>
      <c r="AA25" s="7">
        <f t="shared" si="66"/>
        <v>-9.9999999999999978E-2</v>
      </c>
      <c r="AB25" s="7">
        <f t="shared" si="66"/>
        <v>-9.9999999999999867E-2</v>
      </c>
      <c r="AC25" s="7">
        <f t="shared" si="66"/>
        <v>-0.10000000000000009</v>
      </c>
      <c r="AD25" s="6"/>
      <c r="AE25" s="6" t="s">
        <v>77</v>
      </c>
      <c r="AF25" s="7">
        <v>0.1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2:62" s="1" customFormat="1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 t="s">
        <v>78</v>
      </c>
      <c r="AF26" s="6">
        <f>NPV(AF25,S14:DC14)</f>
        <v>934.2631306086646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2:62" s="4" customFormat="1" x14ac:dyDescent="0.2">
      <c r="B27" s="4" t="s">
        <v>60</v>
      </c>
      <c r="C27" s="7">
        <f t="shared" ref="C27:I27" si="67">C13/C12</f>
        <v>9.899041208965681E-2</v>
      </c>
      <c r="D27" s="7">
        <f t="shared" si="67"/>
        <v>6.1466723187791422E-2</v>
      </c>
      <c r="E27" s="7">
        <f t="shared" si="67"/>
        <v>-0.37153316374015122</v>
      </c>
      <c r="F27" s="7">
        <f t="shared" si="67"/>
        <v>0.17676972514273231</v>
      </c>
      <c r="G27" s="7">
        <f t="shared" si="67"/>
        <v>0.14582292107185424</v>
      </c>
      <c r="H27" s="7">
        <f t="shared" si="67"/>
        <v>0.14999999999999991</v>
      </c>
      <c r="I27" s="7">
        <f t="shared" si="67"/>
        <v>-1.0034575781754627</v>
      </c>
      <c r="J27" s="7">
        <f>J13/J12</f>
        <v>7.4232629821482016E-2</v>
      </c>
      <c r="K27" s="7"/>
      <c r="L27" s="7"/>
      <c r="M27" s="7"/>
      <c r="N27" s="7"/>
      <c r="O27" s="7"/>
      <c r="P27" s="7"/>
      <c r="Q27" s="7"/>
      <c r="R27" s="7">
        <f>R13/R12</f>
        <v>-0.14648345887481695</v>
      </c>
      <c r="S27" s="7">
        <f t="shared" ref="S27:AC27" si="68">S13/S12</f>
        <v>0.17881649671174396</v>
      </c>
      <c r="T27" s="7">
        <f t="shared" si="68"/>
        <v>0.3</v>
      </c>
      <c r="U27" s="7">
        <f t="shared" si="68"/>
        <v>0.3</v>
      </c>
      <c r="V27" s="7">
        <f t="shared" si="68"/>
        <v>0.3</v>
      </c>
      <c r="W27" s="7">
        <f t="shared" si="68"/>
        <v>0.3</v>
      </c>
      <c r="X27" s="7">
        <f t="shared" si="68"/>
        <v>0.3</v>
      </c>
      <c r="Y27" s="7">
        <f t="shared" si="68"/>
        <v>0.3</v>
      </c>
      <c r="Z27" s="7">
        <f t="shared" si="68"/>
        <v>0.3</v>
      </c>
      <c r="AA27" s="7">
        <f t="shared" si="68"/>
        <v>0.3</v>
      </c>
      <c r="AB27" s="7">
        <f t="shared" si="68"/>
        <v>0.3</v>
      </c>
      <c r="AC27" s="7">
        <f t="shared" si="68"/>
        <v>0.3</v>
      </c>
      <c r="AD27" s="7"/>
      <c r="AE27" s="7" t="s">
        <v>1</v>
      </c>
      <c r="AF27" s="13">
        <v>497.8</v>
      </c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2:62" s="1" customFormat="1" x14ac:dyDescent="0.2">
      <c r="B28" s="1" t="s">
        <v>67</v>
      </c>
      <c r="C28" s="7">
        <f t="shared" ref="C28:I28" si="69">C5/C3</f>
        <v>0.95235684126729614</v>
      </c>
      <c r="D28" s="7">
        <f t="shared" si="69"/>
        <v>0.9581668264184966</v>
      </c>
      <c r="E28" s="7">
        <f t="shared" si="69"/>
        <v>0.96109967514257</v>
      </c>
      <c r="F28" s="7">
        <f t="shared" si="69"/>
        <v>0.94261948587538658</v>
      </c>
      <c r="G28" s="7">
        <f t="shared" si="69"/>
        <v>0.959078555289957</v>
      </c>
      <c r="H28" s="7">
        <f t="shared" si="69"/>
        <v>0.95509211954279771</v>
      </c>
      <c r="I28" s="7">
        <f t="shared" si="69"/>
        <v>0.95028966800238612</v>
      </c>
      <c r="J28" s="7">
        <f>J5/J3</f>
        <v>0.93960107365913936</v>
      </c>
      <c r="K28" s="6"/>
      <c r="L28" s="6"/>
      <c r="M28" s="6"/>
      <c r="N28" s="6"/>
      <c r="O28" s="6"/>
      <c r="P28" s="6"/>
      <c r="Q28" s="6"/>
      <c r="R28" s="7">
        <f t="shared" ref="R28:AC28" si="70">R5/R3</f>
        <v>0.95141556241097891</v>
      </c>
      <c r="S28" s="7">
        <f t="shared" si="70"/>
        <v>0.94999999999999984</v>
      </c>
      <c r="T28" s="7">
        <f t="shared" si="70"/>
        <v>0.95</v>
      </c>
      <c r="U28" s="7">
        <f t="shared" si="70"/>
        <v>0.95000000000000007</v>
      </c>
      <c r="V28" s="7">
        <f t="shared" si="70"/>
        <v>0.95</v>
      </c>
      <c r="W28" s="7">
        <f t="shared" si="70"/>
        <v>0.95</v>
      </c>
      <c r="X28" s="7">
        <f t="shared" si="70"/>
        <v>0.95</v>
      </c>
      <c r="Y28" s="7">
        <f t="shared" si="70"/>
        <v>0.95</v>
      </c>
      <c r="Z28" s="7">
        <f t="shared" si="70"/>
        <v>0.95</v>
      </c>
      <c r="AA28" s="7">
        <f t="shared" si="70"/>
        <v>0.95</v>
      </c>
      <c r="AB28" s="7">
        <f t="shared" si="70"/>
        <v>0.94999999999999984</v>
      </c>
      <c r="AC28" s="7">
        <f t="shared" si="70"/>
        <v>0.95</v>
      </c>
      <c r="AD28" s="6"/>
      <c r="AE28" s="6" t="s">
        <v>0</v>
      </c>
      <c r="AF28" s="9">
        <f>AF26/AF27</f>
        <v>1.8767841113070802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2:62" s="4" customFormat="1" x14ac:dyDescent="0.2">
      <c r="B29" s="4" t="s">
        <v>68</v>
      </c>
      <c r="C29" s="7">
        <f t="shared" ref="C29:I29" si="71">C10/C3</f>
        <v>4.7738799483539797E-2</v>
      </c>
      <c r="D29" s="7">
        <f t="shared" si="71"/>
        <v>2.6411670511139494E-2</v>
      </c>
      <c r="E29" s="7">
        <f t="shared" si="71"/>
        <v>4.9152836737076037E-2</v>
      </c>
      <c r="F29" s="7">
        <f t="shared" si="71"/>
        <v>0.10499179517562987</v>
      </c>
      <c r="G29" s="7">
        <f t="shared" si="71"/>
        <v>8.6987131209273386E-2</v>
      </c>
      <c r="H29" s="7">
        <f t="shared" si="71"/>
        <v>0.10633889075758256</v>
      </c>
      <c r="I29" s="7">
        <f t="shared" si="71"/>
        <v>8.5552323915893458E-2</v>
      </c>
      <c r="J29" s="7">
        <f>J10/J3</f>
        <v>9.3612922734620352E-2</v>
      </c>
      <c r="K29" s="7"/>
      <c r="L29" s="7"/>
      <c r="M29" s="7"/>
      <c r="N29" s="7"/>
      <c r="O29" s="7"/>
      <c r="P29" s="7"/>
      <c r="Q29" s="7"/>
      <c r="R29" s="7">
        <f t="shared" ref="R29:AC29" si="72">R10/R3</f>
        <v>9.3271353256063685E-2</v>
      </c>
      <c r="S29" s="7">
        <f t="shared" si="72"/>
        <v>1.3007546966025156E-2</v>
      </c>
      <c r="T29" s="7">
        <f t="shared" si="72"/>
        <v>2.3496852199420461E-2</v>
      </c>
      <c r="U29" s="7">
        <f t="shared" si="72"/>
        <v>3.145840151574588E-2</v>
      </c>
      <c r="V29" s="7">
        <f t="shared" si="72"/>
        <v>6.715871594694274E-2</v>
      </c>
      <c r="W29" s="7">
        <f t="shared" si="72"/>
        <v>8.2403822713706928E-2</v>
      </c>
      <c r="X29" s="7">
        <f t="shared" si="72"/>
        <v>9.4980887862652519E-2</v>
      </c>
      <c r="Y29" s="7">
        <f t="shared" si="72"/>
        <v>0.10514675160154172</v>
      </c>
      <c r="Z29" s="7">
        <f t="shared" si="72"/>
        <v>0.11312809899978095</v>
      </c>
      <c r="AA29" s="7">
        <f t="shared" si="72"/>
        <v>0.11912508776875431</v>
      </c>
      <c r="AB29" s="7">
        <f t="shared" si="72"/>
        <v>0.12331452764578239</v>
      </c>
      <c r="AC29" s="7">
        <f t="shared" si="72"/>
        <v>0.12585266740574222</v>
      </c>
      <c r="AD29" s="7"/>
      <c r="AE29" s="7" t="s">
        <v>79</v>
      </c>
      <c r="AF29" s="14">
        <v>2.02</v>
      </c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2:62" s="1" customFormat="1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 t="s">
        <v>80</v>
      </c>
      <c r="AF30" s="7">
        <f>AF28/AF29-1</f>
        <v>-7.0898954798475189E-2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2:62" s="1" customFormat="1" x14ac:dyDescent="0.2">
      <c r="B31" s="1" t="s">
        <v>73</v>
      </c>
      <c r="C31" s="6"/>
      <c r="D31" s="6"/>
      <c r="E31" s="6"/>
      <c r="F31" s="6"/>
      <c r="G31" s="6"/>
      <c r="H31" s="6"/>
      <c r="I31" s="6"/>
      <c r="J31" s="6">
        <v>-118</v>
      </c>
      <c r="K31" s="6"/>
      <c r="L31" s="6"/>
      <c r="M31" s="6"/>
      <c r="N31" s="6"/>
      <c r="O31" s="6"/>
      <c r="P31" s="6"/>
      <c r="Q31" s="6"/>
      <c r="R31" s="6">
        <v>-118</v>
      </c>
      <c r="S31" s="6">
        <f>R31+S14</f>
        <v>-107.91206449999999</v>
      </c>
      <c r="T31" s="6">
        <f t="shared" ref="T31:AC31" si="73">S31+T14</f>
        <v>-89.979083552999853</v>
      </c>
      <c r="U31" s="6">
        <f t="shared" si="73"/>
        <v>-63.905224984241769</v>
      </c>
      <c r="V31" s="6">
        <f t="shared" si="73"/>
        <v>-3.529412564476047</v>
      </c>
      <c r="W31" s="6">
        <f t="shared" si="73"/>
        <v>73.855501555274969</v>
      </c>
      <c r="X31" s="6">
        <f t="shared" si="73"/>
        <v>166.81997653067765</v>
      </c>
      <c r="Y31" s="6">
        <f t="shared" si="73"/>
        <v>273.97842905451415</v>
      </c>
      <c r="Z31" s="6">
        <f t="shared" si="73"/>
        <v>393.97726261960224</v>
      </c>
      <c r="AA31" s="6">
        <f t="shared" si="73"/>
        <v>525.48358814571611</v>
      </c>
      <c r="AB31" s="6">
        <f t="shared" si="73"/>
        <v>667.17453882685288</v>
      </c>
      <c r="AC31" s="6">
        <f t="shared" si="73"/>
        <v>817.72709024990093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2:62" s="1" customFormat="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3:62" s="1" customFormat="1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C959-666F-2641-B5DB-9D7FA9F430DE}">
  <dimension ref="B3:B58"/>
  <sheetViews>
    <sheetView workbookViewId="0">
      <selection activeCell="E68" sqref="E68"/>
    </sheetView>
  </sheetViews>
  <sheetFormatPr baseColWidth="10" defaultRowHeight="16" x14ac:dyDescent="0.2"/>
  <sheetData>
    <row r="3" spans="2:2" x14ac:dyDescent="0.2">
      <c r="B3" t="s">
        <v>81</v>
      </c>
    </row>
    <row r="4" spans="2:2" x14ac:dyDescent="0.2">
      <c r="B4" t="s">
        <v>82</v>
      </c>
    </row>
    <row r="22" spans="2:2" x14ac:dyDescent="0.2">
      <c r="B22" t="s">
        <v>83</v>
      </c>
    </row>
    <row r="38" spans="2:2" x14ac:dyDescent="0.2">
      <c r="B38" t="s">
        <v>84</v>
      </c>
    </row>
    <row r="39" spans="2:2" x14ac:dyDescent="0.2">
      <c r="B39" t="s">
        <v>85</v>
      </c>
    </row>
    <row r="56" spans="2:2" x14ac:dyDescent="0.2">
      <c r="B56" t="s">
        <v>86</v>
      </c>
    </row>
    <row r="57" spans="2:2" x14ac:dyDescent="0.2">
      <c r="B57" t="s">
        <v>87</v>
      </c>
    </row>
    <row r="58" spans="2:2" x14ac:dyDescent="0.2">
      <c r="B58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IAC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2025-02-11T15:04:43Z</dcterms:created>
  <dcterms:modified xsi:type="dcterms:W3CDTF">2025-02-12T15:37:46Z</dcterms:modified>
</cp:coreProperties>
</file>