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elowong/Library/CloudStorage/OneDrive-Personal/Value Investing/"/>
    </mc:Choice>
  </mc:AlternateContent>
  <xr:revisionPtr revIDLastSave="0" documentId="8_{4D603656-D952-6242-BC51-B27E77FA12F6}" xr6:coauthVersionLast="47" xr6:coauthVersionMax="47" xr10:uidLastSave="{00000000-0000-0000-0000-000000000000}"/>
  <bookViews>
    <workbookView xWindow="3480" yWindow="-31580" windowWidth="28440" windowHeight="28720" activeTab="1" xr2:uid="{2871E12E-D5E4-7A4A-B232-7231B206164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2" l="1"/>
  <c r="Z6" i="2" s="1"/>
  <c r="AA6" i="2" s="1"/>
  <c r="AB6" i="2" s="1"/>
  <c r="AC6" i="2" s="1"/>
  <c r="X17" i="2" l="1"/>
  <c r="C11" i="1"/>
  <c r="D11" i="1" s="1"/>
  <c r="C13" i="1" s="1"/>
  <c r="C15" i="1"/>
  <c r="C14" i="1"/>
  <c r="C17" i="1" l="1"/>
  <c r="C16" i="1"/>
  <c r="W14" i="2"/>
  <c r="W11" i="2"/>
  <c r="W21" i="2"/>
  <c r="W19" i="2"/>
  <c r="V21" i="2"/>
  <c r="V15" i="2"/>
  <c r="V9" i="2"/>
  <c r="V19" i="2"/>
  <c r="V14" i="2"/>
  <c r="V13" i="2"/>
  <c r="V12" i="2"/>
  <c r="V11" i="2"/>
  <c r="V8" i="2"/>
  <c r="V7" i="2"/>
  <c r="V5" i="2"/>
  <c r="V4" i="2"/>
  <c r="V6" i="2" s="1"/>
  <c r="U21" i="2"/>
  <c r="U19" i="2"/>
  <c r="U14" i="2"/>
  <c r="U13" i="2"/>
  <c r="U12" i="2"/>
  <c r="U11" i="2"/>
  <c r="U15" i="2" s="1"/>
  <c r="U8" i="2"/>
  <c r="U7" i="2"/>
  <c r="U9" i="2" s="1"/>
  <c r="U5" i="2"/>
  <c r="U4" i="2"/>
  <c r="U6" i="2" s="1"/>
  <c r="N21" i="2"/>
  <c r="O21" i="2" s="1"/>
  <c r="P21" i="2" s="1"/>
  <c r="Q21" i="2" s="1"/>
  <c r="R21" i="2" s="1"/>
  <c r="Q13" i="2"/>
  <c r="Q41" i="2" s="1"/>
  <c r="P13" i="2"/>
  <c r="P41" i="2" s="1"/>
  <c r="Q11" i="2"/>
  <c r="Q39" i="2" s="1"/>
  <c r="P11" i="2"/>
  <c r="P39" i="2" s="1"/>
  <c r="Q12" i="2"/>
  <c r="Q40" i="2" s="1"/>
  <c r="P12" i="2"/>
  <c r="P40" i="2" s="1"/>
  <c r="O12" i="2"/>
  <c r="O11" i="2"/>
  <c r="O39" i="2" s="1"/>
  <c r="O13" i="2"/>
  <c r="O41" i="2" s="1"/>
  <c r="O40" i="2"/>
  <c r="N11" i="2"/>
  <c r="R11" i="2" s="1"/>
  <c r="N13" i="2"/>
  <c r="W13" i="2" s="1"/>
  <c r="N12" i="2"/>
  <c r="W12" i="2" s="1"/>
  <c r="N4" i="2"/>
  <c r="W4" i="2" s="1"/>
  <c r="Q4" i="2"/>
  <c r="Q6" i="2" s="1"/>
  <c r="Q10" i="2" s="1"/>
  <c r="Q32" i="2" s="1"/>
  <c r="P4" i="2"/>
  <c r="O4" i="2"/>
  <c r="O6" i="2" s="1"/>
  <c r="O10" i="2" s="1"/>
  <c r="O32" i="2" s="1"/>
  <c r="Q5" i="2"/>
  <c r="Q38" i="2" s="1"/>
  <c r="P5" i="2"/>
  <c r="P38" i="2" s="1"/>
  <c r="O5" i="2"/>
  <c r="O38" i="2" s="1"/>
  <c r="N5" i="2"/>
  <c r="R5" i="2" s="1"/>
  <c r="R38" i="2" s="1"/>
  <c r="M38" i="2"/>
  <c r="L38" i="2"/>
  <c r="K38" i="2"/>
  <c r="J38" i="2"/>
  <c r="I38" i="2"/>
  <c r="H38" i="2"/>
  <c r="G38" i="2"/>
  <c r="M37" i="2"/>
  <c r="L37" i="2"/>
  <c r="K37" i="2"/>
  <c r="J37" i="2"/>
  <c r="I37" i="2"/>
  <c r="H37" i="2"/>
  <c r="G37" i="2"/>
  <c r="C54" i="2"/>
  <c r="C63" i="2"/>
  <c r="C17" i="2"/>
  <c r="C15" i="2"/>
  <c r="C9" i="2"/>
  <c r="C6" i="2"/>
  <c r="D54" i="2"/>
  <c r="D63" i="2"/>
  <c r="D17" i="2"/>
  <c r="D6" i="2"/>
  <c r="D15" i="2"/>
  <c r="D9" i="2"/>
  <c r="E54" i="2"/>
  <c r="E63" i="2" s="1"/>
  <c r="E17" i="2"/>
  <c r="E15" i="2"/>
  <c r="E9" i="2"/>
  <c r="E6" i="2"/>
  <c r="F54" i="2"/>
  <c r="F63" i="2" s="1"/>
  <c r="J54" i="2"/>
  <c r="I54" i="2"/>
  <c r="J63" i="2"/>
  <c r="F17" i="2"/>
  <c r="F15" i="2"/>
  <c r="F9" i="2"/>
  <c r="F6" i="2"/>
  <c r="F10" i="2" s="1"/>
  <c r="J17" i="2"/>
  <c r="J15" i="2"/>
  <c r="J9" i="2"/>
  <c r="J6" i="2"/>
  <c r="G54" i="2"/>
  <c r="G63" i="2" s="1"/>
  <c r="K54" i="2"/>
  <c r="K63" i="2"/>
  <c r="G17" i="2"/>
  <c r="G15" i="2"/>
  <c r="G9" i="2"/>
  <c r="G6" i="2"/>
  <c r="G36" i="2" s="1"/>
  <c r="K17" i="2"/>
  <c r="K15" i="2"/>
  <c r="K9" i="2"/>
  <c r="K6" i="2"/>
  <c r="H54" i="2"/>
  <c r="H63" i="2"/>
  <c r="L54" i="2"/>
  <c r="L63" i="2" s="1"/>
  <c r="H17" i="2"/>
  <c r="H15" i="2"/>
  <c r="H9" i="2"/>
  <c r="H6" i="2"/>
  <c r="H36" i="2" s="1"/>
  <c r="L17" i="2"/>
  <c r="L15" i="2"/>
  <c r="L9" i="2"/>
  <c r="L6" i="2"/>
  <c r="I63" i="2"/>
  <c r="M54" i="2"/>
  <c r="M63" i="2" s="1"/>
  <c r="I17" i="2"/>
  <c r="I15" i="2"/>
  <c r="I9" i="2"/>
  <c r="I6" i="2"/>
  <c r="N41" i="2"/>
  <c r="N39" i="2"/>
  <c r="L41" i="2"/>
  <c r="K41" i="2"/>
  <c r="J41" i="2"/>
  <c r="I41" i="2"/>
  <c r="H41" i="2"/>
  <c r="G41" i="2"/>
  <c r="L40" i="2"/>
  <c r="K40" i="2"/>
  <c r="J40" i="2"/>
  <c r="I40" i="2"/>
  <c r="H40" i="2"/>
  <c r="G40" i="2"/>
  <c r="L39" i="2"/>
  <c r="K39" i="2"/>
  <c r="J39" i="2"/>
  <c r="I39" i="2"/>
  <c r="H39" i="2"/>
  <c r="G39" i="2"/>
  <c r="M41" i="2"/>
  <c r="M40" i="2"/>
  <c r="M39" i="2"/>
  <c r="M17" i="2"/>
  <c r="W17" i="2" s="1"/>
  <c r="M15" i="2"/>
  <c r="L31" i="2"/>
  <c r="K31" i="2"/>
  <c r="J31" i="2"/>
  <c r="I31" i="2"/>
  <c r="H31" i="2"/>
  <c r="G31" i="2"/>
  <c r="F31" i="2"/>
  <c r="E31" i="2"/>
  <c r="D31" i="2"/>
  <c r="C31" i="2"/>
  <c r="L30" i="2"/>
  <c r="K30" i="2"/>
  <c r="J30" i="2"/>
  <c r="I30" i="2"/>
  <c r="H30" i="2"/>
  <c r="G30" i="2"/>
  <c r="F30" i="2"/>
  <c r="E30" i="2"/>
  <c r="D30" i="2"/>
  <c r="C30" i="2"/>
  <c r="M31" i="2"/>
  <c r="M30" i="2"/>
  <c r="M9" i="2"/>
  <c r="M6" i="2"/>
  <c r="M10" i="2" s="1"/>
  <c r="M32" i="2" s="1"/>
  <c r="W3" i="2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L10" i="1"/>
  <c r="L8" i="1"/>
  <c r="L7" i="1"/>
  <c r="L5" i="1"/>
  <c r="Q37" i="2" l="1"/>
  <c r="K36" i="2"/>
  <c r="N38" i="2"/>
  <c r="N37" i="2"/>
  <c r="N6" i="2"/>
  <c r="N10" i="2" s="1"/>
  <c r="N32" i="2" s="1"/>
  <c r="R12" i="2"/>
  <c r="R40" i="2" s="1"/>
  <c r="L10" i="2"/>
  <c r="L32" i="2" s="1"/>
  <c r="R13" i="2"/>
  <c r="R41" i="2" s="1"/>
  <c r="W5" i="2"/>
  <c r="W6" i="2" s="1"/>
  <c r="W15" i="2"/>
  <c r="U17" i="2"/>
  <c r="H10" i="2"/>
  <c r="H16" i="2" s="1"/>
  <c r="V17" i="2"/>
  <c r="C10" i="2"/>
  <c r="E10" i="2"/>
  <c r="P6" i="2"/>
  <c r="P10" i="2" s="1"/>
  <c r="P32" i="2" s="1"/>
  <c r="C23" i="1"/>
  <c r="C21" i="1"/>
  <c r="C20" i="1"/>
  <c r="C19" i="1"/>
  <c r="C22" i="1"/>
  <c r="R39" i="2"/>
  <c r="R15" i="2"/>
  <c r="U10" i="2"/>
  <c r="V36" i="2"/>
  <c r="V38" i="2"/>
  <c r="W37" i="2"/>
  <c r="X11" i="2"/>
  <c r="W38" i="2"/>
  <c r="X12" i="2"/>
  <c r="W39" i="2"/>
  <c r="X13" i="2"/>
  <c r="V37" i="2"/>
  <c r="P37" i="2"/>
  <c r="V39" i="2"/>
  <c r="O37" i="2"/>
  <c r="R4" i="2"/>
  <c r="R6" i="2" s="1"/>
  <c r="V10" i="2"/>
  <c r="W16" i="2"/>
  <c r="O15" i="2"/>
  <c r="O16" i="2" s="1"/>
  <c r="P15" i="2"/>
  <c r="P16" i="2" s="1"/>
  <c r="Q15" i="2"/>
  <c r="Q16" i="2" s="1"/>
  <c r="N15" i="2"/>
  <c r="N16" i="2" s="1"/>
  <c r="N40" i="2"/>
  <c r="N36" i="2"/>
  <c r="I36" i="2"/>
  <c r="J10" i="2"/>
  <c r="P36" i="2"/>
  <c r="C69" i="2"/>
  <c r="C70" i="2" s="1"/>
  <c r="C65" i="2"/>
  <c r="C32" i="2"/>
  <c r="C16" i="2"/>
  <c r="D69" i="2"/>
  <c r="D70" i="2" s="1"/>
  <c r="D65" i="2"/>
  <c r="D10" i="2"/>
  <c r="E65" i="2"/>
  <c r="E69" i="2"/>
  <c r="E70" i="2" s="1"/>
  <c r="E16" i="2"/>
  <c r="E32" i="2"/>
  <c r="F69" i="2"/>
  <c r="F70" i="2" s="1"/>
  <c r="F65" i="2"/>
  <c r="J69" i="2"/>
  <c r="J70" i="2" s="1"/>
  <c r="J65" i="2"/>
  <c r="F16" i="2"/>
  <c r="F32" i="2"/>
  <c r="J36" i="2"/>
  <c r="G69" i="2"/>
  <c r="G70" i="2" s="1"/>
  <c r="G65" i="2"/>
  <c r="K69" i="2"/>
  <c r="K70" i="2" s="1"/>
  <c r="K65" i="2"/>
  <c r="G10" i="2"/>
  <c r="O36" i="2"/>
  <c r="K10" i="2"/>
  <c r="W10" i="2" s="1"/>
  <c r="H69" i="2"/>
  <c r="H70" i="2" s="1"/>
  <c r="H65" i="2"/>
  <c r="M69" i="2"/>
  <c r="M70" i="2" s="1"/>
  <c r="M65" i="2"/>
  <c r="M36" i="2"/>
  <c r="Q36" i="2"/>
  <c r="L69" i="2"/>
  <c r="L70" i="2" s="1"/>
  <c r="L65" i="2"/>
  <c r="L36" i="2"/>
  <c r="I69" i="2"/>
  <c r="I70" i="2" s="1"/>
  <c r="I65" i="2"/>
  <c r="I10" i="2"/>
  <c r="M16" i="2"/>
  <c r="W36" i="2" l="1"/>
  <c r="X6" i="2"/>
  <c r="W32" i="2"/>
  <c r="R37" i="2"/>
  <c r="H32" i="2"/>
  <c r="L16" i="2"/>
  <c r="X40" i="2"/>
  <c r="Y12" i="2"/>
  <c r="V16" i="2"/>
  <c r="V32" i="2"/>
  <c r="R36" i="2"/>
  <c r="R10" i="2"/>
  <c r="R32" i="2" s="1"/>
  <c r="X10" i="2"/>
  <c r="X36" i="2"/>
  <c r="X41" i="2"/>
  <c r="Y13" i="2"/>
  <c r="Y11" i="2"/>
  <c r="X15" i="2"/>
  <c r="X39" i="2"/>
  <c r="U16" i="2"/>
  <c r="U32" i="2"/>
  <c r="N33" i="2"/>
  <c r="N18" i="2"/>
  <c r="Q33" i="2"/>
  <c r="Q18" i="2"/>
  <c r="P33" i="2"/>
  <c r="P18" i="2"/>
  <c r="O33" i="2"/>
  <c r="O18" i="2"/>
  <c r="W18" i="2"/>
  <c r="W33" i="2"/>
  <c r="C33" i="2"/>
  <c r="C18" i="2"/>
  <c r="D16" i="2"/>
  <c r="D32" i="2"/>
  <c r="E18" i="2"/>
  <c r="E33" i="2"/>
  <c r="F18" i="2"/>
  <c r="F33" i="2"/>
  <c r="J16" i="2"/>
  <c r="J32" i="2"/>
  <c r="G32" i="2"/>
  <c r="G16" i="2"/>
  <c r="K16" i="2"/>
  <c r="K32" i="2"/>
  <c r="H18" i="2"/>
  <c r="H33" i="2"/>
  <c r="L18" i="2"/>
  <c r="L33" i="2"/>
  <c r="I32" i="2"/>
  <c r="I16" i="2"/>
  <c r="M18" i="2"/>
  <c r="M33" i="2"/>
  <c r="Y10" i="2" l="1"/>
  <c r="Y41" i="2"/>
  <c r="Z13" i="2"/>
  <c r="O19" i="2"/>
  <c r="O20" i="2" s="1"/>
  <c r="O22" i="2" s="1"/>
  <c r="V33" i="2"/>
  <c r="V18" i="2"/>
  <c r="Q19" i="2"/>
  <c r="Q20" i="2"/>
  <c r="Q22" i="2" s="1"/>
  <c r="R16" i="2"/>
  <c r="N19" i="2"/>
  <c r="N20" i="2"/>
  <c r="N22" i="2" s="1"/>
  <c r="Z12" i="2"/>
  <c r="Y40" i="2"/>
  <c r="Y15" i="2"/>
  <c r="Z11" i="2"/>
  <c r="Y39" i="2"/>
  <c r="P19" i="2"/>
  <c r="P20" i="2"/>
  <c r="P22" i="2" s="1"/>
  <c r="Y36" i="2"/>
  <c r="X16" i="2"/>
  <c r="X32" i="2"/>
  <c r="U18" i="2"/>
  <c r="U33" i="2"/>
  <c r="W20" i="2"/>
  <c r="W22" i="2" s="1"/>
  <c r="W44" i="2"/>
  <c r="F20" i="2"/>
  <c r="F22" i="2" s="1"/>
  <c r="F44" i="2"/>
  <c r="M20" i="2"/>
  <c r="M22" i="2" s="1"/>
  <c r="M44" i="2"/>
  <c r="L20" i="2"/>
  <c r="L52" i="2" s="1"/>
  <c r="L44" i="2"/>
  <c r="H20" i="2"/>
  <c r="H44" i="2"/>
  <c r="C20" i="2"/>
  <c r="C44" i="2"/>
  <c r="D18" i="2"/>
  <c r="D33" i="2"/>
  <c r="E44" i="2"/>
  <c r="E20" i="2"/>
  <c r="F52" i="2"/>
  <c r="J33" i="2"/>
  <c r="J18" i="2"/>
  <c r="G18" i="2"/>
  <c r="G33" i="2"/>
  <c r="K33" i="2"/>
  <c r="K18" i="2"/>
  <c r="H22" i="2"/>
  <c r="H52" i="2"/>
  <c r="I18" i="2"/>
  <c r="I33" i="2"/>
  <c r="U44" i="2" l="1"/>
  <c r="U20" i="2"/>
  <c r="U22" i="2" s="1"/>
  <c r="R33" i="2"/>
  <c r="R18" i="2"/>
  <c r="X18" i="2"/>
  <c r="X19" i="2" s="1"/>
  <c r="X33" i="2"/>
  <c r="L22" i="2"/>
  <c r="Z10" i="2"/>
  <c r="Z32" i="2" s="1"/>
  <c r="Z36" i="2"/>
  <c r="Z40" i="2"/>
  <c r="AA12" i="2"/>
  <c r="Z41" i="2"/>
  <c r="AA13" i="2"/>
  <c r="V20" i="2"/>
  <c r="V22" i="2" s="1"/>
  <c r="V44" i="2"/>
  <c r="Y16" i="2"/>
  <c r="Y32" i="2"/>
  <c r="M52" i="2"/>
  <c r="Z15" i="2"/>
  <c r="Z39" i="2"/>
  <c r="AA11" i="2"/>
  <c r="C22" i="2"/>
  <c r="C52" i="2"/>
  <c r="G20" i="2"/>
  <c r="G22" i="2" s="1"/>
  <c r="G44" i="2"/>
  <c r="J20" i="2"/>
  <c r="J22" i="2" s="1"/>
  <c r="J44" i="2"/>
  <c r="K20" i="2"/>
  <c r="K22" i="2" s="1"/>
  <c r="K44" i="2"/>
  <c r="I20" i="2"/>
  <c r="I22" i="2" s="1"/>
  <c r="I44" i="2"/>
  <c r="D20" i="2"/>
  <c r="D44" i="2"/>
  <c r="E22" i="2"/>
  <c r="E52" i="2"/>
  <c r="AA41" i="2" l="1"/>
  <c r="AB13" i="2"/>
  <c r="AB12" i="2"/>
  <c r="AA40" i="2"/>
  <c r="AB11" i="2"/>
  <c r="AA15" i="2"/>
  <c r="AA39" i="2"/>
  <c r="AA36" i="2"/>
  <c r="AA10" i="2"/>
  <c r="AA32" i="2" s="1"/>
  <c r="Z16" i="2"/>
  <c r="X44" i="2"/>
  <c r="R19" i="2"/>
  <c r="R20" i="2" s="1"/>
  <c r="R22" i="2" s="1"/>
  <c r="Y33" i="2"/>
  <c r="G52" i="2"/>
  <c r="K52" i="2"/>
  <c r="I52" i="2"/>
  <c r="J52" i="2"/>
  <c r="D22" i="2"/>
  <c r="D52" i="2"/>
  <c r="AB10" i="2" l="1"/>
  <c r="AB32" i="2" s="1"/>
  <c r="AB36" i="2"/>
  <c r="X20" i="2"/>
  <c r="AA16" i="2"/>
  <c r="AC12" i="2"/>
  <c r="AB40" i="2"/>
  <c r="AB39" i="2"/>
  <c r="AC11" i="2"/>
  <c r="AB15" i="2"/>
  <c r="AB16" i="2" s="1"/>
  <c r="AC13" i="2"/>
  <c r="AB41" i="2"/>
  <c r="Z33" i="2"/>
  <c r="X51" i="2" l="1"/>
  <c r="Y17" i="2" s="1"/>
  <c r="Y18" i="2" s="1"/>
  <c r="AD13" i="2"/>
  <c r="AC41" i="2"/>
  <c r="AC40" i="2"/>
  <c r="AD12" i="2"/>
  <c r="AA33" i="2"/>
  <c r="AC10" i="2"/>
  <c r="AC32" i="2" s="1"/>
  <c r="AD6" i="2"/>
  <c r="AC36" i="2"/>
  <c r="AB33" i="2"/>
  <c r="AD11" i="2"/>
  <c r="AC39" i="2"/>
  <c r="AC15" i="2"/>
  <c r="Y19" i="2" l="1"/>
  <c r="Y20" i="2" s="1"/>
  <c r="Y51" i="2" s="1"/>
  <c r="Z17" i="2" s="1"/>
  <c r="Z18" i="2" s="1"/>
  <c r="AE11" i="2"/>
  <c r="AD39" i="2"/>
  <c r="AD15" i="2"/>
  <c r="AE12" i="2"/>
  <c r="AD40" i="2"/>
  <c r="AE6" i="2"/>
  <c r="AD10" i="2"/>
  <c r="AD32" i="2" s="1"/>
  <c r="AD36" i="2"/>
  <c r="AC16" i="2"/>
  <c r="AE13" i="2"/>
  <c r="AD41" i="2"/>
  <c r="Z19" i="2" l="1"/>
  <c r="Z20" i="2" s="1"/>
  <c r="Z51" i="2" s="1"/>
  <c r="AA17" i="2" s="1"/>
  <c r="AA18" i="2" s="1"/>
  <c r="Y44" i="2"/>
  <c r="AF6" i="2"/>
  <c r="AE10" i="2"/>
  <c r="AE32" i="2" s="1"/>
  <c r="AE36" i="2"/>
  <c r="AD16" i="2"/>
  <c r="AF11" i="2"/>
  <c r="AE39" i="2"/>
  <c r="AE15" i="2"/>
  <c r="AE16" i="2" s="1"/>
  <c r="AE40" i="2"/>
  <c r="AF12" i="2"/>
  <c r="AF13" i="2"/>
  <c r="AE41" i="2"/>
  <c r="AC33" i="2"/>
  <c r="AA19" i="2" l="1"/>
  <c r="AA20" i="2" s="1"/>
  <c r="AA51" i="2" s="1"/>
  <c r="Z44" i="2"/>
  <c r="AB17" i="2"/>
  <c r="AB18" i="2" s="1"/>
  <c r="AB19" i="2" s="1"/>
  <c r="AG12" i="2"/>
  <c r="AF40" i="2"/>
  <c r="AG11" i="2"/>
  <c r="AF39" i="2"/>
  <c r="AF15" i="2"/>
  <c r="AE33" i="2"/>
  <c r="AD33" i="2"/>
  <c r="AG13" i="2"/>
  <c r="AF41" i="2"/>
  <c r="AG6" i="2"/>
  <c r="AF10" i="2"/>
  <c r="AF32" i="2" s="1"/>
  <c r="AF36" i="2"/>
  <c r="AA44" i="2" l="1"/>
  <c r="AB44" i="2"/>
  <c r="AB20" i="2"/>
  <c r="AH6" i="2"/>
  <c r="AG10" i="2"/>
  <c r="AG32" i="2" s="1"/>
  <c r="AG36" i="2"/>
  <c r="AH13" i="2"/>
  <c r="AG41" i="2"/>
  <c r="AH12" i="2"/>
  <c r="AG40" i="2"/>
  <c r="AF16" i="2"/>
  <c r="AH11" i="2"/>
  <c r="AG39" i="2"/>
  <c r="AG15" i="2"/>
  <c r="AB51" i="2" l="1"/>
  <c r="AC17" i="2" s="1"/>
  <c r="AC18" i="2" s="1"/>
  <c r="AC19" i="2" s="1"/>
  <c r="AC44" i="2" s="1"/>
  <c r="AF33" i="2"/>
  <c r="AI12" i="2"/>
  <c r="AI40" i="2" s="1"/>
  <c r="AH40" i="2"/>
  <c r="AI11" i="2"/>
  <c r="AH39" i="2"/>
  <c r="AH15" i="2"/>
  <c r="AG16" i="2"/>
  <c r="AI6" i="2"/>
  <c r="AH10" i="2"/>
  <c r="AH32" i="2" s="1"/>
  <c r="AH36" i="2"/>
  <c r="AI13" i="2"/>
  <c r="AI41" i="2" s="1"/>
  <c r="AH41" i="2"/>
  <c r="AC20" i="2" l="1"/>
  <c r="AC51" i="2" s="1"/>
  <c r="AD17" i="2" s="1"/>
  <c r="AD18" i="2" s="1"/>
  <c r="AD19" i="2" s="1"/>
  <c r="AD44" i="2" s="1"/>
  <c r="AH16" i="2"/>
  <c r="AI39" i="2"/>
  <c r="AI15" i="2"/>
  <c r="AI10" i="2"/>
  <c r="AI32" i="2" s="1"/>
  <c r="AI36" i="2"/>
  <c r="AG33" i="2"/>
  <c r="AD20" i="2" l="1"/>
  <c r="AD51" i="2" s="1"/>
  <c r="AE17" i="2"/>
  <c r="AE18" i="2" s="1"/>
  <c r="AE19" i="2" s="1"/>
  <c r="AI16" i="2"/>
  <c r="AH33" i="2"/>
  <c r="AE44" i="2" l="1"/>
  <c r="AI33" i="2"/>
  <c r="AE20" i="2" l="1"/>
  <c r="AE51" i="2" s="1"/>
  <c r="AF17" i="2" s="1"/>
  <c r="AF18" i="2" s="1"/>
  <c r="AF19" i="2" s="1"/>
  <c r="AF44" i="2" l="1"/>
  <c r="AF20" i="2"/>
  <c r="AF51" i="2" s="1"/>
  <c r="AG17" i="2" l="1"/>
  <c r="AG18" i="2" s="1"/>
  <c r="AG19" i="2" s="1"/>
  <c r="AG44" i="2" l="1"/>
  <c r="AG20" i="2"/>
  <c r="AG51" i="2" s="1"/>
  <c r="AH17" i="2" l="1"/>
  <c r="AH18" i="2" s="1"/>
  <c r="AH19" i="2" s="1"/>
  <c r="AH44" i="2" l="1"/>
  <c r="AH20" i="2"/>
  <c r="AH51" i="2" s="1"/>
  <c r="AI17" i="2" s="1"/>
  <c r="AI18" i="2" s="1"/>
  <c r="AI19" i="2" s="1"/>
  <c r="AI44" i="2" l="1"/>
  <c r="AI20" i="2"/>
  <c r="AI51" i="2" l="1"/>
  <c r="AJ20" i="2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EY20" i="2" s="1"/>
  <c r="EZ20" i="2" s="1"/>
  <c r="FA20" i="2" s="1"/>
  <c r="FB20" i="2" s="1"/>
  <c r="FC20" i="2" s="1"/>
  <c r="FD20" i="2" s="1"/>
  <c r="FE20" i="2" s="1"/>
  <c r="FF20" i="2" s="1"/>
  <c r="FG20" i="2" s="1"/>
  <c r="FH20" i="2" s="1"/>
  <c r="FI20" i="2" s="1"/>
  <c r="AN26" i="2" s="1"/>
  <c r="AN28" i="2" s="1"/>
  <c r="AN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Wong</author>
  </authors>
  <commentList>
    <comment ref="N6" authorId="0" shapeId="0" xr:uid="{A25E4A0C-D84A-7344-B2E6-E69046B4DA7E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guidance
</t>
        </r>
        <r>
          <rPr>
            <sz val="10"/>
            <color rgb="FF000000"/>
            <rFont val="Tahoma"/>
            <family val="2"/>
          </rPr>
          <t>9900 - 11000</t>
        </r>
      </text>
    </comment>
    <comment ref="X6" authorId="0" shapeId="0" xr:uid="{F0E6530A-7EC9-284C-9087-1E2E7F555330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37800 guidance</t>
        </r>
      </text>
    </comment>
    <comment ref="Y6" authorId="0" shapeId="0" xr:uid="{4E353D46-70C7-3B49-827E-8360BC59011A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37800 guidance</t>
        </r>
      </text>
    </comment>
    <comment ref="Z6" authorId="0" shapeId="0" xr:uid="{58B7DA32-CEC9-024E-8A59-A3593F998F2B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37800 guidance</t>
        </r>
      </text>
    </comment>
    <comment ref="AA6" authorId="0" shapeId="0" xr:uid="{D7D93992-AE52-6D49-9684-2C44BC6C701F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37800 guidance</t>
        </r>
      </text>
    </comment>
    <comment ref="AB6" authorId="0" shapeId="0" xr:uid="{5EB689C7-F8EF-414F-BAC4-1FB2EDFF1FA3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37800 guidance</t>
        </r>
      </text>
    </comment>
    <comment ref="AC6" authorId="0" shapeId="0" xr:uid="{571E6E15-D7BB-F04F-920D-5A32D7AD2BBA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37800 guidance</t>
        </r>
      </text>
    </comment>
    <comment ref="N33" authorId="0" shapeId="0" xr:uid="{DA2DE2BB-EDC8-B245-930B-EF841DDD7BA7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guidance 19.8</t>
        </r>
      </text>
    </comment>
  </commentList>
</comments>
</file>

<file path=xl/sharedStrings.xml><?xml version="1.0" encoding="utf-8"?>
<sst xmlns="http://schemas.openxmlformats.org/spreadsheetml/2006/main" count="98" uniqueCount="90">
  <si>
    <t>Price</t>
  </si>
  <si>
    <t>Shares</t>
  </si>
  <si>
    <t>MC</t>
  </si>
  <si>
    <t>Cash</t>
  </si>
  <si>
    <t>Debt</t>
  </si>
  <si>
    <t>EV</t>
  </si>
  <si>
    <t>Q324</t>
  </si>
  <si>
    <t>Net cash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</si>
  <si>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</si>
  <si>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</si>
  <si>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</si>
  <si>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</si>
  <si>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</si>
  <si>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</si>
  <si>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</si>
  <si>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</si>
  <si>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</si>
  <si>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</si>
  <si>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</si>
  <si>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</si>
  <si>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</si>
  <si>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</si>
  <si>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Revenue</t>
  </si>
  <si>
    <t>Net Cash</t>
  </si>
  <si>
    <t>Revenue Growth</t>
  </si>
  <si>
    <t>Taxes</t>
  </si>
  <si>
    <t>Subscription</t>
  </si>
  <si>
    <t>Professional Services</t>
  </si>
  <si>
    <t>Cost of Subs</t>
  </si>
  <si>
    <t>Cost of Professional Services</t>
  </si>
  <si>
    <t>Margin Subscriptions</t>
  </si>
  <si>
    <t>Margin Services</t>
  </si>
  <si>
    <t>COGs</t>
  </si>
  <si>
    <t>Gross Profit</t>
  </si>
  <si>
    <t>Gross Margin</t>
  </si>
  <si>
    <t>R&amp;D</t>
  </si>
  <si>
    <t>S&amp;M</t>
  </si>
  <si>
    <t>G&amp;A</t>
  </si>
  <si>
    <t>Restructure</t>
  </si>
  <si>
    <t>Interest Income</t>
  </si>
  <si>
    <t>Pretax Income</t>
  </si>
  <si>
    <t>Net Income</t>
  </si>
  <si>
    <t>EPS</t>
  </si>
  <si>
    <t>R&amp;D Growth</t>
  </si>
  <si>
    <t>S&amp;M Growth</t>
  </si>
  <si>
    <t>G&amp;A Growth</t>
  </si>
  <si>
    <t>Operating Expense</t>
  </si>
  <si>
    <t>Operating Income</t>
  </si>
  <si>
    <t>Operating Margin</t>
  </si>
  <si>
    <t>Model NI</t>
  </si>
  <si>
    <t>NI</t>
  </si>
  <si>
    <t>D&amp;A</t>
  </si>
  <si>
    <t>SBC</t>
  </si>
  <si>
    <t>Losses</t>
  </si>
  <si>
    <t>A/R</t>
  </si>
  <si>
    <t>Costs to obtain contracts</t>
  </si>
  <si>
    <t>Prepaids</t>
  </si>
  <si>
    <t>A/P</t>
  </si>
  <si>
    <t>Lease</t>
  </si>
  <si>
    <t>D/R</t>
  </si>
  <si>
    <t>CFFO</t>
  </si>
  <si>
    <t>Capex</t>
  </si>
  <si>
    <t>FCF</t>
  </si>
  <si>
    <t>CFFI</t>
  </si>
  <si>
    <t>CFFF</t>
  </si>
  <si>
    <t>Cash Flow</t>
  </si>
  <si>
    <t>Stock repurchase</t>
  </si>
  <si>
    <t>Cash flow backout repurchase</t>
  </si>
  <si>
    <t>Subscription Growth</t>
  </si>
  <si>
    <t>Services Growth</t>
  </si>
  <si>
    <t>Q425</t>
  </si>
  <si>
    <t>"3rd quarter FY25"</t>
  </si>
  <si>
    <t>Max TAM</t>
  </si>
  <si>
    <t>Min AOV/yr</t>
  </si>
  <si>
    <t>Max AOV/yr</t>
  </si>
  <si>
    <t>Min annual of all mkt</t>
  </si>
  <si>
    <t>in millions</t>
  </si>
  <si>
    <t>Max annual of all mkt</t>
  </si>
  <si>
    <t>LinkedIn</t>
  </si>
  <si>
    <t>700k salespeople</t>
  </si>
  <si>
    <t>134.5 million daily users</t>
  </si>
  <si>
    <t>Assume sales is active</t>
  </si>
  <si>
    <t>Ratio</t>
  </si>
  <si>
    <t>Penetration</t>
  </si>
  <si>
    <t>ROIC</t>
  </si>
  <si>
    <t>Discount</t>
  </si>
  <si>
    <t>NPV</t>
  </si>
  <si>
    <t>Spot</t>
  </si>
  <si>
    <t>Difference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</si>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</sst>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0</xdr:row>
      <xdr:rowOff>12700</xdr:rowOff>
    </xdr:from>
    <xdr:to>
      <xdr:col>13</xdr:col>
      <xdr:colOff>12700</xdr:colOff>
      <xdr:row>57</xdr:row>
      <xdr:rowOff>88900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24E4C2F-81F3-7504-FAA8-73F23B701082}"/>
            </a:ext>
          </a:extLst>
        </xdr:cNvPr>
        <xdr:cNvCxnSpPr/>
      </xdr:nvCxnSpPr>
      <xdr:spPr>
        <a:xfrm>
          <a:off x="11925300" y="12700"/>
          <a:ext cx="0" cy="1145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25400</xdr:colOff>
      <xdr:row>0</xdr:row>
      <xdr:rowOff>88900</xdr:rowOff>
    </xdr:from>
    <xdr:to>
      <xdr:col>23</xdr:col>
      <xdr:colOff>25400</xdr:colOff>
      <xdr:row>71</xdr:row>
      <xdr:rowOff>12700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C4BF24E-92EF-25DC-C8E3-5C25F69B2A71}"/>
            </a:ext>
          </a:extLst>
        </xdr:cNvPr>
        <xdr:cNvCxnSpPr/>
      </xdr:nvCxnSpPr>
      <xdr:spPr>
        <a:xfrm>
          <a:off x="20193000" y="88900"/>
          <a:ext cx="0" cy="14147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C5ECB-0535-E541-B8D3-476E37F19D6F}">
  <dimension ref="B3:M23"/>
  <sheetViews>
    <sheetView workbookViewId="0">
      <selection activeCell="E29" sqref="E29"/>
    </sheetView>
  </sheetViews>
  <sheetFormatPr baseColWidth="10" defaultRowHeight="16" x14ac:dyDescent="0.2"/>
  <cols>
    <col min="2" max="2" width="17.6640625" bestFit="1" customWidth="1"/>
    <col min="3" max="3" width="11.1640625" bestFit="1" customWidth="1"/>
  </cols>
  <sheetData>
    <row r="3" spans="2:13" x14ac:dyDescent="0.2">
      <c r="K3" t="s">
        <v>0</v>
      </c>
      <c r="L3">
        <v>328.75</v>
      </c>
    </row>
    <row r="4" spans="2:13" x14ac:dyDescent="0.2">
      <c r="K4" t="s">
        <v>1</v>
      </c>
      <c r="L4" s="1">
        <v>957</v>
      </c>
      <c r="M4" t="s">
        <v>6</v>
      </c>
    </row>
    <row r="5" spans="2:13" x14ac:dyDescent="0.2">
      <c r="K5" t="s">
        <v>2</v>
      </c>
      <c r="L5" s="1">
        <f>L3*L4</f>
        <v>314613.75</v>
      </c>
    </row>
    <row r="6" spans="2:13" x14ac:dyDescent="0.2">
      <c r="K6" t="s">
        <v>3</v>
      </c>
      <c r="L6" s="1">
        <v>7997</v>
      </c>
      <c r="M6" t="s">
        <v>6</v>
      </c>
    </row>
    <row r="7" spans="2:13" x14ac:dyDescent="0.2">
      <c r="K7" t="s">
        <v>4</v>
      </c>
      <c r="L7" s="1">
        <f>0+8432</f>
        <v>8432</v>
      </c>
      <c r="M7" t="s">
        <v>6</v>
      </c>
    </row>
    <row r="8" spans="2:13" x14ac:dyDescent="0.2">
      <c r="K8" t="s">
        <v>5</v>
      </c>
      <c r="L8" s="1">
        <f>L5-L6+L7</f>
        <v>315048.75</v>
      </c>
    </row>
    <row r="9" spans="2:13" x14ac:dyDescent="0.2">
      <c r="B9" t="s">
        <v>78</v>
      </c>
      <c r="C9" t="s">
        <v>79</v>
      </c>
      <c r="D9" t="s">
        <v>81</v>
      </c>
    </row>
    <row r="10" spans="2:13" x14ac:dyDescent="0.2">
      <c r="C10" t="s">
        <v>80</v>
      </c>
      <c r="K10" t="s">
        <v>7</v>
      </c>
      <c r="L10" s="1">
        <f>+L6-L7</f>
        <v>-435</v>
      </c>
    </row>
    <row r="11" spans="2:13" x14ac:dyDescent="0.2">
      <c r="B11" t="s">
        <v>82</v>
      </c>
      <c r="C11">
        <f>0.7/134.5</f>
        <v>5.2044609665427505E-3</v>
      </c>
      <c r="D11">
        <f>8025000000*C11</f>
        <v>41765799.256505571</v>
      </c>
    </row>
    <row r="13" spans="2:13" x14ac:dyDescent="0.2">
      <c r="B13" t="s">
        <v>72</v>
      </c>
      <c r="C13">
        <f>D11</f>
        <v>41765799.256505571</v>
      </c>
    </row>
    <row r="14" spans="2:13" x14ac:dyDescent="0.2">
      <c r="B14" t="s">
        <v>73</v>
      </c>
      <c r="C14">
        <f>25*12</f>
        <v>300</v>
      </c>
    </row>
    <row r="15" spans="2:13" x14ac:dyDescent="0.2">
      <c r="B15" t="s">
        <v>74</v>
      </c>
      <c r="C15">
        <f>500*12</f>
        <v>6000</v>
      </c>
    </row>
    <row r="16" spans="2:13" x14ac:dyDescent="0.2">
      <c r="B16" t="s">
        <v>75</v>
      </c>
      <c r="C16">
        <f>$C$13*C14/1000000</f>
        <v>12529.739776951672</v>
      </c>
      <c r="D16" t="s">
        <v>76</v>
      </c>
    </row>
    <row r="17" spans="2:4" x14ac:dyDescent="0.2">
      <c r="B17" t="s">
        <v>77</v>
      </c>
      <c r="C17">
        <f>$C$13*C15/1000000</f>
        <v>250594.79553903342</v>
      </c>
      <c r="D17" t="s">
        <v>76</v>
      </c>
    </row>
    <row r="18" spans="2:4" x14ac:dyDescent="0.2">
      <c r="B18" t="s">
        <v>83</v>
      </c>
    </row>
    <row r="19" spans="2:4" x14ac:dyDescent="0.2">
      <c r="B19" s="3">
        <v>0.1</v>
      </c>
      <c r="C19">
        <f>$C$17*B19</f>
        <v>25059.479553903344</v>
      </c>
    </row>
    <row r="20" spans="2:4" x14ac:dyDescent="0.2">
      <c r="B20" s="3">
        <v>0.2</v>
      </c>
      <c r="C20">
        <f>$C$17*B20</f>
        <v>50118.959107806688</v>
      </c>
    </row>
    <row r="21" spans="2:4" x14ac:dyDescent="0.2">
      <c r="B21" s="3">
        <v>0.3</v>
      </c>
      <c r="C21">
        <f t="shared" ref="C21:C23" si="0">$C$17*B21</f>
        <v>75178.438661710024</v>
      </c>
    </row>
    <row r="22" spans="2:4" x14ac:dyDescent="0.2">
      <c r="B22" s="3">
        <v>0.4</v>
      </c>
      <c r="C22">
        <f t="shared" si="0"/>
        <v>100237.91821561338</v>
      </c>
    </row>
    <row r="23" spans="2:4" x14ac:dyDescent="0.2">
      <c r="B23" s="3">
        <v>0.5</v>
      </c>
      <c r="C23">
        <f t="shared" si="0"/>
        <v>125297.39776951671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A212-38BB-C249-B7EC-3ECA06175AC7}">
  <dimension ref="B2:FI70"/>
  <sheetViews>
    <sheetView tabSelected="1"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AK22" sqref="AK22"/>
    </sheetView>
  </sheetViews>
  <sheetFormatPr baseColWidth="10" defaultRowHeight="16" x14ac:dyDescent="0.2"/>
  <cols>
    <col min="2" max="2" width="26.33203125" bestFit="1" customWidth="1"/>
  </cols>
  <sheetData>
    <row r="2" spans="2:35" x14ac:dyDescent="0.2">
      <c r="M2" t="s">
        <v>71</v>
      </c>
    </row>
    <row r="3" spans="2:35" s="6" customFormat="1" x14ac:dyDescent="0.2">
      <c r="C3" s="6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6" t="s">
        <v>6</v>
      </c>
      <c r="N3" s="6" t="s">
        <v>18</v>
      </c>
      <c r="O3" s="6" t="s">
        <v>19</v>
      </c>
      <c r="P3" s="6" t="s">
        <v>20</v>
      </c>
      <c r="Q3" s="6" t="s">
        <v>21</v>
      </c>
      <c r="R3" s="6" t="s">
        <v>70</v>
      </c>
      <c r="U3" s="6">
        <v>2022</v>
      </c>
      <c r="V3" s="6">
        <v>2023</v>
      </c>
      <c r="W3" s="6">
        <f>+V3+1</f>
        <v>2024</v>
      </c>
      <c r="X3" s="6">
        <f t="shared" ref="X3:AI3" si="0">+W3+1</f>
        <v>2025</v>
      </c>
      <c r="Y3" s="6">
        <f t="shared" si="0"/>
        <v>2026</v>
      </c>
      <c r="Z3" s="6">
        <f t="shared" si="0"/>
        <v>2027</v>
      </c>
      <c r="AA3" s="6">
        <f t="shared" si="0"/>
        <v>2028</v>
      </c>
      <c r="AB3" s="6">
        <f t="shared" si="0"/>
        <v>2029</v>
      </c>
      <c r="AC3" s="6">
        <f t="shared" si="0"/>
        <v>2030</v>
      </c>
      <c r="AD3" s="6">
        <f t="shared" si="0"/>
        <v>2031</v>
      </c>
      <c r="AE3" s="6">
        <f t="shared" si="0"/>
        <v>2032</v>
      </c>
      <c r="AF3" s="6">
        <f t="shared" si="0"/>
        <v>2033</v>
      </c>
      <c r="AG3" s="6">
        <f t="shared" si="0"/>
        <v>2034</v>
      </c>
      <c r="AH3" s="6">
        <f t="shared" si="0"/>
        <v>2035</v>
      </c>
      <c r="AI3" s="6">
        <f t="shared" si="0"/>
        <v>2036</v>
      </c>
    </row>
    <row r="4" spans="2:35" s="1" customFormat="1" x14ac:dyDescent="0.2">
      <c r="B4" s="1" t="s">
        <v>26</v>
      </c>
      <c r="C4" s="1">
        <v>6856</v>
      </c>
      <c r="D4" s="1">
        <v>7143</v>
      </c>
      <c r="E4" s="1">
        <v>7233</v>
      </c>
      <c r="F4" s="1">
        <v>6828</v>
      </c>
      <c r="G4" s="1">
        <v>7642</v>
      </c>
      <c r="H4" s="1">
        <v>8006</v>
      </c>
      <c r="I4" s="1">
        <v>8141</v>
      </c>
      <c r="J4" s="1">
        <v>7789</v>
      </c>
      <c r="K4" s="1">
        <v>8585</v>
      </c>
      <c r="L4" s="1">
        <v>8764</v>
      </c>
      <c r="M4" s="1">
        <v>8879</v>
      </c>
      <c r="N4" s="1">
        <f>J4*1.18</f>
        <v>9191.0199999999986</v>
      </c>
      <c r="O4" s="1">
        <f>K4*1.07</f>
        <v>9185.9500000000007</v>
      </c>
      <c r="P4" s="1">
        <f t="shared" ref="P4:Q4" si="1">L4*1.07</f>
        <v>9377.4800000000014</v>
      </c>
      <c r="Q4" s="1">
        <f t="shared" si="1"/>
        <v>9500.5300000000007</v>
      </c>
      <c r="R4" s="1">
        <f>N4*1.18</f>
        <v>10845.403599999998</v>
      </c>
      <c r="U4" s="1">
        <f>SUM(C4:F4)</f>
        <v>28060</v>
      </c>
      <c r="V4" s="1">
        <f>SUM(G4:J4)</f>
        <v>31578</v>
      </c>
      <c r="W4" s="1">
        <f>SUM(K4:N4)</f>
        <v>35419.019999999997</v>
      </c>
    </row>
    <row r="5" spans="2:35" s="1" customFormat="1" x14ac:dyDescent="0.2">
      <c r="B5" s="1" t="s">
        <v>27</v>
      </c>
      <c r="C5" s="1">
        <v>555</v>
      </c>
      <c r="D5" s="1">
        <v>577</v>
      </c>
      <c r="E5" s="1">
        <v>604</v>
      </c>
      <c r="F5" s="1">
        <v>498</v>
      </c>
      <c r="G5" s="1">
        <v>605</v>
      </c>
      <c r="H5" s="1">
        <v>597</v>
      </c>
      <c r="I5" s="1">
        <v>579</v>
      </c>
      <c r="J5" s="1">
        <v>595</v>
      </c>
      <c r="K5" s="1">
        <v>548</v>
      </c>
      <c r="L5" s="1">
        <v>561</v>
      </c>
      <c r="M5" s="1">
        <v>565</v>
      </c>
      <c r="N5" s="1">
        <f>J5*1.2</f>
        <v>714</v>
      </c>
      <c r="O5" s="1">
        <f>K5*0.97</f>
        <v>531.55999999999995</v>
      </c>
      <c r="P5" s="1">
        <f t="shared" ref="P5:Q5" si="2">L5*0.97</f>
        <v>544.16999999999996</v>
      </c>
      <c r="Q5" s="1">
        <f t="shared" si="2"/>
        <v>548.04999999999995</v>
      </c>
      <c r="R5" s="1">
        <f>N5*1.2</f>
        <v>856.8</v>
      </c>
      <c r="U5" s="1">
        <f>SUM(C5:F5)</f>
        <v>2234</v>
      </c>
      <c r="V5" s="1">
        <f>SUM(G5:J5)</f>
        <v>2376</v>
      </c>
      <c r="W5" s="1">
        <f>SUM(K5:N5)</f>
        <v>2388</v>
      </c>
    </row>
    <row r="6" spans="2:35" s="7" customFormat="1" x14ac:dyDescent="0.2">
      <c r="B6" s="7" t="s">
        <v>22</v>
      </c>
      <c r="C6" s="7">
        <f t="shared" ref="C6:M6" si="3">SUM(C4:C5)</f>
        <v>7411</v>
      </c>
      <c r="D6" s="7">
        <f t="shared" si="3"/>
        <v>7720</v>
      </c>
      <c r="E6" s="7">
        <f t="shared" si="3"/>
        <v>7837</v>
      </c>
      <c r="F6" s="7">
        <f t="shared" si="3"/>
        <v>7326</v>
      </c>
      <c r="G6" s="7">
        <f t="shared" si="3"/>
        <v>8247</v>
      </c>
      <c r="H6" s="7">
        <f t="shared" si="3"/>
        <v>8603</v>
      </c>
      <c r="I6" s="7">
        <f t="shared" si="3"/>
        <v>8720</v>
      </c>
      <c r="J6" s="7">
        <f t="shared" si="3"/>
        <v>8384</v>
      </c>
      <c r="K6" s="7">
        <f t="shared" si="3"/>
        <v>9133</v>
      </c>
      <c r="L6" s="7">
        <f t="shared" si="3"/>
        <v>9325</v>
      </c>
      <c r="M6" s="7">
        <f t="shared" si="3"/>
        <v>9444</v>
      </c>
      <c r="N6" s="7">
        <f>N4+N5</f>
        <v>9905.0199999999986</v>
      </c>
      <c r="O6" s="7">
        <f t="shared" ref="O6:R6" si="4">O4+O5</f>
        <v>9717.51</v>
      </c>
      <c r="P6" s="7">
        <f t="shared" si="4"/>
        <v>9921.6500000000015</v>
      </c>
      <c r="Q6" s="7">
        <f t="shared" si="4"/>
        <v>10048.58</v>
      </c>
      <c r="R6" s="7">
        <f t="shared" si="4"/>
        <v>11702.203599999997</v>
      </c>
      <c r="U6" s="7">
        <f t="shared" ref="U6:W6" si="5">U4+U5</f>
        <v>30294</v>
      </c>
      <c r="V6" s="7">
        <f t="shared" si="5"/>
        <v>33954</v>
      </c>
      <c r="W6" s="7">
        <f t="shared" si="5"/>
        <v>37807.019999999997</v>
      </c>
      <c r="X6" s="7">
        <f>W6*1.1</f>
        <v>41587.722000000002</v>
      </c>
      <c r="Y6" s="7">
        <f t="shared" ref="Y6:AC6" si="6">X6*1.1</f>
        <v>45746.494200000008</v>
      </c>
      <c r="Z6" s="7">
        <f t="shared" si="6"/>
        <v>50321.14362000001</v>
      </c>
      <c r="AA6" s="7">
        <f t="shared" si="6"/>
        <v>55353.257982000017</v>
      </c>
      <c r="AB6" s="7">
        <f t="shared" si="6"/>
        <v>60888.583780200024</v>
      </c>
      <c r="AC6" s="7">
        <f t="shared" si="6"/>
        <v>66977.44215822003</v>
      </c>
      <c r="AD6" s="7">
        <f t="shared" ref="AA6:AD6" si="7">AC6*1.03</f>
        <v>68986.765422966637</v>
      </c>
      <c r="AE6" s="7">
        <f>AD6*1.01</f>
        <v>69676.633077196297</v>
      </c>
      <c r="AF6" s="7">
        <f t="shared" ref="AF6:AI6" si="8">AE6*1.01</f>
        <v>70373.39940796826</v>
      </c>
      <c r="AG6" s="7">
        <f t="shared" si="8"/>
        <v>71077.133402047941</v>
      </c>
      <c r="AH6" s="7">
        <f t="shared" si="8"/>
        <v>71787.90473606842</v>
      </c>
      <c r="AI6" s="7">
        <f t="shared" si="8"/>
        <v>72505.783783429099</v>
      </c>
    </row>
    <row r="7" spans="2:35" s="1" customFormat="1" x14ac:dyDescent="0.2">
      <c r="B7" s="1" t="s">
        <v>28</v>
      </c>
      <c r="C7" s="1">
        <v>1440</v>
      </c>
      <c r="D7" s="1">
        <v>1490</v>
      </c>
      <c r="E7" s="1">
        <v>1451</v>
      </c>
      <c r="F7" s="1">
        <v>1456</v>
      </c>
      <c r="G7" s="1">
        <v>1510</v>
      </c>
      <c r="H7" s="1">
        <v>1515</v>
      </c>
      <c r="I7" s="1">
        <v>1571</v>
      </c>
      <c r="J7" s="1">
        <v>1440</v>
      </c>
      <c r="K7" s="1">
        <v>1560</v>
      </c>
      <c r="L7" s="1">
        <v>1556</v>
      </c>
      <c r="M7" s="1">
        <v>1501</v>
      </c>
      <c r="U7" s="1">
        <f>SUM(C7:F7)</f>
        <v>5837</v>
      </c>
      <c r="V7" s="1">
        <f>SUM(G7:J7)</f>
        <v>6036</v>
      </c>
    </row>
    <row r="8" spans="2:35" s="1" customFormat="1" x14ac:dyDescent="0.2">
      <c r="B8" s="1" t="s">
        <v>29</v>
      </c>
      <c r="C8" s="1">
        <v>605</v>
      </c>
      <c r="D8" s="1">
        <v>637</v>
      </c>
      <c r="E8" s="1">
        <v>637</v>
      </c>
      <c r="F8" s="1">
        <v>558</v>
      </c>
      <c r="G8" s="1">
        <v>615</v>
      </c>
      <c r="H8" s="1">
        <v>598</v>
      </c>
      <c r="I8" s="1">
        <v>584</v>
      </c>
      <c r="J8" s="1">
        <v>660</v>
      </c>
      <c r="K8" s="1">
        <v>602</v>
      </c>
      <c r="L8" s="1">
        <v>603</v>
      </c>
      <c r="M8" s="1">
        <v>604</v>
      </c>
      <c r="U8" s="1">
        <f>SUM(C8:F8)</f>
        <v>2437</v>
      </c>
      <c r="V8" s="1">
        <f>SUM(G8:J8)</f>
        <v>2457</v>
      </c>
    </row>
    <row r="9" spans="2:35" s="1" customFormat="1" x14ac:dyDescent="0.2">
      <c r="B9" s="1" t="s">
        <v>32</v>
      </c>
      <c r="C9" s="1">
        <f t="shared" ref="C9:M9" si="9">SUM(C7:C8)</f>
        <v>2045</v>
      </c>
      <c r="D9" s="1">
        <f t="shared" si="9"/>
        <v>2127</v>
      </c>
      <c r="E9" s="1">
        <f t="shared" si="9"/>
        <v>2088</v>
      </c>
      <c r="F9" s="1">
        <f t="shared" si="9"/>
        <v>2014</v>
      </c>
      <c r="G9" s="1">
        <f t="shared" si="9"/>
        <v>2125</v>
      </c>
      <c r="H9" s="1">
        <f t="shared" si="9"/>
        <v>2113</v>
      </c>
      <c r="I9" s="1">
        <f t="shared" si="9"/>
        <v>2155</v>
      </c>
      <c r="J9" s="1">
        <f t="shared" si="9"/>
        <v>2100</v>
      </c>
      <c r="K9" s="1">
        <f t="shared" si="9"/>
        <v>2162</v>
      </c>
      <c r="L9" s="1">
        <f t="shared" si="9"/>
        <v>2159</v>
      </c>
      <c r="M9" s="1">
        <f t="shared" si="9"/>
        <v>2105</v>
      </c>
      <c r="U9" s="1">
        <f>SUM(U7:U8)</f>
        <v>8274</v>
      </c>
      <c r="V9" s="1">
        <f>SUM(V7:V8)</f>
        <v>8493</v>
      </c>
    </row>
    <row r="10" spans="2:35" s="1" customFormat="1" x14ac:dyDescent="0.2">
      <c r="B10" s="1" t="s">
        <v>33</v>
      </c>
      <c r="C10" s="1">
        <f t="shared" ref="C10:M10" si="10">C6-C9</f>
        <v>5366</v>
      </c>
      <c r="D10" s="1">
        <f t="shared" si="10"/>
        <v>5593</v>
      </c>
      <c r="E10" s="1">
        <f t="shared" si="10"/>
        <v>5749</v>
      </c>
      <c r="F10" s="1">
        <f t="shared" si="10"/>
        <v>5312</v>
      </c>
      <c r="G10" s="1">
        <f t="shared" si="10"/>
        <v>6122</v>
      </c>
      <c r="H10" s="1">
        <f t="shared" si="10"/>
        <v>6490</v>
      </c>
      <c r="I10" s="1">
        <f t="shared" si="10"/>
        <v>6565</v>
      </c>
      <c r="J10" s="1">
        <f t="shared" si="10"/>
        <v>6284</v>
      </c>
      <c r="K10" s="1">
        <f t="shared" si="10"/>
        <v>6971</v>
      </c>
      <c r="L10" s="1">
        <f t="shared" si="10"/>
        <v>7166</v>
      </c>
      <c r="M10" s="1">
        <f t="shared" si="10"/>
        <v>7339</v>
      </c>
      <c r="N10" s="1">
        <f>N6*0.79</f>
        <v>7824.965799999999</v>
      </c>
      <c r="O10" s="1">
        <f t="shared" ref="O10:R10" si="11">O6*0.79</f>
        <v>7676.8329000000003</v>
      </c>
      <c r="P10" s="1">
        <f t="shared" si="11"/>
        <v>7838.1035000000011</v>
      </c>
      <c r="Q10" s="1">
        <f t="shared" si="11"/>
        <v>7938.3782000000001</v>
      </c>
      <c r="R10" s="1">
        <f t="shared" si="11"/>
        <v>9244.7408439999981</v>
      </c>
      <c r="U10" s="1">
        <f>U6-U9</f>
        <v>22020</v>
      </c>
      <c r="V10" s="1">
        <f>V6-V9</f>
        <v>25461</v>
      </c>
      <c r="W10" s="1">
        <f>SUM(K10:N10)</f>
        <v>29300.965799999998</v>
      </c>
      <c r="X10" s="1">
        <f>X6*0.8</f>
        <v>33270.177600000003</v>
      </c>
      <c r="Y10" s="1">
        <f>Y6*0.8</f>
        <v>36597.195360000005</v>
      </c>
      <c r="Z10" s="1">
        <f t="shared" ref="Z10:AI10" si="12">Z6*0.8</f>
        <v>40256.914896000009</v>
      </c>
      <c r="AA10" s="1">
        <f t="shared" si="12"/>
        <v>44282.606385600018</v>
      </c>
      <c r="AB10" s="1">
        <f t="shared" si="12"/>
        <v>48710.867024160019</v>
      </c>
      <c r="AC10" s="1">
        <f t="shared" si="12"/>
        <v>53581.95372657603</v>
      </c>
      <c r="AD10" s="1">
        <f t="shared" si="12"/>
        <v>55189.412338373309</v>
      </c>
      <c r="AE10" s="1">
        <f t="shared" si="12"/>
        <v>55741.306461757042</v>
      </c>
      <c r="AF10" s="1">
        <f t="shared" si="12"/>
        <v>56298.719526374611</v>
      </c>
      <c r="AG10" s="1">
        <f t="shared" si="12"/>
        <v>56861.706721638358</v>
      </c>
      <c r="AH10" s="1">
        <f t="shared" si="12"/>
        <v>57430.323788854737</v>
      </c>
      <c r="AI10" s="1">
        <f t="shared" si="12"/>
        <v>58004.627026743285</v>
      </c>
    </row>
    <row r="11" spans="2:35" s="1" customFormat="1" x14ac:dyDescent="0.2">
      <c r="B11" s="1" t="s">
        <v>35</v>
      </c>
      <c r="C11" s="1">
        <v>1318</v>
      </c>
      <c r="D11" s="1">
        <v>1329</v>
      </c>
      <c r="E11" s="1">
        <v>1280</v>
      </c>
      <c r="F11" s="1">
        <v>1291</v>
      </c>
      <c r="G11" s="1">
        <v>1207</v>
      </c>
      <c r="H11" s="1">
        <v>1220</v>
      </c>
      <c r="I11" s="1">
        <v>1204</v>
      </c>
      <c r="J11" s="1">
        <v>1128</v>
      </c>
      <c r="K11" s="1">
        <v>1368</v>
      </c>
      <c r="L11" s="1">
        <v>1349</v>
      </c>
      <c r="M11" s="1">
        <v>1356</v>
      </c>
      <c r="N11" s="1">
        <f>J11*1.13</f>
        <v>1274.6399999999999</v>
      </c>
      <c r="O11" s="1">
        <f>K11*1.1</f>
        <v>1504.8000000000002</v>
      </c>
      <c r="P11" s="1">
        <f t="shared" ref="P11:R11" si="13">L11*1.1</f>
        <v>1483.9</v>
      </c>
      <c r="Q11" s="1">
        <f t="shared" si="13"/>
        <v>1491.6000000000001</v>
      </c>
      <c r="R11" s="1">
        <f t="shared" si="13"/>
        <v>1402.104</v>
      </c>
      <c r="U11" s="1">
        <f>SUM(C11:F11)</f>
        <v>5218</v>
      </c>
      <c r="V11" s="1">
        <f>SUM(G11:J11)</f>
        <v>4759</v>
      </c>
      <c r="W11" s="1">
        <f>SUM(K11:N11)</f>
        <v>5347.6399999999994</v>
      </c>
      <c r="X11" s="1">
        <f>W11*1.15</f>
        <v>6149.7859999999991</v>
      </c>
      <c r="Y11" s="1">
        <f>X11*1.12</f>
        <v>6887.7603199999994</v>
      </c>
      <c r="Z11" s="1">
        <f>Y11*1.05</f>
        <v>7232.1483359999993</v>
      </c>
      <c r="AA11" s="1">
        <f>Z11*1.03</f>
        <v>7449.1127860799998</v>
      </c>
      <c r="AB11" s="1">
        <f t="shared" ref="AB11" si="14">AA11*1.03</f>
        <v>7672.5861696623997</v>
      </c>
      <c r="AC11" s="1">
        <f>AB11*0.97</f>
        <v>7442.4085845725276</v>
      </c>
      <c r="AD11" s="1">
        <f>AC11*0.97</f>
        <v>7219.1363270353513</v>
      </c>
      <c r="AE11" s="1">
        <f t="shared" ref="AE11:AI11" si="15">AD11*0.97</f>
        <v>7002.5622372242906</v>
      </c>
      <c r="AF11" s="1">
        <f t="shared" si="15"/>
        <v>6792.4853701075617</v>
      </c>
      <c r="AG11" s="1">
        <f t="shared" si="15"/>
        <v>6588.7108090043348</v>
      </c>
      <c r="AH11" s="1">
        <f t="shared" si="15"/>
        <v>6391.0494847342043</v>
      </c>
      <c r="AI11" s="1">
        <f t="shared" si="15"/>
        <v>6199.3180001921783</v>
      </c>
    </row>
    <row r="12" spans="2:35" s="1" customFormat="1" x14ac:dyDescent="0.2">
      <c r="B12" s="1" t="s">
        <v>36</v>
      </c>
      <c r="C12" s="1">
        <v>3372</v>
      </c>
      <c r="D12" s="1">
        <v>3424</v>
      </c>
      <c r="E12" s="1">
        <v>3345</v>
      </c>
      <c r="F12" s="1">
        <v>3464</v>
      </c>
      <c r="G12" s="1">
        <v>3154</v>
      </c>
      <c r="H12" s="1">
        <v>3113</v>
      </c>
      <c r="I12" s="1">
        <v>3173</v>
      </c>
      <c r="J12" s="1">
        <v>3385</v>
      </c>
      <c r="K12" s="1">
        <v>3239</v>
      </c>
      <c r="L12" s="1">
        <v>3224</v>
      </c>
      <c r="M12" s="1">
        <v>3323</v>
      </c>
      <c r="N12" s="1">
        <f>J12*1.15</f>
        <v>3892.7499999999995</v>
      </c>
      <c r="O12" s="1">
        <f>K12*1.1</f>
        <v>3562.9</v>
      </c>
      <c r="P12" s="1">
        <f t="shared" ref="P12:Q13" si="16">L12*1.1</f>
        <v>3546.4</v>
      </c>
      <c r="Q12" s="1">
        <f t="shared" si="16"/>
        <v>3655.3</v>
      </c>
      <c r="R12" s="1">
        <f>N12*1.25</f>
        <v>4865.9374999999991</v>
      </c>
      <c r="U12" s="1">
        <f>SUM(C12:F12)</f>
        <v>13605</v>
      </c>
      <c r="V12" s="1">
        <f>SUM(G12:J12)</f>
        <v>12825</v>
      </c>
      <c r="W12" s="1">
        <f>SUM(K12:N12)</f>
        <v>13678.75</v>
      </c>
      <c r="X12" s="1">
        <f>W12*1.1</f>
        <v>15046.625000000002</v>
      </c>
      <c r="Y12" s="1">
        <f>X12*1.1</f>
        <v>16551.287500000002</v>
      </c>
      <c r="Z12" s="1">
        <f>Y12*1.05</f>
        <v>17378.851875000004</v>
      </c>
      <c r="AA12" s="1">
        <f>Z12*1.03</f>
        <v>17900.217431250003</v>
      </c>
      <c r="AB12" s="1">
        <f t="shared" ref="AB12:AI12" si="17">AA12*1.03</f>
        <v>18437.223954187502</v>
      </c>
      <c r="AC12" s="1">
        <f t="shared" si="17"/>
        <v>18990.340672813127</v>
      </c>
      <c r="AD12" s="1">
        <f t="shared" si="17"/>
        <v>19560.050892997522</v>
      </c>
      <c r="AE12" s="1">
        <f t="shared" si="17"/>
        <v>20146.852419787447</v>
      </c>
      <c r="AF12" s="1">
        <f t="shared" si="17"/>
        <v>20751.25799238107</v>
      </c>
      <c r="AG12" s="1">
        <f t="shared" si="17"/>
        <v>21373.795732152503</v>
      </c>
      <c r="AH12" s="1">
        <f t="shared" si="17"/>
        <v>22015.00960411708</v>
      </c>
      <c r="AI12" s="1">
        <f t="shared" si="17"/>
        <v>22675.459892240593</v>
      </c>
    </row>
    <row r="13" spans="2:35" s="1" customFormat="1" x14ac:dyDescent="0.2">
      <c r="B13" s="1" t="s">
        <v>37</v>
      </c>
      <c r="C13" s="1">
        <v>656</v>
      </c>
      <c r="D13" s="1">
        <v>647</v>
      </c>
      <c r="E13" s="1">
        <v>664</v>
      </c>
      <c r="F13" s="1">
        <v>733</v>
      </c>
      <c r="G13" s="1">
        <v>638</v>
      </c>
      <c r="H13" s="1">
        <v>632</v>
      </c>
      <c r="I13" s="1">
        <v>632</v>
      </c>
      <c r="J13" s="1">
        <v>586</v>
      </c>
      <c r="K13" s="1">
        <v>647</v>
      </c>
      <c r="L13" s="1">
        <v>711</v>
      </c>
      <c r="M13" s="1">
        <v>711</v>
      </c>
      <c r="N13" s="1">
        <f>J13*1.1</f>
        <v>644.6</v>
      </c>
      <c r="O13" s="1">
        <f t="shared" ref="O13" si="18">K13*1.1</f>
        <v>711.7</v>
      </c>
      <c r="P13" s="1">
        <f t="shared" si="16"/>
        <v>782.1</v>
      </c>
      <c r="Q13" s="1">
        <f t="shared" si="16"/>
        <v>782.1</v>
      </c>
      <c r="R13" s="1">
        <f>N13*1.1</f>
        <v>709.06000000000006</v>
      </c>
      <c r="U13" s="1">
        <f>SUM(C13:F13)</f>
        <v>2700</v>
      </c>
      <c r="V13" s="1">
        <f>SUM(G13:J13)</f>
        <v>2488</v>
      </c>
      <c r="W13" s="1">
        <f>SUM(K13:N13)</f>
        <v>2713.6</v>
      </c>
      <c r="X13" s="1">
        <f>W13*1.1</f>
        <v>2984.96</v>
      </c>
      <c r="Y13" s="1">
        <f>X13*1.05</f>
        <v>3134.2080000000001</v>
      </c>
      <c r="Z13" s="1">
        <f>Y13*1.05</f>
        <v>3290.9184</v>
      </c>
      <c r="AA13" s="1">
        <f>Z13*1.01</f>
        <v>3323.8275840000001</v>
      </c>
      <c r="AB13" s="1">
        <f t="shared" ref="AB13:AC13" si="19">AA13*1.01</f>
        <v>3357.06585984</v>
      </c>
      <c r="AC13" s="1">
        <f t="shared" si="19"/>
        <v>3390.6365184383999</v>
      </c>
      <c r="AD13" s="1">
        <f>AC13*0.98</f>
        <v>3322.823788069632</v>
      </c>
      <c r="AE13" s="1">
        <f t="shared" ref="AE13:AI13" si="20">AD13*0.98</f>
        <v>3256.3673123082394</v>
      </c>
      <c r="AF13" s="1">
        <f t="shared" si="20"/>
        <v>3191.2399660620745</v>
      </c>
      <c r="AG13" s="1">
        <f t="shared" si="20"/>
        <v>3127.4151667408328</v>
      </c>
      <c r="AH13" s="1">
        <f t="shared" si="20"/>
        <v>3064.8668634060159</v>
      </c>
      <c r="AI13" s="1">
        <f t="shared" si="20"/>
        <v>3003.5695261378955</v>
      </c>
    </row>
    <row r="14" spans="2:35" s="1" customFormat="1" x14ac:dyDescent="0.2">
      <c r="B14" s="1" t="s">
        <v>38</v>
      </c>
      <c r="C14" s="1">
        <v>0</v>
      </c>
      <c r="D14" s="1">
        <v>0</v>
      </c>
      <c r="E14" s="1">
        <v>0</v>
      </c>
      <c r="F14" s="1">
        <v>0</v>
      </c>
      <c r="G14" s="1">
        <v>711</v>
      </c>
      <c r="H14" s="1">
        <v>49</v>
      </c>
      <c r="I14" s="1">
        <v>55</v>
      </c>
      <c r="J14" s="1">
        <v>828</v>
      </c>
      <c r="K14" s="1">
        <v>8</v>
      </c>
      <c r="L14" s="1">
        <v>99</v>
      </c>
      <c r="M14" s="1">
        <v>56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U14" s="1">
        <f>SUM(C14:F14)</f>
        <v>0</v>
      </c>
      <c r="V14" s="1">
        <f>SUM(G14:J14)</f>
        <v>1643</v>
      </c>
      <c r="W14" s="1">
        <f>SUM(K14:N14)</f>
        <v>163</v>
      </c>
    </row>
    <row r="15" spans="2:35" s="1" customFormat="1" x14ac:dyDescent="0.2">
      <c r="B15" s="1" t="s">
        <v>46</v>
      </c>
      <c r="C15" s="1">
        <f t="shared" ref="C15:M15" si="21">SUM(C11:C14)</f>
        <v>5346</v>
      </c>
      <c r="D15" s="1">
        <f t="shared" si="21"/>
        <v>5400</v>
      </c>
      <c r="E15" s="1">
        <f t="shared" si="21"/>
        <v>5289</v>
      </c>
      <c r="F15" s="1">
        <f t="shared" si="21"/>
        <v>5488</v>
      </c>
      <c r="G15" s="1">
        <f t="shared" si="21"/>
        <v>5710</v>
      </c>
      <c r="H15" s="1">
        <f t="shared" si="21"/>
        <v>5014</v>
      </c>
      <c r="I15" s="1">
        <f t="shared" si="21"/>
        <v>5064</v>
      </c>
      <c r="J15" s="1">
        <f t="shared" si="21"/>
        <v>5927</v>
      </c>
      <c r="K15" s="1">
        <f t="shared" si="21"/>
        <v>5262</v>
      </c>
      <c r="L15" s="1">
        <f t="shared" si="21"/>
        <v>5383</v>
      </c>
      <c r="M15" s="1">
        <f t="shared" si="21"/>
        <v>5446</v>
      </c>
      <c r="N15" s="1">
        <f t="shared" ref="N15:R15" si="22">SUM(N11:N14)</f>
        <v>5811.99</v>
      </c>
      <c r="O15" s="1">
        <f t="shared" si="22"/>
        <v>5779.4000000000005</v>
      </c>
      <c r="P15" s="1">
        <f t="shared" si="22"/>
        <v>5812.4000000000005</v>
      </c>
      <c r="Q15" s="1">
        <f t="shared" si="22"/>
        <v>5929.0000000000009</v>
      </c>
      <c r="R15" s="1">
        <f t="shared" si="22"/>
        <v>6977.1014999999998</v>
      </c>
      <c r="U15" s="1">
        <f t="shared" ref="U15:W15" si="23">SUM(U11:U14)</f>
        <v>21523</v>
      </c>
      <c r="V15" s="1">
        <f t="shared" si="23"/>
        <v>21715</v>
      </c>
      <c r="W15" s="1">
        <f t="shared" si="23"/>
        <v>21902.989999999998</v>
      </c>
      <c r="X15" s="1">
        <f t="shared" ref="X15" si="24">SUM(X11:X14)</f>
        <v>24181.370999999999</v>
      </c>
      <c r="Y15" s="1">
        <f t="shared" ref="Y15" si="25">SUM(Y11:Y14)</f>
        <v>26573.255819999998</v>
      </c>
      <c r="Z15" s="1">
        <f t="shared" ref="Z15" si="26">SUM(Z11:Z14)</f>
        <v>27901.918611000001</v>
      </c>
      <c r="AA15" s="1">
        <f t="shared" ref="AA15" si="27">SUM(AA11:AA14)</f>
        <v>28673.157801330002</v>
      </c>
      <c r="AB15" s="1">
        <f t="shared" ref="AB15" si="28">SUM(AB11:AB14)</f>
        <v>29466.875983689901</v>
      </c>
      <c r="AC15" s="1">
        <f t="shared" ref="AC15" si="29">SUM(AC11:AC14)</f>
        <v>29823.385775824056</v>
      </c>
      <c r="AD15" s="1">
        <f t="shared" ref="AD15" si="30">SUM(AD11:AD14)</f>
        <v>30102.011008102505</v>
      </c>
      <c r="AE15" s="1">
        <f t="shared" ref="AE15" si="31">SUM(AE11:AE14)</f>
        <v>30405.781969319978</v>
      </c>
      <c r="AF15" s="1">
        <f t="shared" ref="AF15" si="32">SUM(AF11:AF14)</f>
        <v>30734.983328550708</v>
      </c>
      <c r="AG15" s="1">
        <f t="shared" ref="AG15" si="33">SUM(AG11:AG14)</f>
        <v>31089.921707897669</v>
      </c>
      <c r="AH15" s="1">
        <f t="shared" ref="AH15" si="34">SUM(AH11:AH14)</f>
        <v>31470.925952257301</v>
      </c>
      <c r="AI15" s="1">
        <f t="shared" ref="AI15" si="35">SUM(AI11:AI14)</f>
        <v>31878.347418570669</v>
      </c>
    </row>
    <row r="16" spans="2:35" s="1" customFormat="1" x14ac:dyDescent="0.2">
      <c r="B16" s="1" t="s">
        <v>47</v>
      </c>
      <c r="C16" s="1">
        <f t="shared" ref="C16:M16" si="36">C10-C15</f>
        <v>20</v>
      </c>
      <c r="D16" s="1">
        <f t="shared" si="36"/>
        <v>193</v>
      </c>
      <c r="E16" s="1">
        <f t="shared" si="36"/>
        <v>460</v>
      </c>
      <c r="F16" s="1">
        <f t="shared" si="36"/>
        <v>-176</v>
      </c>
      <c r="G16" s="1">
        <f t="shared" si="36"/>
        <v>412</v>
      </c>
      <c r="H16" s="1">
        <f t="shared" si="36"/>
        <v>1476</v>
      </c>
      <c r="I16" s="1">
        <f t="shared" si="36"/>
        <v>1501</v>
      </c>
      <c r="J16" s="1">
        <f t="shared" si="36"/>
        <v>357</v>
      </c>
      <c r="K16" s="1">
        <f t="shared" si="36"/>
        <v>1709</v>
      </c>
      <c r="L16" s="1">
        <f t="shared" si="36"/>
        <v>1783</v>
      </c>
      <c r="M16" s="1">
        <f t="shared" si="36"/>
        <v>1893</v>
      </c>
      <c r="N16" s="1">
        <f t="shared" ref="N16:R16" si="37">N10-N15</f>
        <v>2012.9757999999993</v>
      </c>
      <c r="O16" s="1">
        <f t="shared" si="37"/>
        <v>1897.4328999999998</v>
      </c>
      <c r="P16" s="1">
        <f t="shared" si="37"/>
        <v>2025.7035000000005</v>
      </c>
      <c r="Q16" s="1">
        <f t="shared" si="37"/>
        <v>2009.3781999999992</v>
      </c>
      <c r="R16" s="1">
        <f t="shared" si="37"/>
        <v>2267.6393439999983</v>
      </c>
      <c r="U16" s="1">
        <f t="shared" ref="U16:W16" si="38">U10-U15</f>
        <v>497</v>
      </c>
      <c r="V16" s="1">
        <f t="shared" si="38"/>
        <v>3746</v>
      </c>
      <c r="W16" s="1">
        <f t="shared" si="38"/>
        <v>7397.9758000000002</v>
      </c>
      <c r="X16" s="1">
        <f t="shared" ref="X16" si="39">X10-X15</f>
        <v>9088.8066000000035</v>
      </c>
      <c r="Y16" s="1">
        <f t="shared" ref="Y16" si="40">Y10-Y15</f>
        <v>10023.939540000007</v>
      </c>
      <c r="Z16" s="1">
        <f t="shared" ref="Z16" si="41">Z10-Z15</f>
        <v>12354.996285000008</v>
      </c>
      <c r="AA16" s="1">
        <f t="shared" ref="AA16" si="42">AA10-AA15</f>
        <v>15609.448584270016</v>
      </c>
      <c r="AB16" s="1">
        <f t="shared" ref="AB16" si="43">AB10-AB15</f>
        <v>19243.991040470119</v>
      </c>
      <c r="AC16" s="1">
        <f t="shared" ref="AC16" si="44">AC10-AC15</f>
        <v>23758.567950751974</v>
      </c>
      <c r="AD16" s="1">
        <f t="shared" ref="AD16" si="45">AD10-AD15</f>
        <v>25087.401330270804</v>
      </c>
      <c r="AE16" s="1">
        <f t="shared" ref="AE16" si="46">AE10-AE15</f>
        <v>25335.524492437064</v>
      </c>
      <c r="AF16" s="1">
        <f t="shared" ref="AF16" si="47">AF10-AF15</f>
        <v>25563.736197823902</v>
      </c>
      <c r="AG16" s="1">
        <f t="shared" ref="AG16" si="48">AG10-AG15</f>
        <v>25771.785013740689</v>
      </c>
      <c r="AH16" s="1">
        <f t="shared" ref="AH16" si="49">AH10-AH15</f>
        <v>25959.397836597436</v>
      </c>
      <c r="AI16" s="1">
        <f t="shared" ref="AI16" si="50">AI10-AI15</f>
        <v>26126.279608172616</v>
      </c>
    </row>
    <row r="17" spans="2:165" s="1" customFormat="1" x14ac:dyDescent="0.2">
      <c r="B17" s="1" t="s">
        <v>39</v>
      </c>
      <c r="C17" s="1">
        <f>7-56</f>
        <v>-49</v>
      </c>
      <c r="D17" s="1">
        <f>45-57</f>
        <v>-12</v>
      </c>
      <c r="E17" s="1">
        <f>23-8</f>
        <v>15</v>
      </c>
      <c r="F17" s="1">
        <f>34-55</f>
        <v>-21</v>
      </c>
      <c r="G17" s="1">
        <f>-141+55</f>
        <v>-86</v>
      </c>
      <c r="H17" s="1">
        <f>-29+45</f>
        <v>16</v>
      </c>
      <c r="I17" s="1">
        <f>-72+58</f>
        <v>-14</v>
      </c>
      <c r="J17" s="1">
        <f>-314-10</f>
        <v>-324</v>
      </c>
      <c r="K17" s="1">
        <f>37+121</f>
        <v>158</v>
      </c>
      <c r="L17" s="1">
        <f>91-37</f>
        <v>54</v>
      </c>
      <c r="M17" s="1">
        <f>70-217</f>
        <v>-147</v>
      </c>
      <c r="U17" s="1">
        <f>SUM(C17:F17)</f>
        <v>-67</v>
      </c>
      <c r="V17" s="1">
        <f>SUM(G17:J17)</f>
        <v>-408</v>
      </c>
      <c r="W17" s="1">
        <f>SUM(K17:N17)</f>
        <v>65</v>
      </c>
      <c r="X17" s="1">
        <f>W51*$AN$23</f>
        <v>-4.3500000000000005</v>
      </c>
      <c r="Y17" s="1">
        <f t="shared" ref="Y17:AI17" si="51">X51*$AN$23</f>
        <v>68.325652800000029</v>
      </c>
      <c r="Z17" s="1">
        <f t="shared" si="51"/>
        <v>149.06377434240008</v>
      </c>
      <c r="AA17" s="1">
        <f t="shared" si="51"/>
        <v>249.09625481713934</v>
      </c>
      <c r="AB17" s="1">
        <f t="shared" si="51"/>
        <v>375.96461352983658</v>
      </c>
      <c r="AC17" s="1">
        <f t="shared" si="51"/>
        <v>532.9242587618362</v>
      </c>
      <c r="AD17" s="1">
        <f t="shared" si="51"/>
        <v>727.25619643794664</v>
      </c>
      <c r="AE17" s="1">
        <f t="shared" si="51"/>
        <v>933.7734566516167</v>
      </c>
      <c r="AF17" s="1">
        <f t="shared" si="51"/>
        <v>1143.9278402443263</v>
      </c>
      <c r="AG17" s="1">
        <f t="shared" si="51"/>
        <v>1357.5891525488719</v>
      </c>
      <c r="AH17" s="1">
        <f t="shared" si="51"/>
        <v>1574.6241458791885</v>
      </c>
      <c r="AI17" s="1">
        <f t="shared" si="51"/>
        <v>1794.8963217390015</v>
      </c>
    </row>
    <row r="18" spans="2:165" s="1" customFormat="1" x14ac:dyDescent="0.2">
      <c r="B18" s="1" t="s">
        <v>40</v>
      </c>
      <c r="C18" s="1">
        <f t="shared" ref="C18:M18" si="52">C16+C17</f>
        <v>-29</v>
      </c>
      <c r="D18" s="1">
        <f t="shared" si="52"/>
        <v>181</v>
      </c>
      <c r="E18" s="1">
        <f t="shared" si="52"/>
        <v>475</v>
      </c>
      <c r="F18" s="1">
        <f t="shared" si="52"/>
        <v>-197</v>
      </c>
      <c r="G18" s="1">
        <f t="shared" si="52"/>
        <v>326</v>
      </c>
      <c r="H18" s="1">
        <f t="shared" si="52"/>
        <v>1492</v>
      </c>
      <c r="I18" s="1">
        <f t="shared" si="52"/>
        <v>1487</v>
      </c>
      <c r="J18" s="1">
        <f t="shared" si="52"/>
        <v>33</v>
      </c>
      <c r="K18" s="1">
        <f t="shared" si="52"/>
        <v>1867</v>
      </c>
      <c r="L18" s="1">
        <f t="shared" si="52"/>
        <v>1837</v>
      </c>
      <c r="M18" s="1">
        <f t="shared" si="52"/>
        <v>1746</v>
      </c>
      <c r="N18" s="1">
        <f t="shared" ref="N18:R18" si="53">N16+N17</f>
        <v>2012.9757999999993</v>
      </c>
      <c r="O18" s="1">
        <f t="shared" si="53"/>
        <v>1897.4328999999998</v>
      </c>
      <c r="P18" s="1">
        <f t="shared" si="53"/>
        <v>2025.7035000000005</v>
      </c>
      <c r="Q18" s="1">
        <f t="shared" si="53"/>
        <v>2009.3781999999992</v>
      </c>
      <c r="R18" s="1">
        <f t="shared" si="53"/>
        <v>2267.6393439999983</v>
      </c>
      <c r="U18" s="1">
        <f t="shared" ref="U18:W18" si="54">U16+U17</f>
        <v>430</v>
      </c>
      <c r="V18" s="1">
        <f t="shared" si="54"/>
        <v>3338</v>
      </c>
      <c r="W18" s="1">
        <f t="shared" si="54"/>
        <v>7462.9758000000002</v>
      </c>
      <c r="X18" s="1">
        <f t="shared" ref="X18" si="55">X16+X17</f>
        <v>9084.4566000000032</v>
      </c>
      <c r="Y18" s="1">
        <f t="shared" ref="Y18" si="56">Y16+Y17</f>
        <v>10092.265192800007</v>
      </c>
      <c r="Z18" s="1">
        <f t="shared" ref="Z18" si="57">Z16+Z17</f>
        <v>12504.060059342408</v>
      </c>
      <c r="AA18" s="1">
        <f t="shared" ref="AA18" si="58">AA16+AA17</f>
        <v>15858.544839087155</v>
      </c>
      <c r="AB18" s="1">
        <f t="shared" ref="AB18" si="59">AB16+AB17</f>
        <v>19619.955653999954</v>
      </c>
      <c r="AC18" s="1">
        <f t="shared" ref="AC18" si="60">AC16+AC17</f>
        <v>24291.49220951381</v>
      </c>
      <c r="AD18" s="1">
        <f t="shared" ref="AD18" si="61">AD16+AD17</f>
        <v>25814.65752670875</v>
      </c>
      <c r="AE18" s="1">
        <f t="shared" ref="AE18" si="62">AE16+AE17</f>
        <v>26269.297949088679</v>
      </c>
      <c r="AF18" s="1">
        <f t="shared" ref="AF18" si="63">AF16+AF17</f>
        <v>26707.664038068229</v>
      </c>
      <c r="AG18" s="1">
        <f t="shared" ref="AG18" si="64">AG16+AG17</f>
        <v>27129.374166289563</v>
      </c>
      <c r="AH18" s="1">
        <f t="shared" ref="AH18" si="65">AH16+AH17</f>
        <v>27534.021982476625</v>
      </c>
      <c r="AI18" s="1">
        <f t="shared" ref="AI18" si="66">AI16+AI17</f>
        <v>27921.175929911617</v>
      </c>
    </row>
    <row r="19" spans="2:165" s="1" customFormat="1" x14ac:dyDescent="0.2">
      <c r="B19" s="1" t="s">
        <v>25</v>
      </c>
      <c r="C19" s="1">
        <v>-57</v>
      </c>
      <c r="D19" s="1">
        <v>113</v>
      </c>
      <c r="E19" s="1">
        <v>265</v>
      </c>
      <c r="F19" s="1">
        <v>-169</v>
      </c>
      <c r="G19" s="1">
        <v>127</v>
      </c>
      <c r="H19" s="1">
        <v>225</v>
      </c>
      <c r="I19" s="1">
        <v>263</v>
      </c>
      <c r="J19" s="1">
        <v>131</v>
      </c>
      <c r="K19" s="1">
        <v>334</v>
      </c>
      <c r="L19" s="1">
        <v>408</v>
      </c>
      <c r="M19" s="1">
        <v>219</v>
      </c>
      <c r="N19" s="1">
        <f>N18*0.2</f>
        <v>402.59515999999985</v>
      </c>
      <c r="O19" s="1">
        <f t="shared" ref="O19:R19" si="67">O18*0.2</f>
        <v>379.48658</v>
      </c>
      <c r="P19" s="1">
        <f t="shared" si="67"/>
        <v>405.14070000000015</v>
      </c>
      <c r="Q19" s="1">
        <f t="shared" si="67"/>
        <v>401.87563999999986</v>
      </c>
      <c r="R19" s="1">
        <f t="shared" si="67"/>
        <v>453.52786879999968</v>
      </c>
      <c r="U19" s="1">
        <f>SUM(C19:F19)</f>
        <v>152</v>
      </c>
      <c r="V19" s="1">
        <f>SUM(G19:J19)</f>
        <v>746</v>
      </c>
      <c r="W19" s="1">
        <f>SUM(H19:K19)</f>
        <v>953</v>
      </c>
      <c r="X19" s="1">
        <f>X18*0.2</f>
        <v>1816.8913200000006</v>
      </c>
      <c r="Y19" s="1">
        <f t="shared" ref="Y19:AI19" si="68">Y18*0.2</f>
        <v>2018.4530385600015</v>
      </c>
      <c r="Z19" s="1">
        <f t="shared" si="68"/>
        <v>2500.8120118684819</v>
      </c>
      <c r="AA19" s="1">
        <f t="shared" si="68"/>
        <v>3171.7089678174311</v>
      </c>
      <c r="AB19" s="1">
        <f t="shared" si="68"/>
        <v>3923.991130799991</v>
      </c>
      <c r="AC19" s="1">
        <f t="shared" si="68"/>
        <v>4858.2984419027625</v>
      </c>
      <c r="AD19" s="1">
        <f t="shared" si="68"/>
        <v>5162.9315053417504</v>
      </c>
      <c r="AE19" s="1">
        <f t="shared" si="68"/>
        <v>5253.8595898177364</v>
      </c>
      <c r="AF19" s="1">
        <f t="shared" si="68"/>
        <v>5341.5328076136466</v>
      </c>
      <c r="AG19" s="1">
        <f t="shared" si="68"/>
        <v>5425.8748332579125</v>
      </c>
      <c r="AH19" s="1">
        <f t="shared" si="68"/>
        <v>5506.8043964953249</v>
      </c>
      <c r="AI19" s="1">
        <f t="shared" si="68"/>
        <v>5584.2351859823239</v>
      </c>
    </row>
    <row r="20" spans="2:165" s="1" customFormat="1" x14ac:dyDescent="0.2">
      <c r="B20" s="1" t="s">
        <v>41</v>
      </c>
      <c r="C20" s="1">
        <f t="shared" ref="C20:M20" si="69">C18-C19</f>
        <v>28</v>
      </c>
      <c r="D20" s="1">
        <f t="shared" si="69"/>
        <v>68</v>
      </c>
      <c r="E20" s="1">
        <f t="shared" si="69"/>
        <v>210</v>
      </c>
      <c r="F20" s="1">
        <f t="shared" si="69"/>
        <v>-28</v>
      </c>
      <c r="G20" s="1">
        <f t="shared" si="69"/>
        <v>199</v>
      </c>
      <c r="H20" s="1">
        <f t="shared" si="69"/>
        <v>1267</v>
      </c>
      <c r="I20" s="1">
        <f t="shared" si="69"/>
        <v>1224</v>
      </c>
      <c r="J20" s="1">
        <f t="shared" si="69"/>
        <v>-98</v>
      </c>
      <c r="K20" s="1">
        <f t="shared" si="69"/>
        <v>1533</v>
      </c>
      <c r="L20" s="1">
        <f t="shared" si="69"/>
        <v>1429</v>
      </c>
      <c r="M20" s="1">
        <f t="shared" si="69"/>
        <v>1527</v>
      </c>
      <c r="N20" s="1">
        <f t="shared" ref="N20:R20" si="70">N18-N19</f>
        <v>1610.3806399999994</v>
      </c>
      <c r="O20" s="1">
        <f t="shared" si="70"/>
        <v>1517.9463199999998</v>
      </c>
      <c r="P20" s="1">
        <f t="shared" si="70"/>
        <v>1620.5628000000004</v>
      </c>
      <c r="Q20" s="1">
        <f t="shared" si="70"/>
        <v>1607.5025599999994</v>
      </c>
      <c r="R20" s="1">
        <f t="shared" si="70"/>
        <v>1814.1114751999987</v>
      </c>
      <c r="U20" s="1">
        <f t="shared" ref="U20:W20" si="71">U18-U19</f>
        <v>278</v>
      </c>
      <c r="V20" s="1">
        <f t="shared" si="71"/>
        <v>2592</v>
      </c>
      <c r="W20" s="1">
        <f t="shared" si="71"/>
        <v>6509.9758000000002</v>
      </c>
      <c r="X20" s="1">
        <f t="shared" ref="X20" si="72">X18-X19</f>
        <v>7267.5652800000025</v>
      </c>
      <c r="Y20" s="1">
        <f t="shared" ref="Y20" si="73">Y18-Y19</f>
        <v>8073.8121542400058</v>
      </c>
      <c r="Z20" s="1">
        <f t="shared" ref="Z20" si="74">Z18-Z19</f>
        <v>10003.248047473926</v>
      </c>
      <c r="AA20" s="1">
        <f t="shared" ref="AA20" si="75">AA18-AA19</f>
        <v>12686.835871269725</v>
      </c>
      <c r="AB20" s="1">
        <f t="shared" ref="AB20" si="76">AB18-AB19</f>
        <v>15695.964523199964</v>
      </c>
      <c r="AC20" s="1">
        <f t="shared" ref="AC20" si="77">AC18-AC19</f>
        <v>19433.193767611046</v>
      </c>
      <c r="AD20" s="1">
        <f t="shared" ref="AD20" si="78">AD18-AD19</f>
        <v>20651.726021367002</v>
      </c>
      <c r="AE20" s="1">
        <f t="shared" ref="AE20" si="79">AE18-AE19</f>
        <v>21015.438359270942</v>
      </c>
      <c r="AF20" s="1">
        <f t="shared" ref="AF20" si="80">AF18-AF19</f>
        <v>21366.131230454583</v>
      </c>
      <c r="AG20" s="1">
        <f t="shared" ref="AG20" si="81">AG18-AG19</f>
        <v>21703.49933303165</v>
      </c>
      <c r="AH20" s="1">
        <f t="shared" ref="AH20" si="82">AH18-AH19</f>
        <v>22027.2175859813</v>
      </c>
      <c r="AI20" s="1">
        <f t="shared" ref="AI20" si="83">AI18-AI19</f>
        <v>22336.940743929292</v>
      </c>
      <c r="AJ20" s="1">
        <f>AI20*(1+$AN$24)</f>
        <v>21666.832521611414</v>
      </c>
      <c r="AK20" s="1">
        <f t="shared" ref="AK20:CV20" si="84">AJ20*(1+$AN$24)</f>
        <v>21016.827545963071</v>
      </c>
      <c r="AL20" s="1">
        <f t="shared" si="84"/>
        <v>20386.322719584179</v>
      </c>
      <c r="AM20" s="1">
        <f t="shared" si="84"/>
        <v>19774.733037996652</v>
      </c>
      <c r="AN20" s="1">
        <f t="shared" si="84"/>
        <v>19181.49104685675</v>
      </c>
      <c r="AO20" s="1">
        <f t="shared" si="84"/>
        <v>18606.046315451047</v>
      </c>
      <c r="AP20" s="1">
        <f t="shared" si="84"/>
        <v>18047.864925987516</v>
      </c>
      <c r="AQ20" s="1">
        <f t="shared" si="84"/>
        <v>17506.428978207892</v>
      </c>
      <c r="AR20" s="1">
        <f t="shared" si="84"/>
        <v>16981.236108861656</v>
      </c>
      <c r="AS20" s="1">
        <f t="shared" si="84"/>
        <v>16471.799025595807</v>
      </c>
      <c r="AT20" s="1">
        <f t="shared" si="84"/>
        <v>15977.645054827932</v>
      </c>
      <c r="AU20" s="1">
        <f t="shared" si="84"/>
        <v>15498.315703183094</v>
      </c>
      <c r="AV20" s="1">
        <f t="shared" si="84"/>
        <v>15033.366232087601</v>
      </c>
      <c r="AW20" s="1">
        <f t="shared" si="84"/>
        <v>14582.365245124973</v>
      </c>
      <c r="AX20" s="1">
        <f t="shared" si="84"/>
        <v>14144.894287771223</v>
      </c>
      <c r="AY20" s="1">
        <f t="shared" si="84"/>
        <v>13720.547459138086</v>
      </c>
      <c r="AZ20" s="1">
        <f t="shared" si="84"/>
        <v>13308.931035363943</v>
      </c>
      <c r="BA20" s="1">
        <f t="shared" si="84"/>
        <v>12909.663104303025</v>
      </c>
      <c r="BB20" s="1">
        <f t="shared" si="84"/>
        <v>12522.373211173934</v>
      </c>
      <c r="BC20" s="1">
        <f t="shared" si="84"/>
        <v>12146.702014838715</v>
      </c>
      <c r="BD20" s="1">
        <f t="shared" si="84"/>
        <v>11782.300954393553</v>
      </c>
      <c r="BE20" s="1">
        <f t="shared" si="84"/>
        <v>11428.831925761746</v>
      </c>
      <c r="BF20" s="1">
        <f t="shared" si="84"/>
        <v>11085.966967988894</v>
      </c>
      <c r="BG20" s="1">
        <f t="shared" si="84"/>
        <v>10753.387958949226</v>
      </c>
      <c r="BH20" s="1">
        <f t="shared" si="84"/>
        <v>10430.786320180749</v>
      </c>
      <c r="BI20" s="1">
        <f t="shared" si="84"/>
        <v>10117.862730575325</v>
      </c>
      <c r="BJ20" s="1">
        <f t="shared" si="84"/>
        <v>9814.3268486580655</v>
      </c>
      <c r="BK20" s="1">
        <f t="shared" si="84"/>
        <v>9519.8970431983234</v>
      </c>
      <c r="BL20" s="1">
        <f t="shared" si="84"/>
        <v>9234.3001319023733</v>
      </c>
      <c r="BM20" s="1">
        <f t="shared" si="84"/>
        <v>8957.2711279453015</v>
      </c>
      <c r="BN20" s="1">
        <f t="shared" si="84"/>
        <v>8688.5529941069417</v>
      </c>
      <c r="BO20" s="1">
        <f t="shared" si="84"/>
        <v>8427.8964042837324</v>
      </c>
      <c r="BP20" s="1">
        <f t="shared" si="84"/>
        <v>8175.0595121552205</v>
      </c>
      <c r="BQ20" s="1">
        <f t="shared" si="84"/>
        <v>7929.8077267905637</v>
      </c>
      <c r="BR20" s="1">
        <f t="shared" si="84"/>
        <v>7691.9134949868467</v>
      </c>
      <c r="BS20" s="1">
        <f t="shared" si="84"/>
        <v>7461.1560901372413</v>
      </c>
      <c r="BT20" s="1">
        <f t="shared" si="84"/>
        <v>7237.3214074331236</v>
      </c>
      <c r="BU20" s="1">
        <f t="shared" si="84"/>
        <v>7020.2017652101295</v>
      </c>
      <c r="BV20" s="1">
        <f t="shared" si="84"/>
        <v>6809.5957122538257</v>
      </c>
      <c r="BW20" s="1">
        <f t="shared" si="84"/>
        <v>6605.3078408862111</v>
      </c>
      <c r="BX20" s="1">
        <f t="shared" si="84"/>
        <v>6407.148605659625</v>
      </c>
      <c r="BY20" s="1">
        <f t="shared" si="84"/>
        <v>6214.9341474898365</v>
      </c>
      <c r="BZ20" s="1">
        <f t="shared" si="84"/>
        <v>6028.4861230651413</v>
      </c>
      <c r="CA20" s="1">
        <f t="shared" si="84"/>
        <v>5847.6315393731866</v>
      </c>
      <c r="CB20" s="1">
        <f t="shared" si="84"/>
        <v>5672.2025931919907</v>
      </c>
      <c r="CC20" s="1">
        <f t="shared" si="84"/>
        <v>5502.0365153962312</v>
      </c>
      <c r="CD20" s="1">
        <f t="shared" si="84"/>
        <v>5336.9754199343442</v>
      </c>
      <c r="CE20" s="1">
        <f t="shared" si="84"/>
        <v>5176.8661573363133</v>
      </c>
      <c r="CF20" s="1">
        <f t="shared" si="84"/>
        <v>5021.560172616224</v>
      </c>
      <c r="CG20" s="1">
        <f t="shared" si="84"/>
        <v>4870.9133674377372</v>
      </c>
      <c r="CH20" s="1">
        <f t="shared" si="84"/>
        <v>4724.7859664146054</v>
      </c>
      <c r="CI20" s="1">
        <f t="shared" si="84"/>
        <v>4583.0423874221669</v>
      </c>
      <c r="CJ20" s="1">
        <f t="shared" si="84"/>
        <v>4445.5511157995015</v>
      </c>
      <c r="CK20" s="1">
        <f t="shared" si="84"/>
        <v>4312.1845823255162</v>
      </c>
      <c r="CL20" s="1">
        <f t="shared" si="84"/>
        <v>4182.8190448557507</v>
      </c>
      <c r="CM20" s="1">
        <f t="shared" si="84"/>
        <v>4057.3344735100782</v>
      </c>
      <c r="CN20" s="1">
        <f t="shared" si="84"/>
        <v>3935.6144393047757</v>
      </c>
      <c r="CO20" s="1">
        <f t="shared" si="84"/>
        <v>3817.5460061256322</v>
      </c>
      <c r="CP20" s="1">
        <f t="shared" si="84"/>
        <v>3703.0196259418631</v>
      </c>
      <c r="CQ20" s="1">
        <f t="shared" si="84"/>
        <v>3591.9290371636071</v>
      </c>
      <c r="CR20" s="1">
        <f t="shared" si="84"/>
        <v>3484.171166048699</v>
      </c>
      <c r="CS20" s="1">
        <f t="shared" si="84"/>
        <v>3379.6460310672378</v>
      </c>
      <c r="CT20" s="1">
        <f t="shared" si="84"/>
        <v>3278.2566501352208</v>
      </c>
      <c r="CU20" s="1">
        <f t="shared" si="84"/>
        <v>3179.9089506311639</v>
      </c>
      <c r="CV20" s="1">
        <f t="shared" si="84"/>
        <v>3084.5116821122288</v>
      </c>
      <c r="CW20" s="1">
        <f t="shared" ref="CW20:FH20" si="85">CV20*(1+$AN$24)</f>
        <v>2991.976331648862</v>
      </c>
      <c r="CX20" s="1">
        <f t="shared" si="85"/>
        <v>2902.2170416993958</v>
      </c>
      <c r="CY20" s="1">
        <f t="shared" si="85"/>
        <v>2815.150530448414</v>
      </c>
      <c r="CZ20" s="1">
        <f t="shared" si="85"/>
        <v>2730.6960145349617</v>
      </c>
      <c r="DA20" s="1">
        <f t="shared" si="85"/>
        <v>2648.775134098913</v>
      </c>
      <c r="DB20" s="1">
        <f t="shared" si="85"/>
        <v>2569.3118800759457</v>
      </c>
      <c r="DC20" s="1">
        <f t="shared" si="85"/>
        <v>2492.2325236736674</v>
      </c>
      <c r="DD20" s="1">
        <f t="shared" si="85"/>
        <v>2417.4655479634575</v>
      </c>
      <c r="DE20" s="1">
        <f t="shared" si="85"/>
        <v>2344.9415815245538</v>
      </c>
      <c r="DF20" s="1">
        <f t="shared" si="85"/>
        <v>2274.593334078817</v>
      </c>
      <c r="DG20" s="1">
        <f t="shared" si="85"/>
        <v>2206.3555340564526</v>
      </c>
      <c r="DH20" s="1">
        <f t="shared" si="85"/>
        <v>2140.1648680347589</v>
      </c>
      <c r="DI20" s="1">
        <f t="shared" si="85"/>
        <v>2075.9599219937163</v>
      </c>
      <c r="DJ20" s="1">
        <f t="shared" si="85"/>
        <v>2013.6811243339048</v>
      </c>
      <c r="DK20" s="1">
        <f t="shared" si="85"/>
        <v>1953.2706906038875</v>
      </c>
      <c r="DL20" s="1">
        <f t="shared" si="85"/>
        <v>1894.6725698857708</v>
      </c>
      <c r="DM20" s="1">
        <f t="shared" si="85"/>
        <v>1837.8323927891977</v>
      </c>
      <c r="DN20" s="1">
        <f t="shared" si="85"/>
        <v>1782.6974210055216</v>
      </c>
      <c r="DO20" s="1">
        <f t="shared" si="85"/>
        <v>1729.216498375356</v>
      </c>
      <c r="DP20" s="1">
        <f t="shared" si="85"/>
        <v>1677.3400034240951</v>
      </c>
      <c r="DQ20" s="1">
        <f t="shared" si="85"/>
        <v>1627.0198033213721</v>
      </c>
      <c r="DR20" s="1">
        <f t="shared" si="85"/>
        <v>1578.2092092217308</v>
      </c>
      <c r="DS20" s="1">
        <f t="shared" si="85"/>
        <v>1530.8629329450789</v>
      </c>
      <c r="DT20" s="1">
        <f t="shared" si="85"/>
        <v>1484.9370449567266</v>
      </c>
      <c r="DU20" s="1">
        <f t="shared" si="85"/>
        <v>1440.3889336080247</v>
      </c>
      <c r="DV20" s="1">
        <f t="shared" si="85"/>
        <v>1397.1772655997838</v>
      </c>
      <c r="DW20" s="1">
        <f t="shared" si="85"/>
        <v>1355.2619476317902</v>
      </c>
      <c r="DX20" s="1">
        <f t="shared" si="85"/>
        <v>1314.6040892028366</v>
      </c>
      <c r="DY20" s="1">
        <f t="shared" si="85"/>
        <v>1275.1659665267514</v>
      </c>
      <c r="DZ20" s="1">
        <f t="shared" si="85"/>
        <v>1236.9109875309489</v>
      </c>
      <c r="EA20" s="1">
        <f t="shared" si="85"/>
        <v>1199.8036579050204</v>
      </c>
      <c r="EB20" s="1">
        <f t="shared" si="85"/>
        <v>1163.8095481678697</v>
      </c>
      <c r="EC20" s="1">
        <f t="shared" si="85"/>
        <v>1128.8952617228335</v>
      </c>
      <c r="ED20" s="1">
        <f t="shared" si="85"/>
        <v>1095.0284038711486</v>
      </c>
      <c r="EE20" s="1">
        <f t="shared" si="85"/>
        <v>1062.1775517550141</v>
      </c>
      <c r="EF20" s="1">
        <f t="shared" si="85"/>
        <v>1030.3122252023636</v>
      </c>
      <c r="EG20" s="1">
        <f t="shared" si="85"/>
        <v>999.40285844629273</v>
      </c>
      <c r="EH20" s="1">
        <f t="shared" si="85"/>
        <v>969.42077269290394</v>
      </c>
      <c r="EI20" s="1">
        <f t="shared" si="85"/>
        <v>940.33814951211684</v>
      </c>
      <c r="EJ20" s="1">
        <f t="shared" si="85"/>
        <v>912.12800502675327</v>
      </c>
      <c r="EK20" s="1">
        <f t="shared" si="85"/>
        <v>884.76416487595066</v>
      </c>
      <c r="EL20" s="1">
        <f t="shared" si="85"/>
        <v>858.22123992967215</v>
      </c>
      <c r="EM20" s="1">
        <f t="shared" si="85"/>
        <v>832.47460273178194</v>
      </c>
      <c r="EN20" s="1">
        <f t="shared" si="85"/>
        <v>807.5003646498285</v>
      </c>
      <c r="EO20" s="1">
        <f t="shared" si="85"/>
        <v>783.27535371033366</v>
      </c>
      <c r="EP20" s="1">
        <f t="shared" si="85"/>
        <v>759.77709309902366</v>
      </c>
      <c r="EQ20" s="1">
        <f t="shared" si="85"/>
        <v>736.98378030605295</v>
      </c>
      <c r="ER20" s="1">
        <f t="shared" si="85"/>
        <v>714.87426689687129</v>
      </c>
      <c r="ES20" s="1">
        <f t="shared" si="85"/>
        <v>693.42803888996514</v>
      </c>
      <c r="ET20" s="1">
        <f t="shared" si="85"/>
        <v>672.62519772326618</v>
      </c>
      <c r="EU20" s="1">
        <f t="shared" si="85"/>
        <v>652.44644179156819</v>
      </c>
      <c r="EV20" s="1">
        <f t="shared" si="85"/>
        <v>632.87304853782109</v>
      </c>
      <c r="EW20" s="1">
        <f t="shared" si="85"/>
        <v>613.88685708168646</v>
      </c>
      <c r="EX20" s="1">
        <f t="shared" si="85"/>
        <v>595.47025136923583</v>
      </c>
      <c r="EY20" s="1">
        <f t="shared" si="85"/>
        <v>577.60614382815868</v>
      </c>
      <c r="EZ20" s="1">
        <f t="shared" si="85"/>
        <v>560.27795951331393</v>
      </c>
      <c r="FA20" s="1">
        <f t="shared" si="85"/>
        <v>543.4696207279145</v>
      </c>
      <c r="FB20" s="1">
        <f t="shared" si="85"/>
        <v>527.16553210607708</v>
      </c>
      <c r="FC20" s="1">
        <f t="shared" si="85"/>
        <v>511.35056614289476</v>
      </c>
      <c r="FD20" s="1">
        <f t="shared" si="85"/>
        <v>496.0100491586079</v>
      </c>
      <c r="FE20" s="1">
        <f t="shared" si="85"/>
        <v>481.12974768384964</v>
      </c>
      <c r="FF20" s="1">
        <f t="shared" si="85"/>
        <v>466.69585525333412</v>
      </c>
      <c r="FG20" s="1">
        <f t="shared" si="85"/>
        <v>452.69497959573408</v>
      </c>
      <c r="FH20" s="1">
        <f t="shared" si="85"/>
        <v>439.11413020786205</v>
      </c>
      <c r="FI20" s="1">
        <f t="shared" ref="FI20" si="86">FH20*(1+$AN$24)</f>
        <v>425.94070630162616</v>
      </c>
    </row>
    <row r="21" spans="2:165" s="1" customFormat="1" x14ac:dyDescent="0.2">
      <c r="B21" s="1" t="s">
        <v>1</v>
      </c>
      <c r="C21" s="1">
        <v>1001</v>
      </c>
      <c r="D21" s="1">
        <v>997</v>
      </c>
      <c r="E21" s="1">
        <v>1000</v>
      </c>
      <c r="F21" s="1">
        <v>986</v>
      </c>
      <c r="G21" s="1">
        <v>988</v>
      </c>
      <c r="H21" s="1">
        <v>986</v>
      </c>
      <c r="I21" s="1">
        <v>981</v>
      </c>
      <c r="J21" s="1">
        <v>984</v>
      </c>
      <c r="K21" s="1">
        <v>985</v>
      </c>
      <c r="L21" s="1">
        <v>973</v>
      </c>
      <c r="M21" s="1">
        <v>965</v>
      </c>
      <c r="N21" s="1">
        <f>M21</f>
        <v>965</v>
      </c>
      <c r="O21" s="1">
        <f t="shared" ref="O21:R21" si="87">N21</f>
        <v>965</v>
      </c>
      <c r="P21" s="1">
        <f t="shared" si="87"/>
        <v>965</v>
      </c>
      <c r="Q21" s="1">
        <f t="shared" si="87"/>
        <v>965</v>
      </c>
      <c r="R21" s="1">
        <f t="shared" si="87"/>
        <v>965</v>
      </c>
      <c r="U21" s="1">
        <f>AVERAGE(C21:F21)</f>
        <v>996</v>
      </c>
      <c r="V21" s="1">
        <f>AVERAGE(D21:G21)</f>
        <v>992.75</v>
      </c>
      <c r="W21" s="1">
        <f>AVERAGE(E21:H21)</f>
        <v>990</v>
      </c>
    </row>
    <row r="22" spans="2:165" s="4" customFormat="1" x14ac:dyDescent="0.2">
      <c r="B22" s="4" t="s">
        <v>42</v>
      </c>
      <c r="C22" s="4">
        <f t="shared" ref="C22:M22" si="88">C20/C21</f>
        <v>2.7972027972027972E-2</v>
      </c>
      <c r="D22" s="4">
        <f t="shared" si="88"/>
        <v>6.820461384152457E-2</v>
      </c>
      <c r="E22" s="4">
        <f t="shared" si="88"/>
        <v>0.21</v>
      </c>
      <c r="F22" s="4">
        <f t="shared" si="88"/>
        <v>-2.8397565922920892E-2</v>
      </c>
      <c r="G22" s="4">
        <f t="shared" si="88"/>
        <v>0.20141700404858301</v>
      </c>
      <c r="H22" s="4">
        <f t="shared" si="88"/>
        <v>1.2849898580121704</v>
      </c>
      <c r="I22" s="4">
        <f t="shared" si="88"/>
        <v>1.2477064220183487</v>
      </c>
      <c r="J22" s="4">
        <f t="shared" si="88"/>
        <v>-9.959349593495935E-2</v>
      </c>
      <c r="K22" s="4">
        <f t="shared" si="88"/>
        <v>1.5563451776649746</v>
      </c>
      <c r="L22" s="4">
        <f t="shared" si="88"/>
        <v>1.4686536485097637</v>
      </c>
      <c r="M22" s="4">
        <f t="shared" si="88"/>
        <v>1.5823834196891191</v>
      </c>
      <c r="N22" s="4">
        <f t="shared" ref="N22:R22" si="89">N20/N21</f>
        <v>1.6687882279792741</v>
      </c>
      <c r="O22" s="4">
        <f t="shared" si="89"/>
        <v>1.5730013678756474</v>
      </c>
      <c r="P22" s="4">
        <f t="shared" si="89"/>
        <v>1.6793396891191714</v>
      </c>
      <c r="Q22" s="4">
        <f t="shared" si="89"/>
        <v>1.6658057616580306</v>
      </c>
      <c r="R22" s="4">
        <f t="shared" si="89"/>
        <v>1.8799082644559573</v>
      </c>
      <c r="U22" s="4">
        <f t="shared" ref="U22:W22" si="90">U20/U21</f>
        <v>0.27911646586345379</v>
      </c>
      <c r="V22" s="4">
        <f t="shared" si="90"/>
        <v>2.6109292369680182</v>
      </c>
      <c r="W22" s="4">
        <f t="shared" si="90"/>
        <v>6.5757331313131315</v>
      </c>
    </row>
    <row r="23" spans="2:165" x14ac:dyDescent="0.2">
      <c r="AM23" t="s">
        <v>84</v>
      </c>
      <c r="AN23" s="3">
        <v>0.01</v>
      </c>
    </row>
    <row r="24" spans="2:165" x14ac:dyDescent="0.2">
      <c r="AM24" t="s">
        <v>89</v>
      </c>
      <c r="AN24" s="3">
        <v>-0.03</v>
      </c>
    </row>
    <row r="25" spans="2:165" x14ac:dyDescent="0.2">
      <c r="AM25" t="s">
        <v>85</v>
      </c>
      <c r="AN25" s="3">
        <v>7.0000000000000007E-2</v>
      </c>
    </row>
    <row r="26" spans="2:165" x14ac:dyDescent="0.2">
      <c r="AM26" t="s">
        <v>86</v>
      </c>
      <c r="AN26" s="5">
        <f>NPV(AN25,X20:FI20)</f>
        <v>220161.25995408455</v>
      </c>
    </row>
    <row r="27" spans="2:165" x14ac:dyDescent="0.2">
      <c r="AM27" t="s">
        <v>1</v>
      </c>
      <c r="AN27" s="1">
        <v>957</v>
      </c>
    </row>
    <row r="28" spans="2:165" x14ac:dyDescent="0.2">
      <c r="AM28" t="s">
        <v>0</v>
      </c>
      <c r="AN28" s="4">
        <f>AN26/AN27</f>
        <v>230.05356317041227</v>
      </c>
    </row>
    <row r="29" spans="2:165" x14ac:dyDescent="0.2">
      <c r="AM29" t="s">
        <v>87</v>
      </c>
      <c r="AN29">
        <v>324.20999999999998</v>
      </c>
    </row>
    <row r="30" spans="2:165" s="3" customFormat="1" x14ac:dyDescent="0.2">
      <c r="B30" s="3" t="s">
        <v>30</v>
      </c>
      <c r="C30" s="3">
        <f t="shared" ref="C30:L30" si="91">(C4-C7)/C4</f>
        <v>0.78996499416569432</v>
      </c>
      <c r="D30" s="3">
        <f t="shared" si="91"/>
        <v>0.79140417191656165</v>
      </c>
      <c r="E30" s="3">
        <f t="shared" si="91"/>
        <v>0.79939167703580816</v>
      </c>
      <c r="F30" s="3">
        <f t="shared" si="91"/>
        <v>0.78676039835969536</v>
      </c>
      <c r="G30" s="3">
        <f t="shared" si="91"/>
        <v>0.80240774666317716</v>
      </c>
      <c r="H30" s="3">
        <f t="shared" si="91"/>
        <v>0.81076692480639523</v>
      </c>
      <c r="I30" s="3">
        <f t="shared" si="91"/>
        <v>0.80702616386193338</v>
      </c>
      <c r="J30" s="3">
        <f t="shared" si="91"/>
        <v>0.81512389266914875</v>
      </c>
      <c r="K30" s="3">
        <f t="shared" si="91"/>
        <v>0.81828771112405363</v>
      </c>
      <c r="L30" s="3">
        <f t="shared" si="91"/>
        <v>0.82245549977179366</v>
      </c>
      <c r="M30" s="3">
        <f>(M4-M7)/M4</f>
        <v>0.83094943124225706</v>
      </c>
      <c r="AM30" s="3" t="s">
        <v>88</v>
      </c>
      <c r="AN30" s="3">
        <f>AN28/AN29-1</f>
        <v>-0.29041805258809938</v>
      </c>
    </row>
    <row r="31" spans="2:165" s="3" customFormat="1" x14ac:dyDescent="0.2">
      <c r="B31" s="3" t="s">
        <v>31</v>
      </c>
      <c r="C31" s="3">
        <f t="shared" ref="C31:L31" si="92">(C5-C8)/C5</f>
        <v>-9.0090090090090086E-2</v>
      </c>
      <c r="D31" s="3">
        <f t="shared" si="92"/>
        <v>-0.10398613518197573</v>
      </c>
      <c r="E31" s="3">
        <f t="shared" si="92"/>
        <v>-5.4635761589403975E-2</v>
      </c>
      <c r="F31" s="3">
        <f t="shared" si="92"/>
        <v>-0.12048192771084337</v>
      </c>
      <c r="G31" s="3">
        <f t="shared" si="92"/>
        <v>-1.6528925619834711E-2</v>
      </c>
      <c r="H31" s="3">
        <f t="shared" si="92"/>
        <v>-1.6750418760469012E-3</v>
      </c>
      <c r="I31" s="3">
        <f t="shared" si="92"/>
        <v>-8.6355785837651123E-3</v>
      </c>
      <c r="J31" s="3">
        <f t="shared" si="92"/>
        <v>-0.1092436974789916</v>
      </c>
      <c r="K31" s="3">
        <f t="shared" si="92"/>
        <v>-9.8540145985401464E-2</v>
      </c>
      <c r="L31" s="3">
        <f t="shared" si="92"/>
        <v>-7.4866310160427801E-2</v>
      </c>
      <c r="M31" s="3">
        <f>(M5-M8)/M5</f>
        <v>-6.9026548672566371E-2</v>
      </c>
    </row>
    <row r="32" spans="2:165" s="3" customFormat="1" x14ac:dyDescent="0.2">
      <c r="B32" s="3" t="s">
        <v>34</v>
      </c>
      <c r="C32" s="3">
        <f t="shared" ref="C32:L32" si="93">C10/C6</f>
        <v>0.72405883146673866</v>
      </c>
      <c r="D32" s="3">
        <f t="shared" si="93"/>
        <v>0.72448186528497405</v>
      </c>
      <c r="E32" s="3">
        <f t="shared" si="93"/>
        <v>0.73357151971417633</v>
      </c>
      <c r="F32" s="3">
        <f t="shared" si="93"/>
        <v>0.72508872508872513</v>
      </c>
      <c r="G32" s="3">
        <f t="shared" si="93"/>
        <v>0.74233054444040258</v>
      </c>
      <c r="H32" s="3">
        <f t="shared" si="93"/>
        <v>0.75438800418458674</v>
      </c>
      <c r="I32" s="3">
        <f t="shared" si="93"/>
        <v>0.75286697247706424</v>
      </c>
      <c r="J32" s="3">
        <f t="shared" si="93"/>
        <v>0.74952290076335881</v>
      </c>
      <c r="K32" s="3">
        <f t="shared" si="93"/>
        <v>0.7632760319719698</v>
      </c>
      <c r="L32" s="3">
        <f t="shared" si="93"/>
        <v>0.76847184986595174</v>
      </c>
      <c r="M32" s="3">
        <f>M10/M6</f>
        <v>0.77710715798390517</v>
      </c>
      <c r="N32" s="3">
        <f t="shared" ref="N32:R32" si="94">N10/N6</f>
        <v>0.79</v>
      </c>
      <c r="O32" s="3">
        <f t="shared" si="94"/>
        <v>0.79</v>
      </c>
      <c r="P32" s="3">
        <f t="shared" si="94"/>
        <v>0.79</v>
      </c>
      <c r="Q32" s="3">
        <f t="shared" si="94"/>
        <v>0.79</v>
      </c>
      <c r="R32" s="3">
        <f t="shared" si="94"/>
        <v>0.79</v>
      </c>
      <c r="U32" s="3">
        <f t="shared" ref="U32:V32" si="95">U10/U6</f>
        <v>0.72687660922955044</v>
      </c>
      <c r="V32" s="3">
        <f t="shared" si="95"/>
        <v>0.74986746775048596</v>
      </c>
      <c r="W32" s="3">
        <f t="shared" ref="W32:AI32" si="96">W10/W6</f>
        <v>0.77501389424503708</v>
      </c>
      <c r="X32" s="3">
        <f t="shared" si="96"/>
        <v>0.8</v>
      </c>
      <c r="Y32" s="3">
        <f t="shared" si="96"/>
        <v>0.79999999999999993</v>
      </c>
      <c r="Z32" s="3">
        <f t="shared" si="96"/>
        <v>0.8</v>
      </c>
      <c r="AA32" s="3">
        <f t="shared" si="96"/>
        <v>0.8</v>
      </c>
      <c r="AB32" s="3">
        <f t="shared" si="96"/>
        <v>0.8</v>
      </c>
      <c r="AC32" s="3">
        <f t="shared" si="96"/>
        <v>0.8</v>
      </c>
      <c r="AD32" s="3">
        <f t="shared" si="96"/>
        <v>0.8</v>
      </c>
      <c r="AE32" s="3">
        <f t="shared" si="96"/>
        <v>0.8</v>
      </c>
      <c r="AF32" s="3">
        <f t="shared" si="96"/>
        <v>0.8</v>
      </c>
      <c r="AG32" s="3">
        <f t="shared" si="96"/>
        <v>0.8</v>
      </c>
      <c r="AH32" s="3">
        <f t="shared" si="96"/>
        <v>0.8</v>
      </c>
      <c r="AI32" s="3">
        <f t="shared" si="96"/>
        <v>0.8</v>
      </c>
    </row>
    <row r="33" spans="2:35" s="3" customFormat="1" x14ac:dyDescent="0.2">
      <c r="B33" s="3" t="s">
        <v>48</v>
      </c>
      <c r="C33" s="3">
        <f t="shared" ref="C33:L33" si="97">C16/C6</f>
        <v>2.698691134799622E-3</v>
      </c>
      <c r="D33" s="3">
        <f t="shared" si="97"/>
        <v>2.5000000000000001E-2</v>
      </c>
      <c r="E33" s="3">
        <f t="shared" si="97"/>
        <v>5.8695929564884522E-2</v>
      </c>
      <c r="F33" s="3">
        <f t="shared" si="97"/>
        <v>-2.4024024024024024E-2</v>
      </c>
      <c r="G33" s="3">
        <f t="shared" si="97"/>
        <v>4.9957560324966656E-2</v>
      </c>
      <c r="H33" s="3">
        <f t="shared" si="97"/>
        <v>0.17156805765430663</v>
      </c>
      <c r="I33" s="3">
        <f t="shared" si="97"/>
        <v>0.17213302752293577</v>
      </c>
      <c r="J33" s="3">
        <f t="shared" si="97"/>
        <v>4.2581106870229007E-2</v>
      </c>
      <c r="K33" s="3">
        <f t="shared" si="97"/>
        <v>0.18712361765027921</v>
      </c>
      <c r="L33" s="3">
        <f t="shared" si="97"/>
        <v>0.1912064343163539</v>
      </c>
      <c r="M33" s="3">
        <f>M16/M6</f>
        <v>0.20044472681067343</v>
      </c>
      <c r="N33" s="3">
        <f t="shared" ref="N33:R33" si="98">N16/N6</f>
        <v>0.203227838005375</v>
      </c>
      <c r="O33" s="3">
        <f t="shared" si="98"/>
        <v>0.19525916618557632</v>
      </c>
      <c r="P33" s="3">
        <f t="shared" si="98"/>
        <v>0.20417002212333638</v>
      </c>
      <c r="Q33" s="3">
        <f t="shared" si="98"/>
        <v>0.19996638330988051</v>
      </c>
      <c r="R33" s="3">
        <f t="shared" si="98"/>
        <v>0.19377883187744221</v>
      </c>
      <c r="U33" s="3">
        <f t="shared" ref="U33:V33" si="99">U16/U6</f>
        <v>1.6405888954908562E-2</v>
      </c>
      <c r="V33" s="3">
        <f t="shared" si="99"/>
        <v>0.11032573481769453</v>
      </c>
      <c r="W33" s="3">
        <f t="shared" ref="W33:AI33" si="100">W16/W6</f>
        <v>0.19567730543163678</v>
      </c>
      <c r="X33" s="3">
        <f t="shared" si="100"/>
        <v>0.21854543030753171</v>
      </c>
      <c r="Y33" s="3">
        <f t="shared" si="100"/>
        <v>0.21911929461033988</v>
      </c>
      <c r="Z33" s="3">
        <f t="shared" si="100"/>
        <v>0.24552296303714263</v>
      </c>
      <c r="AA33" s="3">
        <f t="shared" si="100"/>
        <v>0.28199692580599239</v>
      </c>
      <c r="AB33" s="3">
        <f t="shared" si="100"/>
        <v>0.31605253145546064</v>
      </c>
      <c r="AC33" s="3">
        <f t="shared" si="100"/>
        <v>0.35472492208089085</v>
      </c>
      <c r="AD33" s="3">
        <f t="shared" si="100"/>
        <v>0.36365527759501048</v>
      </c>
      <c r="AE33" s="3">
        <f t="shared" si="100"/>
        <v>0.36361579734151722</v>
      </c>
      <c r="AF33" s="3">
        <f t="shared" si="100"/>
        <v>0.36325850979041047</v>
      </c>
      <c r="AG33" s="3">
        <f t="shared" si="100"/>
        <v>0.36258897595043033</v>
      </c>
      <c r="AH33" s="3">
        <f t="shared" si="100"/>
        <v>0.36161241830414709</v>
      </c>
      <c r="AI33" s="3">
        <f t="shared" si="100"/>
        <v>0.3603337312539151</v>
      </c>
    </row>
    <row r="34" spans="2:35" s="3" customFormat="1" x14ac:dyDescent="0.2"/>
    <row r="36" spans="2:35" s="3" customFormat="1" x14ac:dyDescent="0.2">
      <c r="B36" s="3" t="s">
        <v>24</v>
      </c>
      <c r="G36" s="3">
        <f t="shared" ref="G36:L36" si="101">G6/C6-1</f>
        <v>0.11280528943462431</v>
      </c>
      <c r="H36" s="3">
        <f t="shared" si="101"/>
        <v>0.11437823834196892</v>
      </c>
      <c r="I36" s="3">
        <f t="shared" si="101"/>
        <v>0.11267066479520227</v>
      </c>
      <c r="J36" s="3">
        <f t="shared" si="101"/>
        <v>0.14441714441714448</v>
      </c>
      <c r="K36" s="3">
        <f t="shared" si="101"/>
        <v>0.10743300594155447</v>
      </c>
      <c r="L36" s="3">
        <f t="shared" si="101"/>
        <v>8.3924212484017158E-2</v>
      </c>
      <c r="M36" s="3">
        <f>M6/I6-1</f>
        <v>8.3027522935779752E-2</v>
      </c>
      <c r="N36" s="3">
        <f t="shared" ref="N36:R36" si="102">N6/J6-1</f>
        <v>0.18141937022900745</v>
      </c>
      <c r="O36" s="3">
        <f t="shared" si="102"/>
        <v>6.3999781013905688E-2</v>
      </c>
      <c r="P36" s="3">
        <f t="shared" si="102"/>
        <v>6.3983914209115422E-2</v>
      </c>
      <c r="Q36" s="3">
        <f t="shared" si="102"/>
        <v>6.4017365523083347E-2</v>
      </c>
      <c r="R36" s="3">
        <f t="shared" si="102"/>
        <v>0.18144169320203285</v>
      </c>
      <c r="V36" s="3">
        <f>V6/U6-1</f>
        <v>0.12081600316894425</v>
      </c>
      <c r="W36" s="3">
        <f>W6/V6-1</f>
        <v>0.11347764622724843</v>
      </c>
      <c r="X36" s="3">
        <f t="shared" ref="X36:AI36" si="103">X6/W6-1</f>
        <v>0.10000000000000009</v>
      </c>
      <c r="Y36" s="3">
        <f t="shared" si="103"/>
        <v>0.10000000000000009</v>
      </c>
      <c r="Z36" s="3">
        <f t="shared" si="103"/>
        <v>0.10000000000000009</v>
      </c>
      <c r="AA36" s="3">
        <f t="shared" si="103"/>
        <v>0.10000000000000009</v>
      </c>
      <c r="AB36" s="3">
        <f t="shared" si="103"/>
        <v>0.10000000000000009</v>
      </c>
      <c r="AC36" s="3">
        <f t="shared" si="103"/>
        <v>0.10000000000000009</v>
      </c>
      <c r="AD36" s="3">
        <f t="shared" si="103"/>
        <v>3.0000000000000027E-2</v>
      </c>
      <c r="AE36" s="3">
        <f t="shared" si="103"/>
        <v>1.0000000000000009E-2</v>
      </c>
      <c r="AF36" s="3">
        <f t="shared" si="103"/>
        <v>1.0000000000000009E-2</v>
      </c>
      <c r="AG36" s="3">
        <f t="shared" si="103"/>
        <v>1.0000000000000009E-2</v>
      </c>
      <c r="AH36" s="3">
        <f t="shared" si="103"/>
        <v>1.0000000000000009E-2</v>
      </c>
      <c r="AI36" s="3">
        <f t="shared" si="103"/>
        <v>1.0000000000000009E-2</v>
      </c>
    </row>
    <row r="37" spans="2:35" s="3" customFormat="1" x14ac:dyDescent="0.2">
      <c r="B37" s="3" t="s">
        <v>68</v>
      </c>
      <c r="G37" s="3">
        <f t="shared" ref="G37:P37" si="104">G4/C4-1</f>
        <v>0.11464410735122521</v>
      </c>
      <c r="H37" s="3">
        <f t="shared" si="104"/>
        <v>0.12081758364832695</v>
      </c>
      <c r="I37" s="3">
        <f t="shared" si="104"/>
        <v>0.12553573897414627</v>
      </c>
      <c r="J37" s="3">
        <f t="shared" si="104"/>
        <v>0.1407439953134153</v>
      </c>
      <c r="K37" s="3">
        <f t="shared" si="104"/>
        <v>0.12339701648783041</v>
      </c>
      <c r="L37" s="3">
        <f t="shared" si="104"/>
        <v>9.4678990756932313E-2</v>
      </c>
      <c r="M37" s="3">
        <f t="shared" si="104"/>
        <v>9.0652254022847378E-2</v>
      </c>
      <c r="N37" s="3">
        <f t="shared" si="104"/>
        <v>0.17999999999999972</v>
      </c>
      <c r="O37" s="3">
        <f t="shared" si="104"/>
        <v>7.0000000000000062E-2</v>
      </c>
      <c r="P37" s="3">
        <f t="shared" si="104"/>
        <v>7.0000000000000062E-2</v>
      </c>
      <c r="Q37" s="3">
        <f>Q4/M4-1</f>
        <v>7.0000000000000062E-2</v>
      </c>
      <c r="R37" s="3">
        <f>R4/N4-1</f>
        <v>0.17999999999999994</v>
      </c>
      <c r="V37" s="3">
        <f t="shared" ref="V37:W39" si="105">V11/U11-1</f>
        <v>-8.7964737447297825E-2</v>
      </c>
      <c r="W37" s="3">
        <f t="shared" si="105"/>
        <v>0.12368985080899342</v>
      </c>
    </row>
    <row r="38" spans="2:35" s="3" customFormat="1" x14ac:dyDescent="0.2">
      <c r="B38" s="3" t="s">
        <v>69</v>
      </c>
      <c r="G38" s="3">
        <f t="shared" ref="G38:P38" si="106">G5/C5-1</f>
        <v>9.0090090090090058E-2</v>
      </c>
      <c r="H38" s="3">
        <f t="shared" si="106"/>
        <v>3.4662045060658508E-2</v>
      </c>
      <c r="I38" s="3">
        <f t="shared" si="106"/>
        <v>-4.1390728476821237E-2</v>
      </c>
      <c r="J38" s="3">
        <f t="shared" si="106"/>
        <v>0.19477911646586343</v>
      </c>
      <c r="K38" s="3">
        <f t="shared" si="106"/>
        <v>-9.4214876033057893E-2</v>
      </c>
      <c r="L38" s="3">
        <f t="shared" si="106"/>
        <v>-6.0301507537688481E-2</v>
      </c>
      <c r="M38" s="3">
        <f t="shared" si="106"/>
        <v>-2.4179620034542326E-2</v>
      </c>
      <c r="N38" s="3">
        <f t="shared" si="106"/>
        <v>0.19999999999999996</v>
      </c>
      <c r="O38" s="3">
        <f t="shared" si="106"/>
        <v>-3.0000000000000138E-2</v>
      </c>
      <c r="P38" s="3">
        <f t="shared" si="106"/>
        <v>-3.0000000000000027E-2</v>
      </c>
      <c r="Q38" s="3">
        <f>Q5/M5-1</f>
        <v>-3.0000000000000027E-2</v>
      </c>
      <c r="R38" s="3">
        <f>R5/N5-1</f>
        <v>0.19999999999999996</v>
      </c>
      <c r="V38" s="3">
        <f t="shared" si="105"/>
        <v>-5.7331863285556728E-2</v>
      </c>
      <c r="W38" s="3">
        <f t="shared" si="105"/>
        <v>6.6569200779727167E-2</v>
      </c>
    </row>
    <row r="39" spans="2:35" s="3" customFormat="1" x14ac:dyDescent="0.2">
      <c r="B39" s="3" t="s">
        <v>43</v>
      </c>
      <c r="G39" s="3">
        <f t="shared" ref="G39:R41" si="107">G11/C11-1</f>
        <v>-8.4218512898330822E-2</v>
      </c>
      <c r="H39" s="3">
        <f t="shared" si="107"/>
        <v>-8.2016553799849512E-2</v>
      </c>
      <c r="I39" s="3">
        <f t="shared" si="107"/>
        <v>-5.9374999999999956E-2</v>
      </c>
      <c r="J39" s="3">
        <f t="shared" si="107"/>
        <v>-0.12625871417505807</v>
      </c>
      <c r="K39" s="3">
        <f t="shared" si="107"/>
        <v>0.13338856669428334</v>
      </c>
      <c r="L39" s="3">
        <f t="shared" si="107"/>
        <v>0.1057377049180328</v>
      </c>
      <c r="M39" s="3">
        <f t="shared" si="107"/>
        <v>0.12624584717607967</v>
      </c>
      <c r="N39" s="3">
        <f t="shared" si="107"/>
        <v>0.12999999999999989</v>
      </c>
      <c r="O39" s="3">
        <f t="shared" si="107"/>
        <v>0.10000000000000009</v>
      </c>
      <c r="P39" s="3">
        <f t="shared" si="107"/>
        <v>0.10000000000000009</v>
      </c>
      <c r="Q39" s="3">
        <f t="shared" si="107"/>
        <v>0.10000000000000009</v>
      </c>
      <c r="R39" s="3">
        <f t="shared" si="107"/>
        <v>0.10000000000000009</v>
      </c>
      <c r="V39" s="3">
        <f t="shared" si="105"/>
        <v>-7.8518518518518543E-2</v>
      </c>
      <c r="W39" s="3">
        <f t="shared" si="105"/>
        <v>9.0675241157556208E-2</v>
      </c>
      <c r="X39" s="3">
        <f t="shared" ref="X39:AI39" si="108">X11/W11-1</f>
        <v>0.14999999999999991</v>
      </c>
      <c r="Y39" s="3">
        <f t="shared" si="108"/>
        <v>0.12000000000000011</v>
      </c>
      <c r="Z39" s="3">
        <f t="shared" si="108"/>
        <v>5.0000000000000044E-2</v>
      </c>
      <c r="AA39" s="3">
        <f t="shared" si="108"/>
        <v>3.0000000000000027E-2</v>
      </c>
      <c r="AB39" s="3">
        <f t="shared" si="108"/>
        <v>3.0000000000000027E-2</v>
      </c>
      <c r="AC39" s="3">
        <f t="shared" si="108"/>
        <v>-3.0000000000000027E-2</v>
      </c>
      <c r="AD39" s="3">
        <f t="shared" si="108"/>
        <v>-3.0000000000000027E-2</v>
      </c>
      <c r="AE39" s="3">
        <f t="shared" si="108"/>
        <v>-3.0000000000000027E-2</v>
      </c>
      <c r="AF39" s="3">
        <f t="shared" si="108"/>
        <v>-3.0000000000000027E-2</v>
      </c>
      <c r="AG39" s="3">
        <f t="shared" si="108"/>
        <v>-3.0000000000000027E-2</v>
      </c>
      <c r="AH39" s="3">
        <f t="shared" si="108"/>
        <v>-3.0000000000000027E-2</v>
      </c>
      <c r="AI39" s="3">
        <f t="shared" si="108"/>
        <v>-3.0000000000000027E-2</v>
      </c>
    </row>
    <row r="40" spans="2:35" s="3" customFormat="1" x14ac:dyDescent="0.2">
      <c r="B40" s="3" t="s">
        <v>44</v>
      </c>
      <c r="G40" s="3">
        <f t="shared" si="107"/>
        <v>-6.4650059311980979E-2</v>
      </c>
      <c r="H40" s="3">
        <f t="shared" si="107"/>
        <v>-9.0829439252336441E-2</v>
      </c>
      <c r="I40" s="3">
        <f t="shared" si="107"/>
        <v>-5.1420029895366204E-2</v>
      </c>
      <c r="J40" s="3">
        <f t="shared" si="107"/>
        <v>-2.280600461893767E-2</v>
      </c>
      <c r="K40" s="3">
        <f t="shared" si="107"/>
        <v>2.6949904882688669E-2</v>
      </c>
      <c r="L40" s="3">
        <f t="shared" si="107"/>
        <v>3.5656922582717687E-2</v>
      </c>
      <c r="M40" s="3">
        <f t="shared" si="107"/>
        <v>4.727387330601962E-2</v>
      </c>
      <c r="N40" s="3">
        <f t="shared" si="107"/>
        <v>0.14999999999999991</v>
      </c>
      <c r="O40" s="3">
        <f t="shared" si="107"/>
        <v>0.10000000000000009</v>
      </c>
      <c r="P40" s="3">
        <f t="shared" si="107"/>
        <v>0.10000000000000009</v>
      </c>
      <c r="Q40" s="3">
        <f t="shared" si="107"/>
        <v>0.10000000000000009</v>
      </c>
      <c r="R40" s="3">
        <f t="shared" si="107"/>
        <v>0.25</v>
      </c>
      <c r="X40" s="3">
        <f t="shared" ref="X40:AI40" si="109">X12/W12-1</f>
        <v>0.10000000000000009</v>
      </c>
      <c r="Y40" s="3">
        <f t="shared" si="109"/>
        <v>0.10000000000000009</v>
      </c>
      <c r="Z40" s="3">
        <f t="shared" si="109"/>
        <v>5.0000000000000044E-2</v>
      </c>
      <c r="AA40" s="3">
        <f t="shared" si="109"/>
        <v>3.0000000000000027E-2</v>
      </c>
      <c r="AB40" s="3">
        <f t="shared" si="109"/>
        <v>3.0000000000000027E-2</v>
      </c>
      <c r="AC40" s="3">
        <f t="shared" si="109"/>
        <v>3.0000000000000027E-2</v>
      </c>
      <c r="AD40" s="3">
        <f t="shared" si="109"/>
        <v>3.0000000000000027E-2</v>
      </c>
      <c r="AE40" s="3">
        <f t="shared" si="109"/>
        <v>3.0000000000000027E-2</v>
      </c>
      <c r="AF40" s="3">
        <f t="shared" si="109"/>
        <v>3.0000000000000027E-2</v>
      </c>
      <c r="AG40" s="3">
        <f t="shared" si="109"/>
        <v>3.0000000000000027E-2</v>
      </c>
      <c r="AH40" s="3">
        <f t="shared" si="109"/>
        <v>3.0000000000000027E-2</v>
      </c>
      <c r="AI40" s="3">
        <f t="shared" si="109"/>
        <v>3.0000000000000027E-2</v>
      </c>
    </row>
    <row r="41" spans="2:35" s="3" customFormat="1" x14ac:dyDescent="0.2">
      <c r="B41" s="3" t="s">
        <v>45</v>
      </c>
      <c r="G41" s="3">
        <f t="shared" si="107"/>
        <v>-2.7439024390243927E-2</v>
      </c>
      <c r="H41" s="3">
        <f t="shared" si="107"/>
        <v>-2.3183925811437356E-2</v>
      </c>
      <c r="I41" s="3">
        <f t="shared" si="107"/>
        <v>-4.8192771084337394E-2</v>
      </c>
      <c r="J41" s="3">
        <f t="shared" si="107"/>
        <v>-0.20054570259208726</v>
      </c>
      <c r="K41" s="3">
        <f t="shared" si="107"/>
        <v>1.4106583072100332E-2</v>
      </c>
      <c r="L41" s="3">
        <f t="shared" si="107"/>
        <v>0.125</v>
      </c>
      <c r="M41" s="3">
        <f t="shared" si="107"/>
        <v>0.125</v>
      </c>
      <c r="N41" s="3">
        <f t="shared" si="107"/>
        <v>0.10000000000000009</v>
      </c>
      <c r="O41" s="3">
        <f t="shared" si="107"/>
        <v>0.10000000000000009</v>
      </c>
      <c r="P41" s="3">
        <f t="shared" si="107"/>
        <v>0.10000000000000009</v>
      </c>
      <c r="Q41" s="3">
        <f t="shared" si="107"/>
        <v>0.10000000000000009</v>
      </c>
      <c r="R41" s="3">
        <f t="shared" si="107"/>
        <v>0.10000000000000009</v>
      </c>
      <c r="X41" s="3">
        <f t="shared" ref="X41:AI41" si="110">X13/W13-1</f>
        <v>0.10000000000000009</v>
      </c>
      <c r="Y41" s="3">
        <f t="shared" si="110"/>
        <v>5.0000000000000044E-2</v>
      </c>
      <c r="Z41" s="3">
        <f t="shared" si="110"/>
        <v>5.0000000000000044E-2</v>
      </c>
      <c r="AA41" s="3">
        <f t="shared" si="110"/>
        <v>1.0000000000000009E-2</v>
      </c>
      <c r="AB41" s="3">
        <f t="shared" si="110"/>
        <v>1.0000000000000009E-2</v>
      </c>
      <c r="AC41" s="3">
        <f t="shared" si="110"/>
        <v>1.0000000000000009E-2</v>
      </c>
      <c r="AD41" s="3">
        <f t="shared" si="110"/>
        <v>-2.0000000000000018E-2</v>
      </c>
      <c r="AE41" s="3">
        <f t="shared" si="110"/>
        <v>-2.0000000000000018E-2</v>
      </c>
      <c r="AF41" s="3">
        <f t="shared" si="110"/>
        <v>-2.0000000000000018E-2</v>
      </c>
      <c r="AG41" s="3">
        <f t="shared" si="110"/>
        <v>-2.0000000000000018E-2</v>
      </c>
      <c r="AH41" s="3">
        <f t="shared" si="110"/>
        <v>-2.0000000000000018E-2</v>
      </c>
      <c r="AI41" s="3">
        <f t="shared" si="110"/>
        <v>-2.0000000000000018E-2</v>
      </c>
    </row>
    <row r="44" spans="2:35" s="3" customFormat="1" x14ac:dyDescent="0.2">
      <c r="B44" s="3" t="s">
        <v>25</v>
      </c>
      <c r="C44" s="3">
        <f t="shared" ref="C44:L44" si="111">+C19/C18</f>
        <v>1.9655172413793103</v>
      </c>
      <c r="D44" s="3">
        <f t="shared" si="111"/>
        <v>0.62430939226519333</v>
      </c>
      <c r="E44" s="3">
        <f t="shared" si="111"/>
        <v>0.55789473684210522</v>
      </c>
      <c r="F44" s="3">
        <f t="shared" si="111"/>
        <v>0.85786802030456855</v>
      </c>
      <c r="G44" s="3">
        <f t="shared" si="111"/>
        <v>0.38957055214723929</v>
      </c>
      <c r="H44" s="3">
        <f t="shared" si="111"/>
        <v>0.15080428954423591</v>
      </c>
      <c r="I44" s="3">
        <f t="shared" si="111"/>
        <v>0.17686617350369871</v>
      </c>
      <c r="J44" s="3">
        <f t="shared" si="111"/>
        <v>3.9696969696969697</v>
      </c>
      <c r="K44" s="3">
        <f t="shared" si="111"/>
        <v>0.17889662560257097</v>
      </c>
      <c r="L44" s="3">
        <f t="shared" si="111"/>
        <v>0.22210125204137179</v>
      </c>
      <c r="M44" s="3">
        <f>+M19/M18</f>
        <v>0.12542955326460481</v>
      </c>
      <c r="U44" s="3">
        <f>+U19/U18</f>
        <v>0.35348837209302325</v>
      </c>
      <c r="V44" s="3">
        <f>+V19/V18</f>
        <v>0.22348711803475135</v>
      </c>
      <c r="W44" s="3">
        <f>+W19/W18</f>
        <v>0.12769705081986196</v>
      </c>
      <c r="X44" s="3">
        <f t="shared" ref="X44:AI44" si="112">+X19/X18</f>
        <v>0.2</v>
      </c>
      <c r="Y44" s="3">
        <f t="shared" si="112"/>
        <v>0.2</v>
      </c>
      <c r="Z44" s="3">
        <f t="shared" si="112"/>
        <v>0.20000000000000004</v>
      </c>
      <c r="AA44" s="3">
        <f t="shared" si="112"/>
        <v>0.2</v>
      </c>
      <c r="AB44" s="3">
        <f t="shared" si="112"/>
        <v>0.2</v>
      </c>
      <c r="AC44" s="3">
        <f t="shared" si="112"/>
        <v>0.2</v>
      </c>
      <c r="AD44" s="3">
        <f t="shared" si="112"/>
        <v>0.2</v>
      </c>
      <c r="AE44" s="3">
        <f t="shared" si="112"/>
        <v>0.2</v>
      </c>
      <c r="AF44" s="3">
        <f t="shared" si="112"/>
        <v>0.20000000000000004</v>
      </c>
      <c r="AG44" s="3">
        <f t="shared" si="112"/>
        <v>0.2</v>
      </c>
      <c r="AH44" s="3">
        <f t="shared" si="112"/>
        <v>0.2</v>
      </c>
      <c r="AI44" s="3">
        <f t="shared" si="112"/>
        <v>0.2</v>
      </c>
    </row>
    <row r="50" spans="2:35" x14ac:dyDescent="0.2">
      <c r="B50" t="s">
        <v>23</v>
      </c>
      <c r="M50">
        <v>-435</v>
      </c>
    </row>
    <row r="51" spans="2:35" x14ac:dyDescent="0.2">
      <c r="W51">
        <v>-435</v>
      </c>
      <c r="X51" s="1">
        <f>W51+X20</f>
        <v>6832.5652800000025</v>
      </c>
      <c r="Y51" s="1">
        <f t="shared" ref="Y51:AI51" si="113">X51+Y20</f>
        <v>14906.377434240008</v>
      </c>
      <c r="Z51" s="1">
        <f t="shared" si="113"/>
        <v>24909.625481713934</v>
      </c>
      <c r="AA51" s="1">
        <f t="shared" si="113"/>
        <v>37596.461352983657</v>
      </c>
      <c r="AB51" s="1">
        <f t="shared" si="113"/>
        <v>53292.425876183624</v>
      </c>
      <c r="AC51" s="1">
        <f t="shared" si="113"/>
        <v>72725.619643794664</v>
      </c>
      <c r="AD51" s="1">
        <f t="shared" si="113"/>
        <v>93377.345665161673</v>
      </c>
      <c r="AE51" s="1">
        <f t="shared" si="113"/>
        <v>114392.78402443262</v>
      </c>
      <c r="AF51" s="1">
        <f t="shared" si="113"/>
        <v>135758.91525488719</v>
      </c>
      <c r="AG51" s="1">
        <f t="shared" si="113"/>
        <v>157462.41458791884</v>
      </c>
      <c r="AH51" s="1">
        <f t="shared" si="113"/>
        <v>179489.63217390014</v>
      </c>
      <c r="AI51" s="1">
        <f t="shared" si="113"/>
        <v>201826.57291782944</v>
      </c>
    </row>
    <row r="52" spans="2:35" x14ac:dyDescent="0.2">
      <c r="B52" t="s">
        <v>49</v>
      </c>
      <c r="C52">
        <f t="shared" ref="C52:L52" si="114">C20</f>
        <v>28</v>
      </c>
      <c r="D52">
        <f t="shared" si="114"/>
        <v>68</v>
      </c>
      <c r="E52">
        <f t="shared" si="114"/>
        <v>210</v>
      </c>
      <c r="F52">
        <f t="shared" si="114"/>
        <v>-28</v>
      </c>
      <c r="G52">
        <f t="shared" si="114"/>
        <v>199</v>
      </c>
      <c r="H52">
        <f t="shared" si="114"/>
        <v>1267</v>
      </c>
      <c r="I52">
        <f t="shared" si="114"/>
        <v>1224</v>
      </c>
      <c r="J52">
        <f t="shared" si="114"/>
        <v>-98</v>
      </c>
      <c r="K52">
        <f t="shared" si="114"/>
        <v>1533</v>
      </c>
      <c r="L52">
        <f t="shared" si="114"/>
        <v>1429</v>
      </c>
      <c r="M52">
        <f>M20</f>
        <v>1527</v>
      </c>
    </row>
    <row r="53" spans="2:35" x14ac:dyDescent="0.2">
      <c r="B53" t="s">
        <v>50</v>
      </c>
      <c r="C53">
        <v>28</v>
      </c>
      <c r="D53">
        <v>68</v>
      </c>
      <c r="E53">
        <v>210</v>
      </c>
      <c r="F53">
        <v>-28</v>
      </c>
      <c r="G53">
        <v>199</v>
      </c>
      <c r="H53">
        <v>1267</v>
      </c>
      <c r="I53">
        <v>1224</v>
      </c>
      <c r="J53">
        <v>-98</v>
      </c>
      <c r="K53">
        <v>1533</v>
      </c>
      <c r="L53">
        <v>1429</v>
      </c>
      <c r="M53">
        <v>1527</v>
      </c>
    </row>
    <row r="54" spans="2:35" x14ac:dyDescent="0.2">
      <c r="B54" t="s">
        <v>51</v>
      </c>
      <c r="C54">
        <f>906+394</f>
        <v>1300</v>
      </c>
      <c r="D54">
        <f>907+408</f>
        <v>1315</v>
      </c>
      <c r="E54">
        <f>941+423</f>
        <v>1364</v>
      </c>
      <c r="F54">
        <f>931+356</f>
        <v>1287</v>
      </c>
      <c r="G54">
        <f>1254+470</f>
        <v>1724</v>
      </c>
      <c r="H54">
        <f>890+476</f>
        <v>1366</v>
      </c>
      <c r="I54">
        <f>862+482</f>
        <v>1344</v>
      </c>
      <c r="J54">
        <f>1032+443</f>
        <v>1475</v>
      </c>
      <c r="K54">
        <f>879+517</f>
        <v>1396</v>
      </c>
      <c r="L54">
        <f>907+526</f>
        <v>1433</v>
      </c>
      <c r="M54">
        <f>814+525</f>
        <v>1339</v>
      </c>
    </row>
    <row r="55" spans="2:35" x14ac:dyDescent="0.2">
      <c r="B55" t="s">
        <v>52</v>
      </c>
      <c r="C55">
        <v>776</v>
      </c>
      <c r="D55">
        <v>851</v>
      </c>
      <c r="E55">
        <v>843</v>
      </c>
      <c r="F55">
        <v>763</v>
      </c>
      <c r="G55">
        <v>696</v>
      </c>
      <c r="H55">
        <v>724</v>
      </c>
      <c r="I55">
        <v>693</v>
      </c>
      <c r="J55">
        <v>809</v>
      </c>
      <c r="K55">
        <v>750</v>
      </c>
      <c r="L55">
        <v>810</v>
      </c>
      <c r="M55">
        <v>820</v>
      </c>
    </row>
    <row r="56" spans="2:35" x14ac:dyDescent="0.2">
      <c r="B56" t="s">
        <v>53</v>
      </c>
      <c r="C56">
        <v>-7</v>
      </c>
      <c r="D56">
        <v>-45</v>
      </c>
      <c r="E56">
        <v>-23</v>
      </c>
      <c r="F56">
        <v>-34</v>
      </c>
      <c r="G56">
        <v>141</v>
      </c>
      <c r="H56">
        <v>29</v>
      </c>
      <c r="I56">
        <v>72</v>
      </c>
      <c r="J56">
        <v>314</v>
      </c>
      <c r="K56">
        <v>-37</v>
      </c>
      <c r="L56">
        <v>37</v>
      </c>
      <c r="M56">
        <v>217</v>
      </c>
    </row>
    <row r="57" spans="2:35" x14ac:dyDescent="0.2">
      <c r="B57" t="s">
        <v>54</v>
      </c>
      <c r="C57">
        <v>5805</v>
      </c>
      <c r="D57">
        <v>-790</v>
      </c>
      <c r="E57">
        <v>471</v>
      </c>
      <c r="F57">
        <v>-5719</v>
      </c>
      <c r="G57">
        <v>6123</v>
      </c>
      <c r="H57">
        <v>-768</v>
      </c>
      <c r="I57">
        <v>550</v>
      </c>
      <c r="J57">
        <v>-6481</v>
      </c>
      <c r="K57">
        <v>7162</v>
      </c>
      <c r="L57">
        <v>-1136</v>
      </c>
      <c r="M57">
        <v>655</v>
      </c>
    </row>
    <row r="58" spans="2:35" x14ac:dyDescent="0.2">
      <c r="B58" t="s">
        <v>55</v>
      </c>
      <c r="C58">
        <v>-399</v>
      </c>
      <c r="D58">
        <v>-505</v>
      </c>
      <c r="E58">
        <v>-375</v>
      </c>
      <c r="F58">
        <v>-1060</v>
      </c>
      <c r="G58">
        <v>-275</v>
      </c>
      <c r="H58">
        <v>-331</v>
      </c>
      <c r="I58">
        <v>-300</v>
      </c>
      <c r="J58">
        <v>-1066</v>
      </c>
      <c r="K58">
        <v>-248</v>
      </c>
      <c r="L58">
        <v>-427</v>
      </c>
      <c r="M58">
        <v>-430</v>
      </c>
    </row>
    <row r="59" spans="2:35" x14ac:dyDescent="0.2">
      <c r="B59" t="s">
        <v>56</v>
      </c>
      <c r="C59">
        <v>-409</v>
      </c>
      <c r="D59">
        <v>113</v>
      </c>
      <c r="E59">
        <v>-63</v>
      </c>
      <c r="F59">
        <v>115</v>
      </c>
      <c r="G59">
        <v>-291</v>
      </c>
      <c r="H59">
        <v>-52</v>
      </c>
      <c r="I59">
        <v>-407</v>
      </c>
      <c r="J59">
        <v>57</v>
      </c>
      <c r="K59">
        <v>-514</v>
      </c>
      <c r="L59">
        <v>-477</v>
      </c>
      <c r="M59">
        <v>-272</v>
      </c>
    </row>
    <row r="60" spans="2:35" x14ac:dyDescent="0.2">
      <c r="B60" t="s">
        <v>57</v>
      </c>
      <c r="C60">
        <v>-1222</v>
      </c>
      <c r="D60">
        <v>326</v>
      </c>
      <c r="E60">
        <v>-309</v>
      </c>
      <c r="F60">
        <v>1343</v>
      </c>
      <c r="G60">
        <v>-1403</v>
      </c>
      <c r="H60">
        <v>-376</v>
      </c>
      <c r="I60">
        <v>172</v>
      </c>
      <c r="J60">
        <v>1733</v>
      </c>
      <c r="K60">
        <v>-755</v>
      </c>
      <c r="L60">
        <v>220</v>
      </c>
      <c r="M60">
        <v>32</v>
      </c>
    </row>
    <row r="61" spans="2:35" x14ac:dyDescent="0.2">
      <c r="B61" t="s">
        <v>58</v>
      </c>
      <c r="C61">
        <v>-202</v>
      </c>
      <c r="D61">
        <v>-186</v>
      </c>
      <c r="E61">
        <v>-173</v>
      </c>
      <c r="F61">
        <v>-194</v>
      </c>
      <c r="G61">
        <v>-168</v>
      </c>
      <c r="H61">
        <v>-167</v>
      </c>
      <c r="I61">
        <v>-139</v>
      </c>
      <c r="J61">
        <v>-138</v>
      </c>
      <c r="K61">
        <v>-85</v>
      </c>
      <c r="L61">
        <v>-158</v>
      </c>
      <c r="M61">
        <v>-144</v>
      </c>
    </row>
    <row r="62" spans="2:35" x14ac:dyDescent="0.2">
      <c r="B62" t="s">
        <v>59</v>
      </c>
      <c r="C62">
        <v>-1994</v>
      </c>
      <c r="D62">
        <v>-813</v>
      </c>
      <c r="E62">
        <v>-1632</v>
      </c>
      <c r="F62">
        <v>5509</v>
      </c>
      <c r="G62">
        <v>-2255</v>
      </c>
      <c r="H62">
        <v>-884</v>
      </c>
      <c r="I62">
        <v>-1677</v>
      </c>
      <c r="J62">
        <v>6183</v>
      </c>
      <c r="K62">
        <v>-2955</v>
      </c>
      <c r="L62">
        <v>-839</v>
      </c>
      <c r="M62">
        <v>-1761</v>
      </c>
    </row>
    <row r="63" spans="2:35" x14ac:dyDescent="0.2">
      <c r="B63" t="s">
        <v>60</v>
      </c>
      <c r="C63">
        <f t="shared" ref="C63:M63" si="115">SUM(C53:C62)</f>
        <v>3676</v>
      </c>
      <c r="D63">
        <f t="shared" si="115"/>
        <v>334</v>
      </c>
      <c r="E63">
        <f t="shared" si="115"/>
        <v>313</v>
      </c>
      <c r="F63">
        <f t="shared" si="115"/>
        <v>1982</v>
      </c>
      <c r="G63">
        <f t="shared" si="115"/>
        <v>4491</v>
      </c>
      <c r="H63">
        <f t="shared" si="115"/>
        <v>808</v>
      </c>
      <c r="I63">
        <f t="shared" si="115"/>
        <v>1532</v>
      </c>
      <c r="J63">
        <f t="shared" si="115"/>
        <v>2788</v>
      </c>
      <c r="K63">
        <f t="shared" si="115"/>
        <v>6247</v>
      </c>
      <c r="L63">
        <f t="shared" si="115"/>
        <v>892</v>
      </c>
      <c r="M63">
        <f t="shared" si="115"/>
        <v>1983</v>
      </c>
    </row>
    <row r="64" spans="2:35" x14ac:dyDescent="0.2">
      <c r="B64" t="s">
        <v>61</v>
      </c>
      <c r="C64">
        <v>179</v>
      </c>
      <c r="D64">
        <v>377</v>
      </c>
      <c r="E64">
        <v>198</v>
      </c>
      <c r="F64">
        <v>167</v>
      </c>
      <c r="G64">
        <v>243</v>
      </c>
      <c r="H64">
        <v>180</v>
      </c>
      <c r="I64">
        <v>166</v>
      </c>
      <c r="J64">
        <v>218</v>
      </c>
      <c r="K64">
        <v>163</v>
      </c>
      <c r="L64">
        <v>137</v>
      </c>
      <c r="M64">
        <v>204</v>
      </c>
    </row>
    <row r="65" spans="2:13" s="2" customFormat="1" x14ac:dyDescent="0.2">
      <c r="B65" s="2" t="s">
        <v>62</v>
      </c>
      <c r="C65" s="2">
        <f t="shared" ref="C65:M65" si="116">C63+C64</f>
        <v>3855</v>
      </c>
      <c r="D65" s="2">
        <f t="shared" si="116"/>
        <v>711</v>
      </c>
      <c r="E65" s="2">
        <f t="shared" si="116"/>
        <v>511</v>
      </c>
      <c r="F65" s="2">
        <f t="shared" si="116"/>
        <v>2149</v>
      </c>
      <c r="G65" s="2">
        <f t="shared" si="116"/>
        <v>4734</v>
      </c>
      <c r="H65" s="2">
        <f t="shared" si="116"/>
        <v>988</v>
      </c>
      <c r="I65" s="2">
        <f t="shared" si="116"/>
        <v>1698</v>
      </c>
      <c r="J65" s="2">
        <f t="shared" si="116"/>
        <v>3006</v>
      </c>
      <c r="K65" s="2">
        <f t="shared" si="116"/>
        <v>6410</v>
      </c>
      <c r="L65" s="2">
        <f t="shared" si="116"/>
        <v>1029</v>
      </c>
      <c r="M65" s="2">
        <f t="shared" si="116"/>
        <v>2187</v>
      </c>
    </row>
    <row r="66" spans="2:13" x14ac:dyDescent="0.2">
      <c r="B66" t="s">
        <v>63</v>
      </c>
      <c r="C66">
        <v>-2457</v>
      </c>
      <c r="D66">
        <v>-377</v>
      </c>
      <c r="E66">
        <v>533</v>
      </c>
      <c r="F66">
        <v>-1459</v>
      </c>
      <c r="G66">
        <v>347</v>
      </c>
      <c r="H66">
        <v>-1152</v>
      </c>
      <c r="I66">
        <v>-54</v>
      </c>
      <c r="J66">
        <v>312</v>
      </c>
      <c r="K66">
        <v>-2651</v>
      </c>
      <c r="L66">
        <v>2641</v>
      </c>
      <c r="M66">
        <v>-217</v>
      </c>
    </row>
    <row r="67" spans="2:13" x14ac:dyDescent="0.2">
      <c r="B67" t="s">
        <v>64</v>
      </c>
      <c r="C67">
        <v>-25</v>
      </c>
      <c r="D67">
        <v>136</v>
      </c>
      <c r="E67">
        <v>-1678</v>
      </c>
      <c r="F67">
        <v>203</v>
      </c>
      <c r="G67">
        <v>-2716</v>
      </c>
      <c r="H67">
        <v>-2050</v>
      </c>
      <c r="I67">
        <v>-1765</v>
      </c>
      <c r="J67">
        <v>-2221</v>
      </c>
      <c r="K67">
        <v>-2108</v>
      </c>
      <c r="L67">
        <v>-5802</v>
      </c>
      <c r="M67">
        <v>-1446</v>
      </c>
    </row>
    <row r="68" spans="2:13" x14ac:dyDescent="0.2">
      <c r="B68" t="s">
        <v>66</v>
      </c>
      <c r="C68">
        <v>0</v>
      </c>
      <c r="D68">
        <v>0</v>
      </c>
      <c r="E68">
        <v>1677</v>
      </c>
      <c r="F68">
        <v>2323</v>
      </c>
      <c r="G68">
        <v>2054</v>
      </c>
      <c r="H68">
        <v>1949</v>
      </c>
      <c r="I68">
        <v>1925</v>
      </c>
      <c r="J68">
        <v>2323</v>
      </c>
      <c r="K68">
        <v>2133</v>
      </c>
      <c r="L68">
        <v>4335</v>
      </c>
      <c r="M68">
        <v>1285</v>
      </c>
    </row>
    <row r="69" spans="2:13" x14ac:dyDescent="0.2">
      <c r="B69" t="s">
        <v>65</v>
      </c>
      <c r="C69">
        <f t="shared" ref="C69:M69" si="117">C63+C67+C66</f>
        <v>1194</v>
      </c>
      <c r="D69">
        <f t="shared" si="117"/>
        <v>93</v>
      </c>
      <c r="E69">
        <f t="shared" si="117"/>
        <v>-832</v>
      </c>
      <c r="F69">
        <f t="shared" si="117"/>
        <v>726</v>
      </c>
      <c r="G69">
        <f t="shared" si="117"/>
        <v>2122</v>
      </c>
      <c r="H69">
        <f t="shared" si="117"/>
        <v>-2394</v>
      </c>
      <c r="I69">
        <f t="shared" si="117"/>
        <v>-287</v>
      </c>
      <c r="J69">
        <f t="shared" si="117"/>
        <v>879</v>
      </c>
      <c r="K69">
        <f t="shared" si="117"/>
        <v>1488</v>
      </c>
      <c r="L69">
        <f t="shared" si="117"/>
        <v>-2269</v>
      </c>
      <c r="M69">
        <f t="shared" si="117"/>
        <v>320</v>
      </c>
    </row>
    <row r="70" spans="2:13" s="2" customFormat="1" x14ac:dyDescent="0.2">
      <c r="B70" s="2" t="s">
        <v>67</v>
      </c>
      <c r="C70" s="2">
        <f t="shared" ref="C70:M70" si="118">C69+C68</f>
        <v>1194</v>
      </c>
      <c r="D70" s="2">
        <f t="shared" si="118"/>
        <v>93</v>
      </c>
      <c r="E70" s="2">
        <f t="shared" si="118"/>
        <v>845</v>
      </c>
      <c r="F70" s="2">
        <f t="shared" si="118"/>
        <v>3049</v>
      </c>
      <c r="G70" s="2">
        <f t="shared" si="118"/>
        <v>4176</v>
      </c>
      <c r="H70" s="2">
        <f t="shared" si="118"/>
        <v>-445</v>
      </c>
      <c r="I70" s="2">
        <f t="shared" si="118"/>
        <v>1638</v>
      </c>
      <c r="J70" s="2">
        <f t="shared" si="118"/>
        <v>3202</v>
      </c>
      <c r="K70" s="2">
        <f t="shared" si="118"/>
        <v>3621</v>
      </c>
      <c r="L70" s="2">
        <f t="shared" si="118"/>
        <v>2066</v>
      </c>
      <c r="M70" s="2">
        <f t="shared" si="118"/>
        <v>1605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2025-02-13T14:32:00Z</dcterms:created>
  <dcterms:modified xsi:type="dcterms:W3CDTF">2025-02-21T15:15:53Z</dcterms:modified>
</cp:coreProperties>
</file>