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858" documentId="8_{565B2A6D-4CC9-E049-90B6-41C1D1B4E9C0}" xr6:coauthVersionLast="47" xr6:coauthVersionMax="47" xr10:uidLastSave="{59212C93-61F7-1B47-8F64-70252D16A799}"/>
  <bookViews>
    <workbookView xWindow="19100" yWindow="-33340" windowWidth="41060" windowHeight="33340" activeTab="1" xr2:uid="{1EE6A5C3-D4BC-EE4C-A439-FD79324A62E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2" l="1"/>
  <c r="Y18" i="2"/>
  <c r="Z18" i="2"/>
  <c r="AA19" i="2"/>
  <c r="AB19" i="2"/>
  <c r="AC19" i="2"/>
  <c r="AD19" i="2"/>
  <c r="AE19" i="2"/>
  <c r="AF19" i="2"/>
  <c r="AG19" i="2"/>
  <c r="AH19" i="2"/>
  <c r="N18" i="2"/>
  <c r="O18" i="2"/>
  <c r="P18" i="2"/>
  <c r="Q18" i="2"/>
  <c r="R18" i="2"/>
  <c r="Z15" i="2"/>
  <c r="AA15" i="2"/>
  <c r="AB15" i="2" s="1"/>
  <c r="AC15" i="2" s="1"/>
  <c r="AD15" i="2" s="1"/>
  <c r="AE15" i="2" s="1"/>
  <c r="AF15" i="2" s="1"/>
  <c r="AG15" i="2" s="1"/>
  <c r="AH15" i="2" s="1"/>
  <c r="X15" i="2"/>
  <c r="X23" i="2"/>
  <c r="Y17" i="2"/>
  <c r="Y32" i="2" s="1"/>
  <c r="Z19" i="2"/>
  <c r="Y19" i="2"/>
  <c r="X19" i="2"/>
  <c r="Z38" i="2"/>
  <c r="Y38" i="2"/>
  <c r="X38" i="2"/>
  <c r="W38" i="2"/>
  <c r="V38" i="2"/>
  <c r="U38" i="2"/>
  <c r="Y36" i="2"/>
  <c r="X36" i="2"/>
  <c r="X17" i="2"/>
  <c r="X32" i="2" s="1"/>
  <c r="W32" i="2"/>
  <c r="V34" i="2"/>
  <c r="V33" i="2"/>
  <c r="V32" i="2"/>
  <c r="U34" i="2"/>
  <c r="U33" i="2"/>
  <c r="U32" i="2"/>
  <c r="T34" i="2"/>
  <c r="T33" i="2"/>
  <c r="T32" i="2"/>
  <c r="V40" i="2"/>
  <c r="U40" i="2"/>
  <c r="W23" i="2"/>
  <c r="W20" i="2"/>
  <c r="W19" i="2"/>
  <c r="W18" i="2"/>
  <c r="W21" i="2" s="1"/>
  <c r="W16" i="2"/>
  <c r="V18" i="2"/>
  <c r="V37" i="2"/>
  <c r="U37" i="2"/>
  <c r="V36" i="2"/>
  <c r="U36" i="2"/>
  <c r="W36" i="2"/>
  <c r="W17" i="2"/>
  <c r="W15" i="2"/>
  <c r="V25" i="2"/>
  <c r="V23" i="2"/>
  <c r="V20" i="2"/>
  <c r="V19" i="2"/>
  <c r="V17" i="2"/>
  <c r="V16" i="2"/>
  <c r="V15" i="2"/>
  <c r="V21" i="2"/>
  <c r="V22" i="2" s="1"/>
  <c r="V24" i="2" s="1"/>
  <c r="V26" i="2" s="1"/>
  <c r="V28" i="2" s="1"/>
  <c r="U28" i="2"/>
  <c r="U26" i="2"/>
  <c r="U25" i="2"/>
  <c r="U24" i="2"/>
  <c r="U21" i="2"/>
  <c r="U22" i="2" s="1"/>
  <c r="U23" i="2"/>
  <c r="U20" i="2"/>
  <c r="U19" i="2"/>
  <c r="U18" i="2"/>
  <c r="U17" i="2"/>
  <c r="U16" i="2"/>
  <c r="U15" i="2"/>
  <c r="R6" i="2"/>
  <c r="Q6" i="2"/>
  <c r="P6" i="2"/>
  <c r="O6" i="2"/>
  <c r="R11" i="2"/>
  <c r="Q11" i="2"/>
  <c r="P11" i="2"/>
  <c r="O11" i="2"/>
  <c r="N23" i="2"/>
  <c r="I12" i="1"/>
  <c r="Q21" i="2"/>
  <c r="P21" i="2"/>
  <c r="Q19" i="2"/>
  <c r="P19" i="2"/>
  <c r="O19" i="2"/>
  <c r="N19" i="2"/>
  <c r="N21" i="2" s="1"/>
  <c r="M40" i="2"/>
  <c r="L40" i="2"/>
  <c r="K40" i="2"/>
  <c r="J40" i="2"/>
  <c r="I40" i="2"/>
  <c r="H40" i="2"/>
  <c r="G40" i="2"/>
  <c r="C25" i="2"/>
  <c r="C21" i="2"/>
  <c r="C17" i="2"/>
  <c r="D25" i="2"/>
  <c r="D21" i="2"/>
  <c r="D17" i="2"/>
  <c r="E25" i="2"/>
  <c r="E21" i="2"/>
  <c r="E17" i="2"/>
  <c r="L36" i="2"/>
  <c r="K36" i="2"/>
  <c r="J36" i="2"/>
  <c r="I36" i="2"/>
  <c r="H36" i="2"/>
  <c r="G36" i="2"/>
  <c r="M36" i="2"/>
  <c r="J47" i="2"/>
  <c r="J48" i="2" s="1"/>
  <c r="F25" i="2"/>
  <c r="F21" i="2"/>
  <c r="F17" i="2"/>
  <c r="F32" i="2" s="1"/>
  <c r="J25" i="2"/>
  <c r="J21" i="2"/>
  <c r="J17" i="2"/>
  <c r="J32" i="2" s="1"/>
  <c r="T25" i="2"/>
  <c r="T21" i="2"/>
  <c r="T17" i="2"/>
  <c r="T22" i="2" s="1"/>
  <c r="T24" i="2" s="1"/>
  <c r="T26" i="2" s="1"/>
  <c r="T28" i="2" s="1"/>
  <c r="G25" i="2"/>
  <c r="G21" i="2"/>
  <c r="G17" i="2"/>
  <c r="G32" i="2" s="1"/>
  <c r="L38" i="2"/>
  <c r="K38" i="2"/>
  <c r="J38" i="2"/>
  <c r="I38" i="2"/>
  <c r="H38" i="2"/>
  <c r="G38" i="2"/>
  <c r="M38" i="2"/>
  <c r="L37" i="2"/>
  <c r="K37" i="2"/>
  <c r="J37" i="2"/>
  <c r="I37" i="2"/>
  <c r="H37" i="2"/>
  <c r="G37" i="2"/>
  <c r="M37" i="2"/>
  <c r="K25" i="2"/>
  <c r="K21" i="2"/>
  <c r="K17" i="2"/>
  <c r="K32" i="2" s="1"/>
  <c r="G47" i="2"/>
  <c r="G48" i="2" s="1"/>
  <c r="K47" i="2"/>
  <c r="K48" i="2" s="1"/>
  <c r="H25" i="2"/>
  <c r="L25" i="2"/>
  <c r="H21" i="2"/>
  <c r="H17" i="2"/>
  <c r="H47" i="2"/>
  <c r="H48" i="2" s="1"/>
  <c r="F48" i="2"/>
  <c r="E48" i="2"/>
  <c r="D48" i="2"/>
  <c r="C48" i="2"/>
  <c r="I47" i="2"/>
  <c r="I48" i="2" s="1"/>
  <c r="L47" i="2"/>
  <c r="L48" i="2" s="1"/>
  <c r="L21" i="2"/>
  <c r="L17" i="2"/>
  <c r="M47" i="2"/>
  <c r="M48" i="2" s="1"/>
  <c r="I25" i="2"/>
  <c r="I21" i="2"/>
  <c r="I17" i="2"/>
  <c r="M25" i="2"/>
  <c r="M21" i="2"/>
  <c r="M17" i="2"/>
  <c r="M32" i="2" s="1"/>
  <c r="M8" i="2"/>
  <c r="L8" i="2"/>
  <c r="K8" i="2"/>
  <c r="J8" i="2"/>
  <c r="I8" i="2"/>
  <c r="H8" i="2"/>
  <c r="G8" i="2"/>
  <c r="F8" i="2"/>
  <c r="E8" i="2"/>
  <c r="D8" i="2"/>
  <c r="D7" i="2"/>
  <c r="L7" i="2"/>
  <c r="K7" i="2"/>
  <c r="J7" i="2"/>
  <c r="I7" i="2"/>
  <c r="H7" i="2"/>
  <c r="G7" i="2"/>
  <c r="F7" i="2"/>
  <c r="E7" i="2"/>
  <c r="M7" i="2"/>
  <c r="H6" i="2"/>
  <c r="H11" i="2" s="1"/>
  <c r="G6" i="2"/>
  <c r="G11" i="2" s="1"/>
  <c r="F6" i="2"/>
  <c r="F11" i="2" s="1"/>
  <c r="E6" i="2"/>
  <c r="E11" i="2" s="1"/>
  <c r="D6" i="2"/>
  <c r="D11" i="2" s="1"/>
  <c r="C6" i="2"/>
  <c r="C11" i="2" s="1"/>
  <c r="M6" i="2"/>
  <c r="L6" i="2"/>
  <c r="K6" i="2"/>
  <c r="J6" i="2"/>
  <c r="J11" i="2" s="1"/>
  <c r="N11" i="2" s="1"/>
  <c r="I6" i="2"/>
  <c r="I11" i="2" s="1"/>
  <c r="X3" i="2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D6" i="1"/>
  <c r="D4" i="1"/>
  <c r="D5" i="1"/>
  <c r="I9" i="1"/>
  <c r="I8" i="1"/>
  <c r="I7" i="1"/>
  <c r="I10" i="1" s="1"/>
  <c r="X18" i="2" l="1"/>
  <c r="X37" i="2"/>
  <c r="W40" i="2"/>
  <c r="W37" i="2"/>
  <c r="O21" i="2"/>
  <c r="X40" i="2"/>
  <c r="X21" i="2"/>
  <c r="X22" i="2" s="1"/>
  <c r="X33" i="2" s="1"/>
  <c r="AA38" i="2"/>
  <c r="X16" i="2"/>
  <c r="Z17" i="2"/>
  <c r="Y16" i="2"/>
  <c r="Y40" i="2"/>
  <c r="W22" i="2"/>
  <c r="W33" i="2" s="1"/>
  <c r="N37" i="2"/>
  <c r="K11" i="2"/>
  <c r="N6" i="2"/>
  <c r="I22" i="2"/>
  <c r="I24" i="2" s="1"/>
  <c r="E22" i="2"/>
  <c r="R19" i="2"/>
  <c r="R21" i="2" s="1"/>
  <c r="G9" i="2"/>
  <c r="N38" i="2"/>
  <c r="F9" i="2"/>
  <c r="H22" i="2"/>
  <c r="H24" i="2" s="1"/>
  <c r="C22" i="2"/>
  <c r="C24" i="2" s="1"/>
  <c r="O37" i="2"/>
  <c r="O38" i="2"/>
  <c r="P38" i="2"/>
  <c r="P37" i="2"/>
  <c r="O15" i="2"/>
  <c r="O40" i="2" s="1"/>
  <c r="C32" i="2"/>
  <c r="D22" i="2"/>
  <c r="D32" i="2"/>
  <c r="D24" i="2"/>
  <c r="D26" i="2" s="1"/>
  <c r="D28" i="2" s="1"/>
  <c r="D33" i="2"/>
  <c r="E32" i="2"/>
  <c r="E33" i="2"/>
  <c r="E24" i="2"/>
  <c r="K9" i="2"/>
  <c r="M22" i="2"/>
  <c r="L22" i="2"/>
  <c r="L33" i="2" s="1"/>
  <c r="L9" i="2"/>
  <c r="D9" i="2"/>
  <c r="M9" i="2"/>
  <c r="E9" i="2"/>
  <c r="K22" i="2"/>
  <c r="G12" i="2"/>
  <c r="H12" i="2"/>
  <c r="I12" i="2"/>
  <c r="L11" i="2"/>
  <c r="I9" i="2"/>
  <c r="M11" i="2"/>
  <c r="J9" i="2"/>
  <c r="H32" i="2"/>
  <c r="L32" i="2"/>
  <c r="F22" i="2"/>
  <c r="F24" i="2" s="1"/>
  <c r="J12" i="2"/>
  <c r="J22" i="2"/>
  <c r="J24" i="2" s="1"/>
  <c r="J26" i="2" s="1"/>
  <c r="J28" i="2" s="1"/>
  <c r="J33" i="2"/>
  <c r="K12" i="2"/>
  <c r="G22" i="2"/>
  <c r="K24" i="2"/>
  <c r="K33" i="2"/>
  <c r="I32" i="2"/>
  <c r="H9" i="2"/>
  <c r="W24" i="2" l="1"/>
  <c r="Y21" i="2"/>
  <c r="Y22" i="2" s="1"/>
  <c r="Y33" i="2" s="1"/>
  <c r="Y37" i="2"/>
  <c r="X24" i="2"/>
  <c r="Z32" i="2"/>
  <c r="Z36" i="2"/>
  <c r="Z16" i="2"/>
  <c r="AA17" i="2"/>
  <c r="AA36" i="2"/>
  <c r="Z37" i="2"/>
  <c r="Z40" i="2"/>
  <c r="AB38" i="2"/>
  <c r="F26" i="2"/>
  <c r="F28" i="2" s="1"/>
  <c r="F34" i="2"/>
  <c r="H26" i="2"/>
  <c r="H28" i="2" s="1"/>
  <c r="H34" i="2"/>
  <c r="I26" i="2"/>
  <c r="I28" i="2" s="1"/>
  <c r="I34" i="2"/>
  <c r="L24" i="2"/>
  <c r="H33" i="2"/>
  <c r="R15" i="2"/>
  <c r="N15" i="2"/>
  <c r="C33" i="2"/>
  <c r="M12" i="2"/>
  <c r="Q15" i="2"/>
  <c r="Q17" i="2" s="1"/>
  <c r="L12" i="2"/>
  <c r="P15" i="2"/>
  <c r="I33" i="2"/>
  <c r="K26" i="2"/>
  <c r="K28" i="2" s="1"/>
  <c r="K34" i="2"/>
  <c r="J34" i="2"/>
  <c r="F33" i="2"/>
  <c r="O17" i="2"/>
  <c r="O22" i="2" s="1"/>
  <c r="O33" i="2" s="1"/>
  <c r="P40" i="2"/>
  <c r="P17" i="2"/>
  <c r="P22" i="2" s="1"/>
  <c r="P33" i="2" s="1"/>
  <c r="R17" i="2"/>
  <c r="R38" i="2"/>
  <c r="Q38" i="2"/>
  <c r="Q37" i="2"/>
  <c r="O36" i="2"/>
  <c r="P36" i="2"/>
  <c r="C26" i="2"/>
  <c r="C28" i="2" s="1"/>
  <c r="C34" i="2"/>
  <c r="D34" i="2"/>
  <c r="E26" i="2"/>
  <c r="E28" i="2" s="1"/>
  <c r="E34" i="2"/>
  <c r="M33" i="2"/>
  <c r="M24" i="2"/>
  <c r="G24" i="2"/>
  <c r="G33" i="2"/>
  <c r="AA18" i="2" l="1"/>
  <c r="Z21" i="2"/>
  <c r="Z22" i="2" s="1"/>
  <c r="Z33" i="2" s="1"/>
  <c r="X25" i="2"/>
  <c r="X34" i="2" s="1"/>
  <c r="AA16" i="2"/>
  <c r="AA32" i="2"/>
  <c r="AB36" i="2"/>
  <c r="AB17" i="2"/>
  <c r="AA37" i="2"/>
  <c r="AA40" i="2"/>
  <c r="AC38" i="2"/>
  <c r="G26" i="2"/>
  <c r="G28" i="2" s="1"/>
  <c r="G34" i="2"/>
  <c r="R36" i="2"/>
  <c r="Q36" i="2"/>
  <c r="N17" i="2"/>
  <c r="N16" i="2"/>
  <c r="N40" i="2"/>
  <c r="N36" i="2"/>
  <c r="L26" i="2"/>
  <c r="L28" i="2" s="1"/>
  <c r="L34" i="2"/>
  <c r="Q40" i="2"/>
  <c r="P16" i="2"/>
  <c r="R22" i="2"/>
  <c r="R33" i="2" s="1"/>
  <c r="R32" i="2"/>
  <c r="R16" i="2"/>
  <c r="P32" i="2"/>
  <c r="O16" i="2"/>
  <c r="O32" i="2"/>
  <c r="Q22" i="2"/>
  <c r="Q33" i="2" s="1"/>
  <c r="Q32" i="2"/>
  <c r="Q16" i="2"/>
  <c r="M26" i="2"/>
  <c r="M28" i="2" s="1"/>
  <c r="M34" i="2"/>
  <c r="R37" i="2"/>
  <c r="R40" i="2"/>
  <c r="X26" i="2" l="1"/>
  <c r="X42" i="2" s="1"/>
  <c r="Y23" i="2" s="1"/>
  <c r="Y24" i="2" s="1"/>
  <c r="Y25" i="2" s="1"/>
  <c r="Y34" i="2" s="1"/>
  <c r="AB18" i="2"/>
  <c r="AA21" i="2"/>
  <c r="AA22" i="2" s="1"/>
  <c r="AA33" i="2" s="1"/>
  <c r="AB16" i="2"/>
  <c r="AB32" i="2"/>
  <c r="AC36" i="2"/>
  <c r="AC17" i="2"/>
  <c r="AB37" i="2"/>
  <c r="AB40" i="2"/>
  <c r="AD38" i="2"/>
  <c r="N22" i="2"/>
  <c r="N32" i="2"/>
  <c r="Y26" i="2" l="1"/>
  <c r="Y42" i="2" s="1"/>
  <c r="Z23" i="2" s="1"/>
  <c r="Z24" i="2" s="1"/>
  <c r="Z25" i="2" s="1"/>
  <c r="Z26" i="2" s="1"/>
  <c r="N33" i="2"/>
  <c r="N24" i="2"/>
  <c r="AC18" i="2"/>
  <c r="AB21" i="2"/>
  <c r="AB22" i="2" s="1"/>
  <c r="AB33" i="2" s="1"/>
  <c r="AD36" i="2"/>
  <c r="AD17" i="2"/>
  <c r="AC16" i="2"/>
  <c r="AC32" i="2"/>
  <c r="AC40" i="2"/>
  <c r="AC37" i="2"/>
  <c r="AE38" i="2"/>
  <c r="Z34" i="2" l="1"/>
  <c r="AD18" i="2"/>
  <c r="AC21" i="2"/>
  <c r="AC22" i="2" s="1"/>
  <c r="AC33" i="2" s="1"/>
  <c r="N25" i="2"/>
  <c r="N26" i="2" s="1"/>
  <c r="Z42" i="2"/>
  <c r="AA23" i="2" s="1"/>
  <c r="AA24" i="2" s="1"/>
  <c r="AD16" i="2"/>
  <c r="AD32" i="2"/>
  <c r="AE36" i="2"/>
  <c r="AE17" i="2"/>
  <c r="AD40" i="2"/>
  <c r="AD37" i="2"/>
  <c r="AF38" i="2"/>
  <c r="N42" i="2" l="1"/>
  <c r="N28" i="2"/>
  <c r="W25" i="2"/>
  <c r="N34" i="2"/>
  <c r="AE18" i="2"/>
  <c r="AD21" i="2"/>
  <c r="AD22" i="2" s="1"/>
  <c r="AD33" i="2" s="1"/>
  <c r="AA25" i="2"/>
  <c r="AA34" i="2" s="1"/>
  <c r="AE16" i="2"/>
  <c r="AE32" i="2"/>
  <c r="AF36" i="2"/>
  <c r="AF17" i="2"/>
  <c r="AF16" i="2" s="1"/>
  <c r="AE40" i="2"/>
  <c r="AG38" i="2"/>
  <c r="AF18" i="2" l="1"/>
  <c r="AE21" i="2"/>
  <c r="AE22" i="2" s="1"/>
  <c r="AE33" i="2" s="1"/>
  <c r="W34" i="2"/>
  <c r="W26" i="2"/>
  <c r="W28" i="2" s="1"/>
  <c r="AE37" i="2"/>
  <c r="O23" i="2"/>
  <c r="O24" i="2" s="1"/>
  <c r="AA26" i="2"/>
  <c r="AH38" i="2"/>
  <c r="AF32" i="2"/>
  <c r="AG36" i="2"/>
  <c r="AG17" i="2"/>
  <c r="AF37" i="2"/>
  <c r="AF40" i="2"/>
  <c r="O25" i="2" l="1"/>
  <c r="O34" i="2" s="1"/>
  <c r="O26" i="2"/>
  <c r="AG18" i="2"/>
  <c r="AF21" i="2"/>
  <c r="AF22" i="2" s="1"/>
  <c r="AF33" i="2" s="1"/>
  <c r="AA42" i="2"/>
  <c r="AB23" i="2" s="1"/>
  <c r="AB24" i="2" s="1"/>
  <c r="AB25" i="2" s="1"/>
  <c r="AB34" i="2" s="1"/>
  <c r="AH36" i="2"/>
  <c r="AH17" i="2"/>
  <c r="AG16" i="2"/>
  <c r="AG32" i="2"/>
  <c r="AG37" i="2"/>
  <c r="AG40" i="2"/>
  <c r="AH18" i="2" l="1"/>
  <c r="AH21" i="2" s="1"/>
  <c r="AG21" i="2"/>
  <c r="AG22" i="2" s="1"/>
  <c r="AG33" i="2" s="1"/>
  <c r="O28" i="2"/>
  <c r="O42" i="2"/>
  <c r="AH32" i="2"/>
  <c r="AH22" i="2"/>
  <c r="AH33" i="2" s="1"/>
  <c r="AB26" i="2"/>
  <c r="AH16" i="2"/>
  <c r="AH37" i="2"/>
  <c r="AH40" i="2"/>
  <c r="P23" i="2" l="1"/>
  <c r="P24" i="2" s="1"/>
  <c r="AB42" i="2"/>
  <c r="AC23" i="2" s="1"/>
  <c r="AC24" i="2" s="1"/>
  <c r="P25" i="2" l="1"/>
  <c r="P34" i="2" s="1"/>
  <c r="P26" i="2"/>
  <c r="AC25" i="2"/>
  <c r="AC34" i="2" s="1"/>
  <c r="P28" i="2" l="1"/>
  <c r="P42" i="2"/>
  <c r="AC26" i="2"/>
  <c r="Q23" i="2" l="1"/>
  <c r="Q24" i="2" s="1"/>
  <c r="AC42" i="2"/>
  <c r="AD23" i="2" s="1"/>
  <c r="AD24" i="2" s="1"/>
  <c r="Q25" i="2" l="1"/>
  <c r="Q34" i="2" s="1"/>
  <c r="Q26" i="2"/>
  <c r="AD25" i="2"/>
  <c r="AD34" i="2" s="1"/>
  <c r="Q28" i="2" l="1"/>
  <c r="Q42" i="2"/>
  <c r="AD26" i="2"/>
  <c r="AD42" i="2" s="1"/>
  <c r="R23" i="2" l="1"/>
  <c r="R24" i="2" s="1"/>
  <c r="AE23" i="2"/>
  <c r="AE24" i="2" s="1"/>
  <c r="R25" i="2" l="1"/>
  <c r="R34" i="2" s="1"/>
  <c r="AE25" i="2"/>
  <c r="AE34" i="2" s="1"/>
  <c r="R26" i="2" l="1"/>
  <c r="R28" i="2"/>
  <c r="R42" i="2"/>
  <c r="AE26" i="2"/>
  <c r="AE42" i="2" s="1"/>
  <c r="AF23" i="2" s="1"/>
  <c r="AF24" i="2" s="1"/>
  <c r="AF25" i="2" l="1"/>
  <c r="AF34" i="2" s="1"/>
  <c r="AF26" i="2" l="1"/>
  <c r="AF42" i="2" s="1"/>
  <c r="AG23" i="2" s="1"/>
  <c r="AG24" i="2" s="1"/>
  <c r="AG25" i="2" l="1"/>
  <c r="AG34" i="2" s="1"/>
  <c r="AG26" i="2" l="1"/>
  <c r="AG42" i="2" s="1"/>
  <c r="AH23" i="2" l="1"/>
  <c r="AH24" i="2" s="1"/>
  <c r="AH25" i="2" l="1"/>
  <c r="AH34" i="2" s="1"/>
  <c r="AH26" i="2" l="1"/>
  <c r="AH42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AK33" i="2" s="1"/>
  <c r="AK35" i="2" s="1"/>
  <c r="AK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tc={DF4C818F-5B78-0042-A708-73B0BC578765}</author>
    <author>tc={D8319522-B1AB-CD43-82D5-8F0CDD47FEE7}</author>
    <author>tc={117309C5-43AE-3D46-B9D4-68581884F80A}</author>
    <author>tc={AA924B0D-E206-BE4E-8868-95708295CB24}</author>
    <author>tc={7D09FD27-1BFD-E849-A523-FEE6A8A84A0A}</author>
  </authors>
  <commentList>
    <comment ref="N15" authorId="0" shapeId="0" xr:uid="{DF4C818F-5B78-0042-A708-73B0BC578765}">
      <text>
        <t>[Threaded comment]
Your version of Excel allows you to read this threaded comment; however, any edits to it will get removed if the file is opened in a newer version of Excel. Learn more: https://go.microsoft.com/fwlink/?linkid=870924
Comment:
    124 to 131 guidance
Reply:
    Impute based on reasonable arpu small growth and small decline in ttm active users. Lower range</t>
      </text>
    </comment>
    <comment ref="O15" authorId="1" shapeId="0" xr:uid="{D8319522-B1AB-CD43-82D5-8F0CDD47FEE7}">
      <text>
        <t>[Threaded comment]
Your version of Excel allows you to read this threaded comment; however, any edits to it will get removed if the file is opened in a newer version of Excel. Learn more: https://go.microsoft.com/fwlink/?linkid=870924
Comment:
    124 to 131 guidance
Reply:
    Impute based on reasonable arpu small growth and small decline in ttm active users. Lower range</t>
      </text>
    </comment>
    <comment ref="P15" authorId="2" shapeId="0" xr:uid="{117309C5-43AE-3D46-B9D4-68581884F80A}">
      <text>
        <t>[Threaded comment]
Your version of Excel allows you to read this threaded comment; however, any edits to it will get removed if the file is opened in a newer version of Excel. Learn more: https://go.microsoft.com/fwlink/?linkid=870924
Comment:
    124 to 131 guidance
Reply:
    Impute based on reasonable arpu small growth and small decline in ttm active users. Lower range</t>
      </text>
    </comment>
    <comment ref="Q15" authorId="3" shapeId="0" xr:uid="{AA924B0D-E206-BE4E-8868-95708295CB24}">
      <text>
        <t>[Threaded comment]
Your version of Excel allows you to read this threaded comment; however, any edits to it will get removed if the file is opened in a newer version of Excel. Learn more: https://go.microsoft.com/fwlink/?linkid=870924
Comment:
    124 to 131 guidance
Reply:
    Impute based on reasonable arpu small growth and small decline in ttm active users. Lower range</t>
      </text>
    </comment>
    <comment ref="R15" authorId="4" shapeId="0" xr:uid="{7D09FD27-1BFD-E849-A523-FEE6A8A84A0A}">
      <text>
        <t>[Threaded comment]
Your version of Excel allows you to read this threaded comment; however, any edits to it will get removed if the file is opened in a newer version of Excel. Learn more: https://go.microsoft.com/fwlink/?linkid=870924
Comment:
    124 to 131 guidance
Reply:
    Impute based on reasonable arpu small growth and small decline in ttm active users. Lower range</t>
      </text>
    </comment>
  </commentList>
</comments>
</file>

<file path=xl/sharedStrings.xml><?xml version="1.0" encoding="utf-8"?>
<sst xmlns="http://schemas.openxmlformats.org/spreadsheetml/2006/main" count="99" uniqueCount="92">
  <si>
    <t>Price</t>
  </si>
  <si>
    <t>Shares</t>
  </si>
  <si>
    <t>MC</t>
  </si>
  <si>
    <t>Cash</t>
  </si>
  <si>
    <t>Debt</t>
  </si>
  <si>
    <t>EV</t>
  </si>
  <si>
    <t>Q324</t>
  </si>
  <si>
    <t>Groupon connects merchants and customers. Revenue from commissions by selling goods/services on behalf of 3rd party merchants. Also makes commissions when customers make purchases with retailers using their digital coupons</t>
  </si>
  <si>
    <t>Local</t>
  </si>
  <si>
    <t>Goods</t>
  </si>
  <si>
    <t>Travel</t>
  </si>
  <si>
    <t>Local merchants / things to do</t>
  </si>
  <si>
    <t>Segment</t>
  </si>
  <si>
    <t>Comments</t>
  </si>
  <si>
    <t>Competitor</t>
  </si>
  <si>
    <t>Ebay</t>
  </si>
  <si>
    <t>% Revenue 2023</t>
  </si>
  <si>
    <t>Viator, Airbnb segment</t>
  </si>
  <si>
    <t>Expedia, Every Other Travel Company</t>
  </si>
  <si>
    <t>Buy goods on groupon. Nonexistent</t>
  </si>
  <si>
    <t>Hotel/airfare/package recommendation. Nonexistent</t>
  </si>
  <si>
    <t>Glassdoor</t>
  </si>
  <si>
    <t>Management very lazy in approach</t>
  </si>
  <si>
    <t>Pay is low. Unless promoted and do politics</t>
  </si>
  <si>
    <t>Great people and very international</t>
  </si>
  <si>
    <t>Great culture as long as you perform well. Autonomy</t>
  </si>
  <si>
    <t>Good WLB</t>
  </si>
  <si>
    <t>Business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</si>
  <si>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</si>
  <si>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</si>
  <si>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</si>
  <si>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</si>
  <si>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</si>
  <si>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</si>
  <si>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</si>
  <si>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</si>
  <si>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</si>
  <si>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</si>
  <si>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</si>
  <si>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</si>
  <si>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</si>
  <si>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</si>
  <si>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</si>
  <si>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</si>
  <si>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TTM Active Users</t>
  </si>
  <si>
    <t>ARPU</t>
  </si>
  <si>
    <t>NA TTM Users</t>
  </si>
  <si>
    <t>Intl TTM Users</t>
  </si>
  <si>
    <t>ARPU Growth</t>
  </si>
  <si>
    <t>NA TTM Growth</t>
  </si>
  <si>
    <t>Intl TTM Growth</t>
  </si>
  <si>
    <t>Total TTM User Growth</t>
  </si>
  <si>
    <t>COGs</t>
  </si>
  <si>
    <t>Gross Profit</t>
  </si>
  <si>
    <t>Operating Expenses</t>
  </si>
  <si>
    <t>Operating Income</t>
  </si>
  <si>
    <t>S&amp;M</t>
  </si>
  <si>
    <t>SG&amp;A</t>
  </si>
  <si>
    <t>Restructuring</t>
  </si>
  <si>
    <t>Interest Income</t>
  </si>
  <si>
    <t>Pretax Income</t>
  </si>
  <si>
    <t>Taxes</t>
  </si>
  <si>
    <t>Net Income</t>
  </si>
  <si>
    <t>EPS</t>
  </si>
  <si>
    <t>Gross Margins</t>
  </si>
  <si>
    <t>Operating Margins</t>
  </si>
  <si>
    <t>Reported NI</t>
  </si>
  <si>
    <t>CFFO</t>
  </si>
  <si>
    <t>Capex</t>
  </si>
  <si>
    <t>FCF</t>
  </si>
  <si>
    <t>S&amp;M Growth</t>
  </si>
  <si>
    <t>SG&amp;A Growth</t>
  </si>
  <si>
    <t>Revenue Growth</t>
  </si>
  <si>
    <t>Cumulative For the Year</t>
  </si>
  <si>
    <t>Marketing ROI</t>
  </si>
  <si>
    <t>Goods is down a lot YoY.</t>
  </si>
  <si>
    <t>Travel is up in US, down intl, and overall down a bit YoY.</t>
  </si>
  <si>
    <t>Turnaround plan</t>
  </si>
  <si>
    <t>Building a lot of 'flywheels' which is just fancy way of saying AI recommendations. Unclear how this will significantly deliver a better experimence.</t>
  </si>
  <si>
    <t>CEO</t>
  </si>
  <si>
    <t xml:space="preserve">Dušan Šenkypl </t>
  </si>
  <si>
    <t>Partner at pale fire capital. Groupon seems like 'side project'. Pale fire has nothing in portfolio noteworthy aside from groupon.</t>
  </si>
  <si>
    <t>His resume is mid and focused on these small czech things</t>
  </si>
  <si>
    <t>No confidence in CEO</t>
  </si>
  <si>
    <t>Net Cash</t>
  </si>
  <si>
    <t>ROIC</t>
  </si>
  <si>
    <t>Discount</t>
  </si>
  <si>
    <t>NPV</t>
  </si>
  <si>
    <t>Num Shares</t>
  </si>
  <si>
    <t>Current Price</t>
  </si>
  <si>
    <t>Difference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</si>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</sst>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4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3" fillId="0" borderId="0" xfId="0" applyNumberFormat="1" applyFont="1"/>
    <xf numFmtId="9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7" fillId="0" borderId="0" xfId="0" applyNumberFormat="1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9" fontId="3" fillId="0" borderId="0" xfId="0" applyNumberFormat="1" applyFont="1" applyAlignment="1"/>
    <xf numFmtId="40" fontId="3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0</xdr:rowOff>
    </xdr:from>
    <xdr:to>
      <xdr:col>13</xdr:col>
      <xdr:colOff>12700</xdr:colOff>
      <xdr:row>60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51F586-8650-3597-C98E-280AB5FE5FD5}"/>
            </a:ext>
          </a:extLst>
        </xdr:cNvPr>
        <xdr:cNvCxnSpPr/>
      </xdr:nvCxnSpPr>
      <xdr:spPr>
        <a:xfrm>
          <a:off x="11491546" y="0"/>
          <a:ext cx="0" cy="100408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812800</xdr:colOff>
      <xdr:row>0</xdr:row>
      <xdr:rowOff>38100</xdr:rowOff>
    </xdr:from>
    <xdr:to>
      <xdr:col>22</xdr:col>
      <xdr:colOff>812800</xdr:colOff>
      <xdr:row>69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79EFEB-51DB-20B7-F4F6-DBA27B9EA4FA}"/>
            </a:ext>
          </a:extLst>
        </xdr:cNvPr>
        <xdr:cNvCxnSpPr/>
      </xdr:nvCxnSpPr>
      <xdr:spPr>
        <a:xfrm>
          <a:off x="19765108" y="38100"/>
          <a:ext cx="0" cy="115736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bby S" id="{14881831-9076-CD4B-861A-74BAAC989795}" userId="9907474b3756498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8D343-6BC9-0340-BC86-0D3788C4E8B8}" name="Table1" displayName="Table1" ref="B3:E6" totalsRowShown="0">
  <autoFilter ref="B3:E6" xr:uid="{08B8D343-6BC9-0340-BC86-0D3788C4E8B8}"/>
  <tableColumns count="4">
    <tableColumn id="1" xr3:uid="{6A660D84-27A7-6B4E-998D-F848BF29C870}" name="Segment"/>
    <tableColumn id="2" xr3:uid="{C5D45D6E-9166-B347-ADE5-72CD18A9693F}" name="Comments" dataDxfId="2"/>
    <tableColumn id="5" xr3:uid="{9212E028-EDA5-4248-97D5-99B627BCAC06}" name="% Revenue 2023" dataDxfId="1">
      <calculatedColumnFormula>971.131/1141.246</calculatedColumnFormula>
    </tableColumn>
    <tableColumn id="3" xr3:uid="{3869A382-0B61-5648-8C6E-264A5EC7887B}" name="Competi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5" dT="2025-02-09T15:58:57.84" personId="{14881831-9076-CD4B-861A-74BAAC989795}" id="{DF4C818F-5B78-0042-A708-73B0BC578765}">
    <text>124 to 131 guidance</text>
  </threadedComment>
  <threadedComment ref="N15" dT="2025-02-09T16:14:25.65" personId="{14881831-9076-CD4B-861A-74BAAC989795}" id="{DC2962C9-C4E1-0C40-B395-C387EA77843B}" parentId="{DF4C818F-5B78-0042-A708-73B0BC578765}">
    <text>Impute based on reasonable arpu small growth and small decline in ttm active users. Lower range</text>
  </threadedComment>
  <threadedComment ref="O15" dT="2025-02-09T15:58:57.84" personId="{14881831-9076-CD4B-861A-74BAAC989795}" id="{D8319522-B1AB-CD43-82D5-8F0CDD47FEE7}">
    <text>124 to 131 guidance</text>
  </threadedComment>
  <threadedComment ref="O15" dT="2025-02-09T16:14:25.65" personId="{14881831-9076-CD4B-861A-74BAAC989795}" id="{55471B95-F474-004A-9B96-336A082290AC}" parentId="{D8319522-B1AB-CD43-82D5-8F0CDD47FEE7}">
    <text>Impute based on reasonable arpu small growth and small decline in ttm active users. Lower range</text>
  </threadedComment>
  <threadedComment ref="P15" dT="2025-02-09T15:58:57.84" personId="{14881831-9076-CD4B-861A-74BAAC989795}" id="{117309C5-43AE-3D46-B9D4-68581884F80A}">
    <text>124 to 131 guidance</text>
  </threadedComment>
  <threadedComment ref="P15" dT="2025-02-09T16:14:25.65" personId="{14881831-9076-CD4B-861A-74BAAC989795}" id="{259C8033-C9B0-6C46-BC54-AC7ADB69F5F6}" parentId="{117309C5-43AE-3D46-B9D4-68581884F80A}">
    <text>Impute based on reasonable arpu small growth and small decline in ttm active users. Lower range</text>
  </threadedComment>
  <threadedComment ref="Q15" dT="2025-02-09T15:58:57.84" personId="{14881831-9076-CD4B-861A-74BAAC989795}" id="{AA924B0D-E206-BE4E-8868-95708295CB24}">
    <text>124 to 131 guidance</text>
  </threadedComment>
  <threadedComment ref="Q15" dT="2025-02-09T16:14:25.65" personId="{14881831-9076-CD4B-861A-74BAAC989795}" id="{8C66F3B8-B466-BD42-AB91-146485428ABE}" parentId="{AA924B0D-E206-BE4E-8868-95708295CB24}">
    <text>Impute based on reasonable arpu small growth and small decline in ttm active users. Lower range</text>
  </threadedComment>
  <threadedComment ref="R15" dT="2025-02-09T15:58:57.84" personId="{14881831-9076-CD4B-861A-74BAAC989795}" id="{7D09FD27-1BFD-E849-A523-FEE6A8A84A0A}">
    <text>124 to 131 guidance</text>
  </threadedComment>
  <threadedComment ref="R15" dT="2025-02-09T16:14:25.65" personId="{14881831-9076-CD4B-861A-74BAAC989795}" id="{650B03C7-805F-7A4D-9448-6A2ED4D7EF1B}" parentId="{7D09FD27-1BFD-E849-A523-FEE6A8A84A0A}">
    <text>Impute based on reasonable arpu small growth and small decline in ttm active users. Lower range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71F0-4271-2349-B995-B93291AFE76A}">
  <dimension ref="B3:J34"/>
  <sheetViews>
    <sheetView workbookViewId="0">
      <selection activeCell="I12" sqref="I12"/>
    </sheetView>
  </sheetViews>
  <sheetFormatPr baseColWidth="10" defaultRowHeight="16" x14ac:dyDescent="0.2"/>
  <cols>
    <col min="2" max="2" width="11" customWidth="1"/>
    <col min="3" max="3" width="44.83203125" bestFit="1" customWidth="1"/>
    <col min="4" max="4" width="37.33203125" customWidth="1"/>
    <col min="5" max="5" width="31.33203125" bestFit="1" customWidth="1"/>
  </cols>
  <sheetData>
    <row r="3" spans="2:10" x14ac:dyDescent="0.2">
      <c r="B3" t="s">
        <v>12</v>
      </c>
      <c r="C3" s="2" t="s">
        <v>13</v>
      </c>
      <c r="D3" s="2" t="s">
        <v>16</v>
      </c>
      <c r="E3" s="2" t="s">
        <v>14</v>
      </c>
    </row>
    <row r="4" spans="2:10" x14ac:dyDescent="0.2">
      <c r="B4" t="s">
        <v>8</v>
      </c>
      <c r="C4" s="2" t="s">
        <v>11</v>
      </c>
      <c r="D4" s="3">
        <f t="shared" ref="D4" si="0">971.131/1141.246</f>
        <v>0.8509392365887809</v>
      </c>
      <c r="E4" s="2" t="s">
        <v>17</v>
      </c>
    </row>
    <row r="5" spans="2:10" x14ac:dyDescent="0.2">
      <c r="B5" t="s">
        <v>9</v>
      </c>
      <c r="C5" s="2" t="s">
        <v>19</v>
      </c>
      <c r="D5" s="3">
        <f>88.897/1141.246</f>
        <v>7.7894687035047663E-2</v>
      </c>
      <c r="E5" s="2" t="s">
        <v>15</v>
      </c>
      <c r="H5" t="s">
        <v>0</v>
      </c>
      <c r="I5">
        <v>11.75</v>
      </c>
    </row>
    <row r="6" spans="2:10" x14ac:dyDescent="0.2">
      <c r="B6" t="s">
        <v>10</v>
      </c>
      <c r="C6" s="2" t="s">
        <v>20</v>
      </c>
      <c r="D6" s="3">
        <f>80.946/1141.246</f>
        <v>7.0927740382003515E-2</v>
      </c>
      <c r="E6" s="2" t="s">
        <v>18</v>
      </c>
      <c r="H6" t="s">
        <v>1</v>
      </c>
      <c r="I6" s="1">
        <v>39.767000000000003</v>
      </c>
      <c r="J6" t="s">
        <v>6</v>
      </c>
    </row>
    <row r="7" spans="2:10" x14ac:dyDescent="0.2">
      <c r="H7" t="s">
        <v>2</v>
      </c>
      <c r="I7" s="1">
        <f>I5*I6</f>
        <v>467.26225000000005</v>
      </c>
    </row>
    <row r="8" spans="2:10" x14ac:dyDescent="0.2">
      <c r="H8" t="s">
        <v>3</v>
      </c>
      <c r="I8" s="1">
        <f>159.71+74.823</f>
        <v>234.53300000000002</v>
      </c>
      <c r="J8" t="s">
        <v>6</v>
      </c>
    </row>
    <row r="9" spans="2:10" x14ac:dyDescent="0.2">
      <c r="H9" t="s">
        <v>4</v>
      </c>
      <c r="I9" s="1">
        <f>227.65+14.973</f>
        <v>242.62300000000002</v>
      </c>
      <c r="J9" t="s">
        <v>6</v>
      </c>
    </row>
    <row r="10" spans="2:10" x14ac:dyDescent="0.2">
      <c r="H10" t="s">
        <v>5</v>
      </c>
      <c r="I10" s="1">
        <f>I7-I8+I9</f>
        <v>475.35225000000003</v>
      </c>
    </row>
    <row r="12" spans="2:10" x14ac:dyDescent="0.2">
      <c r="H12" t="s">
        <v>84</v>
      </c>
      <c r="I12" s="1">
        <f>I8-I9</f>
        <v>-8.0900000000000034</v>
      </c>
    </row>
    <row r="13" spans="2:10" x14ac:dyDescent="0.2">
      <c r="B13" s="5" t="s">
        <v>27</v>
      </c>
    </row>
    <row r="14" spans="2:10" x14ac:dyDescent="0.2">
      <c r="B14" t="s">
        <v>7</v>
      </c>
    </row>
    <row r="17" spans="2:3" x14ac:dyDescent="0.2">
      <c r="B17" s="5" t="s">
        <v>21</v>
      </c>
    </row>
    <row r="18" spans="2:3" x14ac:dyDescent="0.2">
      <c r="B18" t="s">
        <v>22</v>
      </c>
    </row>
    <row r="19" spans="2:3" x14ac:dyDescent="0.2">
      <c r="B19" s="4" t="s">
        <v>23</v>
      </c>
    </row>
    <row r="20" spans="2:3" x14ac:dyDescent="0.2">
      <c r="B20" t="s">
        <v>24</v>
      </c>
    </row>
    <row r="21" spans="2:3" x14ac:dyDescent="0.2">
      <c r="B21" s="4" t="s">
        <v>25</v>
      </c>
    </row>
    <row r="22" spans="2:3" x14ac:dyDescent="0.2">
      <c r="B22" t="s">
        <v>26</v>
      </c>
    </row>
    <row r="25" spans="2:3" x14ac:dyDescent="0.2">
      <c r="B25" t="s">
        <v>75</v>
      </c>
    </row>
    <row r="26" spans="2:3" x14ac:dyDescent="0.2">
      <c r="B26" t="s">
        <v>76</v>
      </c>
    </row>
    <row r="28" spans="2:3" x14ac:dyDescent="0.2">
      <c r="B28" s="5" t="s">
        <v>77</v>
      </c>
    </row>
    <row r="29" spans="2:3" x14ac:dyDescent="0.2">
      <c r="B29" t="s">
        <v>78</v>
      </c>
    </row>
    <row r="31" spans="2:3" x14ac:dyDescent="0.2">
      <c r="B31" s="5" t="s">
        <v>79</v>
      </c>
    </row>
    <row r="32" spans="2:3" x14ac:dyDescent="0.2">
      <c r="B32" t="s">
        <v>80</v>
      </c>
      <c r="C32" t="s">
        <v>81</v>
      </c>
    </row>
    <row r="33" spans="3:3" x14ac:dyDescent="0.2">
      <c r="C33" t="s">
        <v>82</v>
      </c>
    </row>
    <row r="34" spans="3:3" x14ac:dyDescent="0.2">
      <c r="C34" t="s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2853-574F-0E43-B8DD-57CCEF12978A}">
  <dimension ref="B3:EG49"/>
  <sheetViews>
    <sheetView tabSelected="1"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73" sqref="W73"/>
    </sheetView>
  </sheetViews>
  <sheetFormatPr baseColWidth="10" defaultRowHeight="13" x14ac:dyDescent="0.15"/>
  <cols>
    <col min="1" max="1" width="10.83203125" style="6"/>
    <col min="2" max="2" width="19.83203125" style="6" bestFit="1" customWidth="1"/>
    <col min="3" max="22" width="10.83203125" style="11"/>
    <col min="23" max="23" width="10.83203125" style="11" customWidth="1"/>
    <col min="24" max="49" width="10.83203125" style="11"/>
    <col min="50" max="16384" width="10.83203125" style="6"/>
  </cols>
  <sheetData>
    <row r="3" spans="2:49" x14ac:dyDescent="0.15"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6</v>
      </c>
      <c r="N3" s="11" t="s">
        <v>39</v>
      </c>
      <c r="O3" s="11" t="s">
        <v>40</v>
      </c>
      <c r="P3" s="11" t="s">
        <v>41</v>
      </c>
      <c r="Q3" s="11" t="s">
        <v>42</v>
      </c>
      <c r="R3" s="11" t="s">
        <v>43</v>
      </c>
      <c r="T3" s="11">
        <v>2021</v>
      </c>
      <c r="U3" s="11">
        <v>2022</v>
      </c>
      <c r="V3" s="11">
        <v>2023</v>
      </c>
      <c r="W3" s="11">
        <v>2024</v>
      </c>
      <c r="X3" s="11">
        <f>W3+1</f>
        <v>2025</v>
      </c>
      <c r="Y3" s="11">
        <f t="shared" ref="Y3:AH3" si="0">X3+1</f>
        <v>2026</v>
      </c>
      <c r="Z3" s="11">
        <f t="shared" si="0"/>
        <v>2027</v>
      </c>
      <c r="AA3" s="11">
        <f t="shared" si="0"/>
        <v>2028</v>
      </c>
      <c r="AB3" s="11">
        <f t="shared" si="0"/>
        <v>2029</v>
      </c>
      <c r="AC3" s="11">
        <f t="shared" si="0"/>
        <v>2030</v>
      </c>
      <c r="AD3" s="11">
        <f t="shared" si="0"/>
        <v>2031</v>
      </c>
      <c r="AE3" s="11">
        <f t="shared" si="0"/>
        <v>2032</v>
      </c>
      <c r="AF3" s="11">
        <f t="shared" si="0"/>
        <v>2033</v>
      </c>
      <c r="AG3" s="11">
        <f t="shared" si="0"/>
        <v>2034</v>
      </c>
      <c r="AH3" s="11">
        <f t="shared" si="0"/>
        <v>2035</v>
      </c>
    </row>
    <row r="4" spans="2:49" s="10" customFormat="1" x14ac:dyDescent="0.15">
      <c r="B4" s="10" t="s">
        <v>46</v>
      </c>
      <c r="C4" s="12">
        <v>14</v>
      </c>
      <c r="D4" s="12">
        <v>13.1</v>
      </c>
      <c r="E4" s="12">
        <v>12.3</v>
      </c>
      <c r="F4" s="12">
        <v>11.3</v>
      </c>
      <c r="G4" s="12">
        <v>10.9</v>
      </c>
      <c r="H4" s="12">
        <v>10.6</v>
      </c>
      <c r="I4" s="12">
        <v>10.4</v>
      </c>
      <c r="J4" s="12">
        <v>10.3</v>
      </c>
      <c r="K4" s="12">
        <v>10.199999999999999</v>
      </c>
      <c r="L4" s="12">
        <v>10.199999999999999</v>
      </c>
      <c r="M4" s="12">
        <v>10.199999999999999</v>
      </c>
      <c r="N4" s="12"/>
      <c r="O4" s="12"/>
      <c r="P4" s="12"/>
      <c r="Q4" s="12"/>
      <c r="R4" s="12"/>
      <c r="S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2:49" s="10" customFormat="1" x14ac:dyDescent="0.15">
      <c r="B5" s="10" t="s">
        <v>47</v>
      </c>
      <c r="C5" s="12">
        <v>8.1999999999999993</v>
      </c>
      <c r="D5" s="12">
        <v>8</v>
      </c>
      <c r="E5" s="12">
        <v>7.9</v>
      </c>
      <c r="F5" s="12">
        <v>7.5</v>
      </c>
      <c r="G5" s="12">
        <v>7.3</v>
      </c>
      <c r="H5" s="12">
        <v>6.9</v>
      </c>
      <c r="I5" s="12">
        <v>6.6</v>
      </c>
      <c r="J5" s="12">
        <v>6.2</v>
      </c>
      <c r="K5" s="12">
        <v>5.9</v>
      </c>
      <c r="L5" s="12">
        <v>5.6</v>
      </c>
      <c r="M5" s="12">
        <v>5.3</v>
      </c>
      <c r="N5" s="12"/>
      <c r="O5" s="12"/>
      <c r="P5" s="12"/>
      <c r="Q5" s="12"/>
      <c r="R5" s="12"/>
      <c r="S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2:49" s="10" customFormat="1" x14ac:dyDescent="0.15">
      <c r="B6" s="10" t="s">
        <v>44</v>
      </c>
      <c r="C6" s="12">
        <f t="shared" ref="C6:H6" si="1">SUM(C4:C5)</f>
        <v>22.2</v>
      </c>
      <c r="D6" s="12">
        <f t="shared" si="1"/>
        <v>21.1</v>
      </c>
      <c r="E6" s="12">
        <f t="shared" si="1"/>
        <v>20.200000000000003</v>
      </c>
      <c r="F6" s="12">
        <f t="shared" si="1"/>
        <v>18.8</v>
      </c>
      <c r="G6" s="12">
        <f t="shared" si="1"/>
        <v>18.2</v>
      </c>
      <c r="H6" s="12">
        <f t="shared" si="1"/>
        <v>17.5</v>
      </c>
      <c r="I6" s="12">
        <f>SUM(I4:I5)</f>
        <v>17</v>
      </c>
      <c r="J6" s="12">
        <f t="shared" ref="J6:M6" si="2">SUM(J4:J5)</f>
        <v>16.5</v>
      </c>
      <c r="K6" s="12">
        <f t="shared" si="2"/>
        <v>16.100000000000001</v>
      </c>
      <c r="L6" s="12">
        <f t="shared" si="2"/>
        <v>15.799999999999999</v>
      </c>
      <c r="M6" s="12">
        <f t="shared" si="2"/>
        <v>15.5</v>
      </c>
      <c r="N6" s="12">
        <f>J6*0.93</f>
        <v>15.345000000000001</v>
      </c>
      <c r="O6" s="12">
        <f>K6*0.97</f>
        <v>15.617000000000001</v>
      </c>
      <c r="P6" s="12">
        <f t="shared" ref="P6:R6" si="3">L6*0.97</f>
        <v>15.325999999999999</v>
      </c>
      <c r="Q6" s="12">
        <f t="shared" si="3"/>
        <v>15.035</v>
      </c>
      <c r="R6" s="12">
        <f t="shared" si="3"/>
        <v>14.884650000000001</v>
      </c>
      <c r="S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2:49" s="16" customFormat="1" x14ac:dyDescent="0.15">
      <c r="B7" s="16" t="s">
        <v>49</v>
      </c>
      <c r="C7" s="17"/>
      <c r="D7" s="17">
        <f t="shared" ref="D7:L9" si="4">D4/C4-1</f>
        <v>-6.4285714285714279E-2</v>
      </c>
      <c r="E7" s="17">
        <f t="shared" si="4"/>
        <v>-6.1068702290076216E-2</v>
      </c>
      <c r="F7" s="17">
        <f t="shared" si="4"/>
        <v>-8.1300813008130079E-2</v>
      </c>
      <c r="G7" s="17">
        <f t="shared" si="4"/>
        <v>-3.539823008849563E-2</v>
      </c>
      <c r="H7" s="17">
        <f t="shared" si="4"/>
        <v>-2.7522935779816571E-2</v>
      </c>
      <c r="I7" s="17">
        <f t="shared" si="4"/>
        <v>-1.8867924528301772E-2</v>
      </c>
      <c r="J7" s="17">
        <f t="shared" si="4"/>
        <v>-9.6153846153845812E-3</v>
      </c>
      <c r="K7" s="17">
        <f t="shared" si="4"/>
        <v>-9.7087378640777766E-3</v>
      </c>
      <c r="L7" s="17">
        <f t="shared" si="4"/>
        <v>0</v>
      </c>
      <c r="M7" s="17">
        <f>M4/L4-1</f>
        <v>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2:49" s="16" customFormat="1" x14ac:dyDescent="0.15">
      <c r="B8" s="16" t="s">
        <v>50</v>
      </c>
      <c r="C8" s="17"/>
      <c r="D8" s="17">
        <f t="shared" si="4"/>
        <v>-2.4390243902438935E-2</v>
      </c>
      <c r="E8" s="17">
        <f t="shared" si="4"/>
        <v>-1.2499999999999956E-2</v>
      </c>
      <c r="F8" s="17">
        <f t="shared" si="4"/>
        <v>-5.0632911392405111E-2</v>
      </c>
      <c r="G8" s="17">
        <f t="shared" si="4"/>
        <v>-2.6666666666666727E-2</v>
      </c>
      <c r="H8" s="17">
        <f t="shared" si="4"/>
        <v>-5.4794520547945091E-2</v>
      </c>
      <c r="I8" s="17">
        <f t="shared" si="4"/>
        <v>-4.3478260869565299E-2</v>
      </c>
      <c r="J8" s="17">
        <f t="shared" si="4"/>
        <v>-6.0606060606060552E-2</v>
      </c>
      <c r="K8" s="17">
        <f t="shared" si="4"/>
        <v>-4.8387096774193505E-2</v>
      </c>
      <c r="L8" s="17">
        <f t="shared" si="4"/>
        <v>-5.0847457627118731E-2</v>
      </c>
      <c r="M8" s="17">
        <f>M5/L5-1</f>
        <v>-5.3571428571428492E-2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2:49" s="16" customFormat="1" x14ac:dyDescent="0.15">
      <c r="B9" s="16" t="s">
        <v>51</v>
      </c>
      <c r="C9" s="17"/>
      <c r="D9" s="17">
        <f t="shared" si="4"/>
        <v>-4.9549549549549488E-2</v>
      </c>
      <c r="E9" s="17">
        <f t="shared" si="4"/>
        <v>-4.2654028436018843E-2</v>
      </c>
      <c r="F9" s="17">
        <f t="shared" si="4"/>
        <v>-6.9306930693069368E-2</v>
      </c>
      <c r="G9" s="17">
        <f t="shared" si="4"/>
        <v>-3.1914893617021378E-2</v>
      </c>
      <c r="H9" s="17">
        <f t="shared" si="4"/>
        <v>-3.8461538461538436E-2</v>
      </c>
      <c r="I9" s="17">
        <f t="shared" si="4"/>
        <v>-2.8571428571428581E-2</v>
      </c>
      <c r="J9" s="17">
        <f t="shared" si="4"/>
        <v>-2.9411764705882359E-2</v>
      </c>
      <c r="K9" s="17">
        <f t="shared" si="4"/>
        <v>-2.4242424242424176E-2</v>
      </c>
      <c r="L9" s="17">
        <f t="shared" si="4"/>
        <v>-1.8633540372670954E-2</v>
      </c>
      <c r="M9" s="17">
        <f>M6/L6-1</f>
        <v>-1.8987341772151778E-2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2:49" s="10" customFormat="1" x14ac:dyDescent="0.15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2:49" s="9" customFormat="1" x14ac:dyDescent="0.15">
      <c r="B11" s="9" t="s">
        <v>45</v>
      </c>
      <c r="C11" s="13">
        <f t="shared" ref="C11:M11" si="5">C15/C6</f>
        <v>6.9063063063063064</v>
      </c>
      <c r="D11" s="13">
        <f t="shared" si="5"/>
        <v>7.2614218009478675</v>
      </c>
      <c r="E11" s="13">
        <f t="shared" si="5"/>
        <v>7.1480198019801966</v>
      </c>
      <c r="F11" s="13">
        <f t="shared" si="5"/>
        <v>7.8807978723404251</v>
      </c>
      <c r="G11" s="13">
        <f t="shared" si="5"/>
        <v>6.6819230769230771</v>
      </c>
      <c r="H11" s="13">
        <f t="shared" si="5"/>
        <v>7.3776571428571431</v>
      </c>
      <c r="I11" s="13">
        <f t="shared" si="5"/>
        <v>7.4396470588235299</v>
      </c>
      <c r="J11" s="13">
        <f t="shared" si="5"/>
        <v>8.3464242424242432</v>
      </c>
      <c r="K11" s="13">
        <f t="shared" si="5"/>
        <v>7.6449689440993787</v>
      </c>
      <c r="L11" s="13">
        <f t="shared" si="5"/>
        <v>7.8870253164556967</v>
      </c>
      <c r="M11" s="13">
        <f>M15/M6</f>
        <v>7.3857419354838711</v>
      </c>
      <c r="N11" s="13">
        <f>J11*1.02</f>
        <v>8.5133527272727285</v>
      </c>
      <c r="O11" s="13">
        <f>K11*1.05</f>
        <v>8.0272173913043474</v>
      </c>
      <c r="P11" s="13">
        <f t="shared" ref="P11:R11" si="6">L11*1.05</f>
        <v>8.2813765822784813</v>
      </c>
      <c r="Q11" s="13">
        <f t="shared" si="6"/>
        <v>7.7550290322580651</v>
      </c>
      <c r="R11" s="13">
        <f t="shared" si="6"/>
        <v>8.9390203636363648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2:49" s="16" customFormat="1" x14ac:dyDescent="0.15">
      <c r="B12" s="16" t="s">
        <v>48</v>
      </c>
      <c r="C12" s="17"/>
      <c r="D12" s="17"/>
      <c r="E12" s="17"/>
      <c r="F12" s="17"/>
      <c r="G12" s="17">
        <f t="shared" ref="G12:L12" si="7">G11/C11-1</f>
        <v>-3.2489614481526763E-2</v>
      </c>
      <c r="H12" s="17">
        <f t="shared" si="7"/>
        <v>1.6007242809404465E-2</v>
      </c>
      <c r="I12" s="17">
        <f t="shared" si="7"/>
        <v>4.0798328057589428E-2</v>
      </c>
      <c r="J12" s="17">
        <f t="shared" si="7"/>
        <v>5.9083658485652446E-2</v>
      </c>
      <c r="K12" s="17">
        <f t="shared" si="7"/>
        <v>0.14412705086389144</v>
      </c>
      <c r="L12" s="17">
        <f t="shared" si="7"/>
        <v>6.9041995817291424E-2</v>
      </c>
      <c r="M12" s="17">
        <f>M11/I11-1</f>
        <v>-7.245655998657452E-3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2:49" s="7" customFormat="1" x14ac:dyDescent="0.1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2:49" s="7" customFormat="1" x14ac:dyDescent="0.1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2:49" s="8" customFormat="1" x14ac:dyDescent="0.15">
      <c r="B15" s="8" t="s">
        <v>28</v>
      </c>
      <c r="C15" s="15">
        <v>153.32</v>
      </c>
      <c r="D15" s="15">
        <v>153.21600000000001</v>
      </c>
      <c r="E15" s="15">
        <v>144.38999999999999</v>
      </c>
      <c r="F15" s="15">
        <v>148.15899999999999</v>
      </c>
      <c r="G15" s="15">
        <v>121.611</v>
      </c>
      <c r="H15" s="15">
        <v>129.10900000000001</v>
      </c>
      <c r="I15" s="15">
        <v>126.474</v>
      </c>
      <c r="J15" s="15">
        <v>137.71600000000001</v>
      </c>
      <c r="K15" s="15">
        <v>123.084</v>
      </c>
      <c r="L15" s="15">
        <v>124.61499999999999</v>
      </c>
      <c r="M15" s="15">
        <v>114.479</v>
      </c>
      <c r="N15" s="15">
        <f>N6*N11</f>
        <v>130.63739760000001</v>
      </c>
      <c r="O15" s="15">
        <f t="shared" ref="O15:R15" si="8">O6*O11</f>
        <v>125.361054</v>
      </c>
      <c r="P15" s="15">
        <f t="shared" si="8"/>
        <v>126.92037749999999</v>
      </c>
      <c r="Q15" s="15">
        <f t="shared" si="8"/>
        <v>116.5968615</v>
      </c>
      <c r="R15" s="15">
        <f t="shared" si="8"/>
        <v>133.05418945560001</v>
      </c>
      <c r="S15" s="15"/>
      <c r="T15" s="18">
        <v>967.10799999999995</v>
      </c>
      <c r="U15" s="15">
        <f>SUM(C15:F15)</f>
        <v>599.08500000000004</v>
      </c>
      <c r="V15" s="15">
        <f>SUM(G15:J15)</f>
        <v>514.91000000000008</v>
      </c>
      <c r="W15" s="15">
        <f>SUM(K15:N15)</f>
        <v>492.81539759999998</v>
      </c>
      <c r="X15" s="15">
        <f>W15*1.02</f>
        <v>502.67170555199999</v>
      </c>
      <c r="Y15" s="15">
        <f>X15*1.02</f>
        <v>512.72513966303995</v>
      </c>
      <c r="Z15" s="15">
        <f t="shared" ref="Y15:Z15" si="9">Y15*1.02</f>
        <v>522.97964245630078</v>
      </c>
      <c r="AA15" s="15">
        <f>Z15*1.01</f>
        <v>528.20943888086379</v>
      </c>
      <c r="AB15" s="15">
        <f>AA15*0.99</f>
        <v>522.92734449205511</v>
      </c>
      <c r="AC15" s="15">
        <f t="shared" ref="AC15:AH15" si="10">AB15*0.99</f>
        <v>517.69807104713459</v>
      </c>
      <c r="AD15" s="15">
        <f t="shared" si="10"/>
        <v>512.52109033666329</v>
      </c>
      <c r="AE15" s="15">
        <f t="shared" si="10"/>
        <v>507.39587943329667</v>
      </c>
      <c r="AF15" s="15">
        <f t="shared" si="10"/>
        <v>502.32192063896372</v>
      </c>
      <c r="AG15" s="15">
        <f t="shared" si="10"/>
        <v>497.29870143257409</v>
      </c>
      <c r="AH15" s="15">
        <f t="shared" si="10"/>
        <v>492.32571441824837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2:49" s="7" customFormat="1" x14ac:dyDescent="0.15">
      <c r="B16" s="7" t="s">
        <v>52</v>
      </c>
      <c r="C16" s="14">
        <v>19.318999999999999</v>
      </c>
      <c r="D16" s="14">
        <v>19.244</v>
      </c>
      <c r="E16" s="14">
        <v>18.667999999999999</v>
      </c>
      <c r="F16" s="14">
        <v>19.03</v>
      </c>
      <c r="G16" s="14">
        <v>16.899999999999999</v>
      </c>
      <c r="H16" s="14">
        <v>16.143999999999998</v>
      </c>
      <c r="I16" s="14">
        <v>15.795999999999999</v>
      </c>
      <c r="J16" s="14">
        <v>15.406000000000001</v>
      </c>
      <c r="K16" s="14">
        <v>12.526999999999999</v>
      </c>
      <c r="L16" s="14">
        <v>11.948</v>
      </c>
      <c r="M16" s="14">
        <v>11.584</v>
      </c>
      <c r="N16" s="14">
        <f>N15-N17</f>
        <v>13.063739760000004</v>
      </c>
      <c r="O16" s="14">
        <f t="shared" ref="O16:R16" si="11">O15-O17</f>
        <v>12.536105399999997</v>
      </c>
      <c r="P16" s="14">
        <f t="shared" si="11"/>
        <v>12.692037749999997</v>
      </c>
      <c r="Q16" s="14">
        <f t="shared" si="11"/>
        <v>11.659686149999999</v>
      </c>
      <c r="R16" s="14">
        <f t="shared" si="11"/>
        <v>13.305418945559992</v>
      </c>
      <c r="S16" s="14"/>
      <c r="T16" s="12">
        <v>229.99199999999999</v>
      </c>
      <c r="U16" s="14">
        <f>SUM(C16:F16)</f>
        <v>76.260999999999996</v>
      </c>
      <c r="V16" s="14">
        <f>SUM(G16:J16)</f>
        <v>64.245999999999995</v>
      </c>
      <c r="W16" s="14">
        <f>SUM(K16:N16)</f>
        <v>49.122739760000002</v>
      </c>
      <c r="X16" s="14">
        <f>X15-X17</f>
        <v>50.267170555199982</v>
      </c>
      <c r="Y16" s="14">
        <f t="shared" ref="Y16:AH16" si="12">Y15-Y17</f>
        <v>51.272513966303961</v>
      </c>
      <c r="Z16" s="14">
        <f t="shared" si="12"/>
        <v>52.297964245630055</v>
      </c>
      <c r="AA16" s="14">
        <f t="shared" si="12"/>
        <v>52.82094388808639</v>
      </c>
      <c r="AB16" s="14">
        <f t="shared" si="12"/>
        <v>52.292734449205511</v>
      </c>
      <c r="AC16" s="14">
        <f t="shared" si="12"/>
        <v>51.769807104713436</v>
      </c>
      <c r="AD16" s="14">
        <f t="shared" si="12"/>
        <v>51.252109033666329</v>
      </c>
      <c r="AE16" s="14">
        <f t="shared" si="12"/>
        <v>50.739587943329639</v>
      </c>
      <c r="AF16" s="14">
        <f t="shared" si="12"/>
        <v>50.232192063896377</v>
      </c>
      <c r="AG16" s="14">
        <f t="shared" si="12"/>
        <v>49.729870143257415</v>
      </c>
      <c r="AH16" s="14">
        <f t="shared" si="12"/>
        <v>49.232571441824803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2:137" s="7" customFormat="1" x14ac:dyDescent="0.15">
      <c r="B17" s="7" t="s">
        <v>53</v>
      </c>
      <c r="C17" s="14">
        <f>C15-C16</f>
        <v>134.001</v>
      </c>
      <c r="D17" s="14">
        <f>D15-D16</f>
        <v>133.97200000000001</v>
      </c>
      <c r="E17" s="14">
        <f>E15-E16</f>
        <v>125.72199999999998</v>
      </c>
      <c r="F17" s="14">
        <f>F15-F16</f>
        <v>129.12899999999999</v>
      </c>
      <c r="G17" s="14">
        <f>G15-G16</f>
        <v>104.71100000000001</v>
      </c>
      <c r="H17" s="14">
        <f>H15-H16</f>
        <v>112.965</v>
      </c>
      <c r="I17" s="14">
        <f>I15-I16</f>
        <v>110.678</v>
      </c>
      <c r="J17" s="14">
        <f>J15-J16</f>
        <v>122.31</v>
      </c>
      <c r="K17" s="14">
        <f>K15-K16</f>
        <v>110.557</v>
      </c>
      <c r="L17" s="14">
        <f>L15-L16</f>
        <v>112.667</v>
      </c>
      <c r="M17" s="14">
        <f>M15-M16</f>
        <v>102.895</v>
      </c>
      <c r="N17" s="14">
        <f>N15*0.9</f>
        <v>117.57365784000001</v>
      </c>
      <c r="O17" s="14">
        <f t="shared" ref="O17:R17" si="13">O15*0.9</f>
        <v>112.8249486</v>
      </c>
      <c r="P17" s="14">
        <f t="shared" si="13"/>
        <v>114.22833974999999</v>
      </c>
      <c r="Q17" s="14">
        <f t="shared" si="13"/>
        <v>104.93717535</v>
      </c>
      <c r="R17" s="14">
        <f t="shared" si="13"/>
        <v>119.74877051004002</v>
      </c>
      <c r="S17" s="14"/>
      <c r="T17" s="12">
        <f>T15-T16</f>
        <v>737.11599999999999</v>
      </c>
      <c r="U17" s="14">
        <f>U15-U16</f>
        <v>522.82400000000007</v>
      </c>
      <c r="V17" s="14">
        <f>V15-V16</f>
        <v>450.6640000000001</v>
      </c>
      <c r="W17" s="14">
        <f>W15-W16</f>
        <v>443.69265783999998</v>
      </c>
      <c r="X17" s="14">
        <f>X15*0.9</f>
        <v>452.40453499680001</v>
      </c>
      <c r="Y17" s="14">
        <f t="shared" ref="Y17:AG17" si="14">Y15*0.9</f>
        <v>461.45262569673599</v>
      </c>
      <c r="Z17" s="14">
        <f t="shared" si="14"/>
        <v>470.68167821067073</v>
      </c>
      <c r="AA17" s="14">
        <f t="shared" si="14"/>
        <v>475.3884949927774</v>
      </c>
      <c r="AB17" s="14">
        <f t="shared" si="14"/>
        <v>470.6346100428496</v>
      </c>
      <c r="AC17" s="14">
        <f t="shared" si="14"/>
        <v>465.92826394242115</v>
      </c>
      <c r="AD17" s="14">
        <f t="shared" si="14"/>
        <v>461.26898130299696</v>
      </c>
      <c r="AE17" s="14">
        <f t="shared" si="14"/>
        <v>456.65629148996703</v>
      </c>
      <c r="AF17" s="14">
        <f t="shared" si="14"/>
        <v>452.08972857506734</v>
      </c>
      <c r="AG17" s="14">
        <f t="shared" si="14"/>
        <v>447.56883128931668</v>
      </c>
      <c r="AH17" s="14">
        <f t="shared" ref="AH17" si="15">AH15*0.9</f>
        <v>443.09314297642356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2:137" s="7" customFormat="1" x14ac:dyDescent="0.15">
      <c r="B18" s="7" t="s">
        <v>56</v>
      </c>
      <c r="C18" s="14">
        <v>39.415999999999997</v>
      </c>
      <c r="D18" s="14">
        <v>29.372</v>
      </c>
      <c r="E18" s="14">
        <v>37.896999999999998</v>
      </c>
      <c r="F18" s="14">
        <v>42.545999999999999</v>
      </c>
      <c r="G18" s="14">
        <v>24.847999999999999</v>
      </c>
      <c r="H18" s="14">
        <v>22.266999999999999</v>
      </c>
      <c r="I18" s="14">
        <v>28.898</v>
      </c>
      <c r="J18" s="14">
        <v>34.491999999999997</v>
      </c>
      <c r="K18" s="14">
        <v>28.809000000000001</v>
      </c>
      <c r="L18" s="14">
        <v>36.520000000000003</v>
      </c>
      <c r="M18" s="14">
        <v>36.258000000000003</v>
      </c>
      <c r="N18" s="20">
        <f>J18*1.3</f>
        <v>44.839599999999997</v>
      </c>
      <c r="O18" s="20">
        <f t="shared" ref="O18:R18" si="16">K18*1.3</f>
        <v>37.451700000000002</v>
      </c>
      <c r="P18" s="20">
        <f t="shared" si="16"/>
        <v>47.476000000000006</v>
      </c>
      <c r="Q18" s="20">
        <f t="shared" si="16"/>
        <v>47.135400000000004</v>
      </c>
      <c r="R18" s="20">
        <f t="shared" si="16"/>
        <v>58.29148</v>
      </c>
      <c r="S18" s="14"/>
      <c r="T18" s="14">
        <v>188.78</v>
      </c>
      <c r="U18" s="14">
        <f>SUM(C18:F18)</f>
        <v>149.23099999999999</v>
      </c>
      <c r="V18" s="14">
        <f>SUM(G18:J18)</f>
        <v>110.505</v>
      </c>
      <c r="W18" s="14">
        <f>SUM(K18:N18)</f>
        <v>146.42660000000001</v>
      </c>
      <c r="X18" s="14">
        <f>W18*1.3</f>
        <v>190.35458000000003</v>
      </c>
      <c r="Y18" s="14">
        <f t="shared" ref="Y18:Z18" si="17">X18*1.3</f>
        <v>247.46095400000004</v>
      </c>
      <c r="Z18" s="14">
        <f t="shared" si="17"/>
        <v>321.69924020000008</v>
      </c>
      <c r="AA18" s="14">
        <f t="shared" ref="AA18:AH18" si="18">Z18*0.95</f>
        <v>305.61427819000005</v>
      </c>
      <c r="AB18" s="14">
        <f t="shared" si="18"/>
        <v>290.33356428050001</v>
      </c>
      <c r="AC18" s="14">
        <f t="shared" si="18"/>
        <v>275.81688606647498</v>
      </c>
      <c r="AD18" s="14">
        <f t="shared" si="18"/>
        <v>262.02604176315123</v>
      </c>
      <c r="AE18" s="14">
        <f t="shared" si="18"/>
        <v>248.92473967499365</v>
      </c>
      <c r="AF18" s="14">
        <f t="shared" si="18"/>
        <v>236.47850269124396</v>
      </c>
      <c r="AG18" s="14">
        <f t="shared" si="18"/>
        <v>224.65457755668174</v>
      </c>
      <c r="AH18" s="14">
        <f t="shared" si="18"/>
        <v>213.42184867884765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2:137" s="7" customFormat="1" x14ac:dyDescent="0.15">
      <c r="B19" s="7" t="s">
        <v>57</v>
      </c>
      <c r="C19" s="14">
        <v>126.42</v>
      </c>
      <c r="D19" s="14">
        <v>123.938</v>
      </c>
      <c r="E19" s="14">
        <v>119.24299999999999</v>
      </c>
      <c r="F19" s="14">
        <v>111.774</v>
      </c>
      <c r="G19" s="14">
        <v>101.634</v>
      </c>
      <c r="H19" s="14">
        <v>96.263000000000005</v>
      </c>
      <c r="I19" s="14">
        <v>80.016000000000005</v>
      </c>
      <c r="J19" s="14">
        <v>72.492000000000004</v>
      </c>
      <c r="K19" s="14">
        <v>74.281999999999996</v>
      </c>
      <c r="L19" s="14">
        <v>77.212000000000003</v>
      </c>
      <c r="M19" s="14">
        <v>71.326999999999998</v>
      </c>
      <c r="N19" s="14">
        <f>J19*0.95</f>
        <v>68.867400000000004</v>
      </c>
      <c r="O19" s="14">
        <f t="shared" ref="O19:R19" si="19">K19*0.95</f>
        <v>70.567899999999995</v>
      </c>
      <c r="P19" s="14">
        <f t="shared" si="19"/>
        <v>73.351399999999998</v>
      </c>
      <c r="Q19" s="14">
        <f t="shared" si="19"/>
        <v>67.760649999999998</v>
      </c>
      <c r="R19" s="14">
        <f t="shared" si="19"/>
        <v>65.424030000000002</v>
      </c>
      <c r="S19" s="14"/>
      <c r="T19" s="14">
        <v>511.096</v>
      </c>
      <c r="U19" s="14">
        <f>SUM(C19:F19)</f>
        <v>481.375</v>
      </c>
      <c r="V19" s="14">
        <f>SUM(G19:J19)</f>
        <v>350.40500000000003</v>
      </c>
      <c r="W19" s="14">
        <f>SUM(K19:N19)</f>
        <v>291.6884</v>
      </c>
      <c r="X19" s="14">
        <f>W19*0.9</f>
        <v>262.51956000000001</v>
      </c>
      <c r="Y19" s="14">
        <f t="shared" ref="Y19" si="20">X19*0.9</f>
        <v>236.26760400000001</v>
      </c>
      <c r="Z19" s="14">
        <f>Y19*0.95</f>
        <v>224.45422379999999</v>
      </c>
      <c r="AA19" s="14">
        <f t="shared" ref="AA19:AB19" si="21">Z19*0.95</f>
        <v>213.23151260999998</v>
      </c>
      <c r="AB19" s="14">
        <f t="shared" si="21"/>
        <v>202.56993697949997</v>
      </c>
      <c r="AC19" s="14">
        <f>AB19*0.97</f>
        <v>196.49283887011498</v>
      </c>
      <c r="AD19" s="14">
        <f t="shared" ref="AD19:AH19" si="22">AC19*0.97</f>
        <v>190.59805370401153</v>
      </c>
      <c r="AE19" s="14">
        <f t="shared" si="22"/>
        <v>184.88011209289118</v>
      </c>
      <c r="AF19" s="14">
        <f t="shared" si="22"/>
        <v>179.33370873010443</v>
      </c>
      <c r="AG19" s="14">
        <f t="shared" si="22"/>
        <v>173.95369746820128</v>
      </c>
      <c r="AH19" s="14">
        <f t="shared" si="22"/>
        <v>168.73508654415525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2:137" s="7" customFormat="1" x14ac:dyDescent="0.15">
      <c r="B20" s="7" t="s">
        <v>58</v>
      </c>
      <c r="C20" s="14">
        <v>0.312</v>
      </c>
      <c r="D20" s="14">
        <v>2.9390000000000001</v>
      </c>
      <c r="E20" s="14">
        <v>4.9119999999999999</v>
      </c>
      <c r="F20" s="14">
        <v>4.1870000000000003</v>
      </c>
      <c r="G20" s="14">
        <v>8.7940000000000005</v>
      </c>
      <c r="H20" s="14">
        <v>-0.68899999999999995</v>
      </c>
      <c r="I20" s="14">
        <v>2.2280000000000002</v>
      </c>
      <c r="J20" s="14">
        <v>-2.327</v>
      </c>
      <c r="K20" s="14">
        <v>9.6000000000000002E-2</v>
      </c>
      <c r="L20" s="14">
        <v>-0.379</v>
      </c>
      <c r="M20" s="14">
        <v>0.89600000000000002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/>
      <c r="T20" s="14">
        <v>41.895000000000003</v>
      </c>
      <c r="U20" s="14">
        <f>SUM(C20:F20)</f>
        <v>12.350000000000001</v>
      </c>
      <c r="V20" s="14">
        <f>SUM(G20:J20)</f>
        <v>8.0060000000000002</v>
      </c>
      <c r="W20" s="14">
        <f>SUM(K20:N20)</f>
        <v>0.61299999999999999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2:137" s="7" customFormat="1" x14ac:dyDescent="0.15">
      <c r="B21" s="7" t="s">
        <v>54</v>
      </c>
      <c r="C21" s="14">
        <f>SUM(C18:C20)</f>
        <v>166.14800000000002</v>
      </c>
      <c r="D21" s="14">
        <f>SUM(D18:D20)</f>
        <v>156.249</v>
      </c>
      <c r="E21" s="14">
        <f>SUM(E18:E20)</f>
        <v>162.05199999999999</v>
      </c>
      <c r="F21" s="14">
        <f>SUM(F18:F20)</f>
        <v>158.50700000000001</v>
      </c>
      <c r="G21" s="14">
        <f>SUM(G18:G20)</f>
        <v>135.27600000000001</v>
      </c>
      <c r="H21" s="14">
        <f>SUM(H18:H20)</f>
        <v>117.84100000000001</v>
      </c>
      <c r="I21" s="14">
        <f>SUM(I18:I20)</f>
        <v>111.142</v>
      </c>
      <c r="J21" s="14">
        <f>SUM(J18:J20)</f>
        <v>104.65700000000001</v>
      </c>
      <c r="K21" s="14">
        <f>SUM(K18:K20)</f>
        <v>103.187</v>
      </c>
      <c r="L21" s="14">
        <f>SUM(L18:L20)</f>
        <v>113.35299999999999</v>
      </c>
      <c r="M21" s="14">
        <f>SUM(M18:M20)</f>
        <v>108.48100000000001</v>
      </c>
      <c r="N21" s="14">
        <f t="shared" ref="N21:R21" si="23">SUM(N18:N20)</f>
        <v>113.70699999999999</v>
      </c>
      <c r="O21" s="14">
        <f t="shared" si="23"/>
        <v>108.0196</v>
      </c>
      <c r="P21" s="14">
        <f t="shared" si="23"/>
        <v>120.82740000000001</v>
      </c>
      <c r="Q21" s="14">
        <f t="shared" si="23"/>
        <v>114.89605</v>
      </c>
      <c r="R21" s="14">
        <f t="shared" si="23"/>
        <v>123.71550999999999</v>
      </c>
      <c r="S21" s="14"/>
      <c r="T21" s="14">
        <f>SUM(T18:T20)</f>
        <v>741.77099999999996</v>
      </c>
      <c r="U21" s="14">
        <f>SUM(U18:U20)</f>
        <v>642.95600000000002</v>
      </c>
      <c r="V21" s="14">
        <f>SUM(V18:V20)</f>
        <v>468.91600000000005</v>
      </c>
      <c r="W21" s="14">
        <f>SUM(W18:W20)</f>
        <v>438.72800000000001</v>
      </c>
      <c r="X21" s="14">
        <f t="shared" ref="X21:AH21" si="24">SUM(X18:X20)</f>
        <v>452.87414000000001</v>
      </c>
      <c r="Y21" s="14">
        <f t="shared" si="24"/>
        <v>483.72855800000002</v>
      </c>
      <c r="Z21" s="14">
        <f t="shared" si="24"/>
        <v>546.1534640000001</v>
      </c>
      <c r="AA21" s="14">
        <f t="shared" si="24"/>
        <v>518.84579080000003</v>
      </c>
      <c r="AB21" s="14">
        <f t="shared" si="24"/>
        <v>492.90350125999998</v>
      </c>
      <c r="AC21" s="14">
        <f t="shared" si="24"/>
        <v>472.30972493658999</v>
      </c>
      <c r="AD21" s="14">
        <f t="shared" si="24"/>
        <v>452.62409546716276</v>
      </c>
      <c r="AE21" s="14">
        <f t="shared" si="24"/>
        <v>433.80485176788483</v>
      </c>
      <c r="AF21" s="14">
        <f t="shared" si="24"/>
        <v>415.81221142134837</v>
      </c>
      <c r="AG21" s="14">
        <f t="shared" si="24"/>
        <v>398.60827502488303</v>
      </c>
      <c r="AH21" s="14">
        <f t="shared" si="24"/>
        <v>382.1569352230029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2:137" s="7" customFormat="1" x14ac:dyDescent="0.15">
      <c r="B22" s="7" t="s">
        <v>55</v>
      </c>
      <c r="C22" s="14">
        <f>C17-C21</f>
        <v>-32.14700000000002</v>
      </c>
      <c r="D22" s="14">
        <f>D17-D21</f>
        <v>-22.276999999999987</v>
      </c>
      <c r="E22" s="14">
        <f>E17-E21</f>
        <v>-36.330000000000013</v>
      </c>
      <c r="F22" s="14">
        <f>F17-F21</f>
        <v>-29.378000000000014</v>
      </c>
      <c r="G22" s="14">
        <f>G17-G21</f>
        <v>-30.564999999999998</v>
      </c>
      <c r="H22" s="14">
        <f>H17-H21</f>
        <v>-4.8760000000000048</v>
      </c>
      <c r="I22" s="14">
        <f>I17-I21</f>
        <v>-0.46399999999999864</v>
      </c>
      <c r="J22" s="14">
        <f>J17-J21</f>
        <v>17.652999999999992</v>
      </c>
      <c r="K22" s="14">
        <f>K17-K21</f>
        <v>7.3700000000000045</v>
      </c>
      <c r="L22" s="14">
        <f>L17-L21</f>
        <v>-0.68599999999999284</v>
      </c>
      <c r="M22" s="14">
        <f>M17-M21</f>
        <v>-5.5860000000000127</v>
      </c>
      <c r="N22" s="14">
        <f t="shared" ref="N22:R22" si="25">N17-N21</f>
        <v>3.8666578400000162</v>
      </c>
      <c r="O22" s="14">
        <f t="shared" si="25"/>
        <v>4.8053486000000021</v>
      </c>
      <c r="P22" s="14">
        <f t="shared" si="25"/>
        <v>-6.5990602500000222</v>
      </c>
      <c r="Q22" s="14">
        <f t="shared" si="25"/>
        <v>-9.9588746499999985</v>
      </c>
      <c r="R22" s="14">
        <f t="shared" si="25"/>
        <v>-3.966739489959977</v>
      </c>
      <c r="S22" s="14"/>
      <c r="T22" s="14">
        <f>T17-T21</f>
        <v>-4.6549999999999727</v>
      </c>
      <c r="U22" s="14">
        <f>U17-U21</f>
        <v>-120.13199999999995</v>
      </c>
      <c r="V22" s="14">
        <f>V17-V21</f>
        <v>-18.251999999999953</v>
      </c>
      <c r="W22" s="14">
        <f>W17-W21</f>
        <v>4.9646578399999726</v>
      </c>
      <c r="X22" s="14">
        <f>X17-X21</f>
        <v>-0.46960500320000165</v>
      </c>
      <c r="Y22" s="14">
        <f t="shared" ref="Y22:AH22" si="26">Y17-Y21</f>
        <v>-22.275932303264028</v>
      </c>
      <c r="Z22" s="14">
        <f t="shared" si="26"/>
        <v>-75.471785789329374</v>
      </c>
      <c r="AA22" s="14">
        <f t="shared" si="26"/>
        <v>-43.457295807222636</v>
      </c>
      <c r="AB22" s="14">
        <f t="shared" si="26"/>
        <v>-22.268891217150383</v>
      </c>
      <c r="AC22" s="14">
        <f t="shared" si="26"/>
        <v>-6.3814609941688332</v>
      </c>
      <c r="AD22" s="14">
        <f t="shared" si="26"/>
        <v>8.6448858358342022</v>
      </c>
      <c r="AE22" s="14">
        <f t="shared" si="26"/>
        <v>22.851439722082205</v>
      </c>
      <c r="AF22" s="14">
        <f t="shared" si="26"/>
        <v>36.277517153718975</v>
      </c>
      <c r="AG22" s="14">
        <f t="shared" si="26"/>
        <v>48.960556264433649</v>
      </c>
      <c r="AH22" s="14">
        <f t="shared" si="26"/>
        <v>60.936207753420661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2:137" s="7" customFormat="1" x14ac:dyDescent="0.15">
      <c r="B23" s="7" t="s">
        <v>59</v>
      </c>
      <c r="C23" s="14">
        <v>-4.88</v>
      </c>
      <c r="D23" s="14">
        <v>-21.34</v>
      </c>
      <c r="E23" s="14">
        <v>-23.541</v>
      </c>
      <c r="F23" s="14">
        <v>25.606000000000002</v>
      </c>
      <c r="G23" s="14">
        <v>3.07</v>
      </c>
      <c r="H23" s="14">
        <v>-4.8049999999999997</v>
      </c>
      <c r="I23" s="14">
        <v>-39.524999999999999</v>
      </c>
      <c r="J23" s="14">
        <v>16.085999999999999</v>
      </c>
      <c r="K23" s="14">
        <v>-12.682</v>
      </c>
      <c r="L23" s="14">
        <v>-4.4829999999999997</v>
      </c>
      <c r="M23" s="14">
        <v>22.428999999999998</v>
      </c>
      <c r="N23" s="14">
        <f>M42*1.01</f>
        <v>-8.08</v>
      </c>
      <c r="O23" s="14">
        <f t="shared" ref="O23:R23" si="27">N42*1.01</f>
        <v>-11.484380465279987</v>
      </c>
      <c r="P23" s="14">
        <f t="shared" si="27"/>
        <v>-16.881038212426215</v>
      </c>
      <c r="Q23" s="14">
        <f t="shared" si="27"/>
        <v>-35.852957770066617</v>
      </c>
      <c r="R23" s="14">
        <f t="shared" si="27"/>
        <v>-72.86891836548044</v>
      </c>
      <c r="S23" s="14"/>
      <c r="T23" s="14">
        <v>92.68</v>
      </c>
      <c r="U23" s="14">
        <f>SUM(C23:F23)</f>
        <v>-24.154999999999994</v>
      </c>
      <c r="V23" s="14">
        <f>SUM(G23:J23)</f>
        <v>-25.173999999999999</v>
      </c>
      <c r="W23" s="14">
        <f>SUM(K23:N23)</f>
        <v>-2.8160000000000007</v>
      </c>
      <c r="X23" s="14">
        <f>W42*$AK$31</f>
        <v>-0.11</v>
      </c>
      <c r="Y23" s="14">
        <f t="shared" ref="Y23:AH23" si="28">X42*$AK$31</f>
        <v>-0.11463684002560001</v>
      </c>
      <c r="Z23" s="14">
        <f t="shared" si="28"/>
        <v>-0.29376139317191707</v>
      </c>
      <c r="AA23" s="14">
        <f t="shared" si="28"/>
        <v>-0.89988577063192743</v>
      </c>
      <c r="AB23" s="14">
        <f t="shared" si="28"/>
        <v>-1.2547432232547637</v>
      </c>
      <c r="AC23" s="14">
        <f t="shared" si="28"/>
        <v>-1.4429322987780049</v>
      </c>
      <c r="AD23" s="14">
        <f t="shared" si="28"/>
        <v>-1.5055274451215794</v>
      </c>
      <c r="AE23" s="14">
        <f t="shared" si="28"/>
        <v>-1.4484125779958785</v>
      </c>
      <c r="AF23" s="14">
        <f t="shared" si="28"/>
        <v>-1.2771883608431878</v>
      </c>
      <c r="AG23" s="14">
        <f t="shared" si="28"/>
        <v>-0.99718573050018156</v>
      </c>
      <c r="AH23" s="14">
        <f t="shared" si="28"/>
        <v>-0.61347876622871389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2:137" s="7" customFormat="1" x14ac:dyDescent="0.15">
      <c r="B24" s="7" t="s">
        <v>60</v>
      </c>
      <c r="C24" s="14">
        <f>C22+C23</f>
        <v>-37.027000000000022</v>
      </c>
      <c r="D24" s="14">
        <f>D22+D23</f>
        <v>-43.61699999999999</v>
      </c>
      <c r="E24" s="14">
        <f>E22+E23</f>
        <v>-59.871000000000009</v>
      </c>
      <c r="F24" s="14">
        <f>F22+F23</f>
        <v>-3.7720000000000127</v>
      </c>
      <c r="G24" s="14">
        <f>G22+G23</f>
        <v>-27.494999999999997</v>
      </c>
      <c r="H24" s="14">
        <f>H22+H23</f>
        <v>-9.6810000000000045</v>
      </c>
      <c r="I24" s="14">
        <f>I22+I23</f>
        <v>-39.988999999999997</v>
      </c>
      <c r="J24" s="14">
        <f>J22+J23</f>
        <v>33.73899999999999</v>
      </c>
      <c r="K24" s="14">
        <f>K22+K23</f>
        <v>-5.3119999999999958</v>
      </c>
      <c r="L24" s="14">
        <f>L22+L23</f>
        <v>-5.1689999999999925</v>
      </c>
      <c r="M24" s="14">
        <f>M22+M23</f>
        <v>16.842999999999986</v>
      </c>
      <c r="N24" s="14">
        <f t="shared" ref="N24:R24" si="29">N22+N23</f>
        <v>-4.2133421599999838</v>
      </c>
      <c r="O24" s="14">
        <f t="shared" si="29"/>
        <v>-6.6790318652799847</v>
      </c>
      <c r="P24" s="14">
        <f t="shared" si="29"/>
        <v>-23.480098462426238</v>
      </c>
      <c r="Q24" s="14">
        <f t="shared" si="29"/>
        <v>-45.811832420066615</v>
      </c>
      <c r="R24" s="14">
        <f t="shared" si="29"/>
        <v>-76.835657855440417</v>
      </c>
      <c r="S24" s="14"/>
      <c r="T24" s="14">
        <f>T22+T23</f>
        <v>88.025000000000034</v>
      </c>
      <c r="U24" s="14">
        <f>U22+U23</f>
        <v>-144.28699999999995</v>
      </c>
      <c r="V24" s="14">
        <f>V22+V23</f>
        <v>-43.425999999999952</v>
      </c>
      <c r="W24" s="14">
        <f>W22+W23</f>
        <v>2.1486578399999718</v>
      </c>
      <c r="X24" s="14">
        <f t="shared" ref="X24:AH24" si="30">X22+X23</f>
        <v>-0.57960500320000163</v>
      </c>
      <c r="Y24" s="14">
        <f t="shared" si="30"/>
        <v>-22.390569143289628</v>
      </c>
      <c r="Z24" s="14">
        <f t="shared" si="30"/>
        <v>-75.765547182501294</v>
      </c>
      <c r="AA24" s="14">
        <f t="shared" si="30"/>
        <v>-44.357181577854561</v>
      </c>
      <c r="AB24" s="14">
        <f t="shared" si="30"/>
        <v>-23.523634440405147</v>
      </c>
      <c r="AC24" s="14">
        <f t="shared" si="30"/>
        <v>-7.8243932929468381</v>
      </c>
      <c r="AD24" s="14">
        <f t="shared" si="30"/>
        <v>7.1393583907126228</v>
      </c>
      <c r="AE24" s="14">
        <f t="shared" si="30"/>
        <v>21.403027144086327</v>
      </c>
      <c r="AF24" s="14">
        <f t="shared" si="30"/>
        <v>35.000328792875784</v>
      </c>
      <c r="AG24" s="14">
        <f t="shared" si="30"/>
        <v>47.963370533933464</v>
      </c>
      <c r="AH24" s="14">
        <f t="shared" si="30"/>
        <v>60.322728987191944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2:137" s="7" customFormat="1" x14ac:dyDescent="0.15">
      <c r="B25" s="7" t="s">
        <v>61</v>
      </c>
      <c r="C25" s="14">
        <f>-2.675+0.5</f>
        <v>-2.1749999999999998</v>
      </c>
      <c r="D25" s="14">
        <f>2.398+0.977</f>
        <v>3.375</v>
      </c>
      <c r="E25" s="14">
        <f>-4.328+0.68</f>
        <v>-3.6480000000000001</v>
      </c>
      <c r="F25" s="14">
        <f>47.015+1.072</f>
        <v>48.087000000000003</v>
      </c>
      <c r="G25" s="14">
        <f>1.118+0.534</f>
        <v>1.6520000000000001</v>
      </c>
      <c r="H25" s="14">
        <f>2.323+0.603</f>
        <v>2.9260000000000002</v>
      </c>
      <c r="I25" s="14">
        <f>0.817+0.552</f>
        <v>1.369</v>
      </c>
      <c r="J25" s="14">
        <f>5.25+0.787</f>
        <v>6.0369999999999999</v>
      </c>
      <c r="K25" s="14">
        <f>6.194+0.765</f>
        <v>6.9589999999999996</v>
      </c>
      <c r="L25" s="14">
        <f>9.287+0.623</f>
        <v>9.91</v>
      </c>
      <c r="M25" s="14">
        <f>2.321+0.594</f>
        <v>2.915</v>
      </c>
      <c r="N25" s="14">
        <f>N24*0.2</f>
        <v>-0.84266843199999686</v>
      </c>
      <c r="O25" s="14">
        <f t="shared" ref="O25:R25" si="31">O24*0.2</f>
        <v>-1.335806373055997</v>
      </c>
      <c r="P25" s="14">
        <f t="shared" si="31"/>
        <v>-4.6960196924852475</v>
      </c>
      <c r="Q25" s="14">
        <f t="shared" si="31"/>
        <v>-9.1623664840133241</v>
      </c>
      <c r="R25" s="14">
        <f t="shared" si="31"/>
        <v>-15.367131571088084</v>
      </c>
      <c r="S25" s="14"/>
      <c r="T25" s="14">
        <f>-32.323+1.68</f>
        <v>-30.643000000000001</v>
      </c>
      <c r="U25" s="14">
        <f>SUM(C25:F25)</f>
        <v>45.639000000000003</v>
      </c>
      <c r="V25" s="14">
        <f>SUM(G25:J25)</f>
        <v>11.984</v>
      </c>
      <c r="W25" s="14">
        <f>SUM(K25:N25)</f>
        <v>18.941331568000003</v>
      </c>
      <c r="X25" s="14">
        <f>X24*0.2</f>
        <v>-0.11592100064000033</v>
      </c>
      <c r="Y25" s="14">
        <f t="shared" ref="Y25:AH25" si="32">Y24*0.2</f>
        <v>-4.4781138286579258</v>
      </c>
      <c r="Z25" s="14">
        <f t="shared" si="32"/>
        <v>-15.153109436500259</v>
      </c>
      <c r="AA25" s="14">
        <f t="shared" si="32"/>
        <v>-8.8714363155709126</v>
      </c>
      <c r="AB25" s="14">
        <f t="shared" si="32"/>
        <v>-4.7047268880810291</v>
      </c>
      <c r="AC25" s="14">
        <f t="shared" si="32"/>
        <v>-1.5648786585893677</v>
      </c>
      <c r="AD25" s="14">
        <f t="shared" si="32"/>
        <v>1.4278716781425247</v>
      </c>
      <c r="AE25" s="14">
        <f t="shared" si="32"/>
        <v>4.2806054288172657</v>
      </c>
      <c r="AF25" s="14">
        <f t="shared" si="32"/>
        <v>7.0000657585751576</v>
      </c>
      <c r="AG25" s="14">
        <f t="shared" si="32"/>
        <v>9.5926741067866939</v>
      </c>
      <c r="AH25" s="14">
        <f t="shared" si="32"/>
        <v>12.06454579743839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2:137" s="7" customFormat="1" x14ac:dyDescent="0.15">
      <c r="B26" s="7" t="s">
        <v>62</v>
      </c>
      <c r="C26" s="14">
        <f>C24-C25</f>
        <v>-34.852000000000025</v>
      </c>
      <c r="D26" s="14">
        <f>D24-D25</f>
        <v>-46.99199999999999</v>
      </c>
      <c r="E26" s="14">
        <f>E24-E25</f>
        <v>-56.223000000000006</v>
      </c>
      <c r="F26" s="14">
        <f>F24-F25</f>
        <v>-51.859000000000016</v>
      </c>
      <c r="G26" s="14">
        <f>G24-G25</f>
        <v>-29.146999999999998</v>
      </c>
      <c r="H26" s="14">
        <f>H24-H25</f>
        <v>-12.607000000000005</v>
      </c>
      <c r="I26" s="14">
        <f>I24-I25</f>
        <v>-41.357999999999997</v>
      </c>
      <c r="J26" s="14">
        <f>J24-J25</f>
        <v>27.701999999999991</v>
      </c>
      <c r="K26" s="14">
        <f>K24-K25</f>
        <v>-12.270999999999995</v>
      </c>
      <c r="L26" s="14">
        <f>L24-L25</f>
        <v>-15.078999999999994</v>
      </c>
      <c r="M26" s="14">
        <f>M24-M25</f>
        <v>13.927999999999987</v>
      </c>
      <c r="N26" s="14">
        <f t="shared" ref="N26:R26" si="33">N24-N25</f>
        <v>-3.370673727999987</v>
      </c>
      <c r="O26" s="14">
        <f t="shared" si="33"/>
        <v>-5.3432254922239881</v>
      </c>
      <c r="P26" s="14">
        <f t="shared" si="33"/>
        <v>-18.78407876994099</v>
      </c>
      <c r="Q26" s="14">
        <f t="shared" si="33"/>
        <v>-36.649465936053289</v>
      </c>
      <c r="R26" s="14">
        <f t="shared" si="33"/>
        <v>-61.468526284352336</v>
      </c>
      <c r="S26" s="14"/>
      <c r="T26" s="14">
        <f>T24-T25</f>
        <v>118.66800000000003</v>
      </c>
      <c r="U26" s="14">
        <f>U24-U25</f>
        <v>-189.92599999999996</v>
      </c>
      <c r="V26" s="14">
        <f>V24-V25</f>
        <v>-55.409999999999954</v>
      </c>
      <c r="W26" s="14">
        <f>W24-W25</f>
        <v>-16.792673728000032</v>
      </c>
      <c r="X26" s="14">
        <f t="shared" ref="X26:AH26" si="34">X24-X25</f>
        <v>-0.46368400256000131</v>
      </c>
      <c r="Y26" s="14">
        <f t="shared" si="34"/>
        <v>-17.912455314631703</v>
      </c>
      <c r="Z26" s="14">
        <f t="shared" si="34"/>
        <v>-60.612437746001035</v>
      </c>
      <c r="AA26" s="14">
        <f t="shared" si="34"/>
        <v>-35.48574526228365</v>
      </c>
      <c r="AB26" s="14">
        <f t="shared" si="34"/>
        <v>-18.818907552324116</v>
      </c>
      <c r="AC26" s="14">
        <f t="shared" si="34"/>
        <v>-6.2595146343574708</v>
      </c>
      <c r="AD26" s="14">
        <f t="shared" si="34"/>
        <v>5.7114867125700979</v>
      </c>
      <c r="AE26" s="14">
        <f t="shared" si="34"/>
        <v>17.122421715269063</v>
      </c>
      <c r="AF26" s="14">
        <f t="shared" si="34"/>
        <v>28.000263034300627</v>
      </c>
      <c r="AG26" s="14">
        <f t="shared" si="34"/>
        <v>38.370696427146768</v>
      </c>
      <c r="AH26" s="14">
        <f t="shared" si="34"/>
        <v>48.258183189753552</v>
      </c>
      <c r="AI26" s="14">
        <f>AH26*(1+$AK$30)</f>
        <v>47.293019525958478</v>
      </c>
      <c r="AJ26" s="14">
        <f t="shared" ref="AJ26:CU26" si="35">AI26*(1+$AK$30)</f>
        <v>46.347159135439306</v>
      </c>
      <c r="AK26" s="14">
        <f t="shared" si="35"/>
        <v>45.420215952730516</v>
      </c>
      <c r="AL26" s="14">
        <f t="shared" si="35"/>
        <v>44.511811633675904</v>
      </c>
      <c r="AM26" s="14">
        <f t="shared" si="35"/>
        <v>43.621575401002389</v>
      </c>
      <c r="AN26" s="14">
        <f t="shared" si="35"/>
        <v>42.749143892982339</v>
      </c>
      <c r="AO26" s="14">
        <f t="shared" si="35"/>
        <v>41.894161015122691</v>
      </c>
      <c r="AP26" s="14">
        <f t="shared" si="35"/>
        <v>41.05627779482024</v>
      </c>
      <c r="AQ26" s="14">
        <f t="shared" si="35"/>
        <v>40.235152238923831</v>
      </c>
      <c r="AR26" s="14">
        <f t="shared" si="35"/>
        <v>39.430449194145353</v>
      </c>
      <c r="AS26" s="14">
        <f t="shared" si="35"/>
        <v>38.641840210262444</v>
      </c>
      <c r="AT26" s="14">
        <f t="shared" si="35"/>
        <v>37.869003406057196</v>
      </c>
      <c r="AU26" s="14">
        <f t="shared" si="35"/>
        <v>37.111623337936052</v>
      </c>
      <c r="AV26" s="14">
        <f t="shared" si="35"/>
        <v>36.36939087117733</v>
      </c>
      <c r="AW26" s="14">
        <f t="shared" si="35"/>
        <v>35.642003053753783</v>
      </c>
      <c r="AX26" s="14">
        <f t="shared" si="35"/>
        <v>34.929162992678705</v>
      </c>
      <c r="AY26" s="14">
        <f t="shared" si="35"/>
        <v>34.230579732825127</v>
      </c>
      <c r="AZ26" s="14">
        <f t="shared" si="35"/>
        <v>33.545968138168625</v>
      </c>
      <c r="BA26" s="14">
        <f t="shared" si="35"/>
        <v>32.875048775405254</v>
      </c>
      <c r="BB26" s="14">
        <f t="shared" si="35"/>
        <v>32.217547799897147</v>
      </c>
      <c r="BC26" s="14">
        <f t="shared" si="35"/>
        <v>31.573196843899204</v>
      </c>
      <c r="BD26" s="14">
        <f t="shared" si="35"/>
        <v>30.941732907021219</v>
      </c>
      <c r="BE26" s="14">
        <f t="shared" si="35"/>
        <v>30.322898248880794</v>
      </c>
      <c r="BF26" s="14">
        <f t="shared" si="35"/>
        <v>29.716440283903179</v>
      </c>
      <c r="BG26" s="14">
        <f t="shared" si="35"/>
        <v>29.122111478225115</v>
      </c>
      <c r="BH26" s="14">
        <f t="shared" si="35"/>
        <v>28.539669248660612</v>
      </c>
      <c r="BI26" s="14">
        <f t="shared" si="35"/>
        <v>27.968875863687398</v>
      </c>
      <c r="BJ26" s="14">
        <f t="shared" si="35"/>
        <v>27.409498346413649</v>
      </c>
      <c r="BK26" s="14">
        <f t="shared" si="35"/>
        <v>26.861308379485376</v>
      </c>
      <c r="BL26" s="14">
        <f t="shared" si="35"/>
        <v>26.324082211895668</v>
      </c>
      <c r="BM26" s="14">
        <f t="shared" si="35"/>
        <v>25.797600567657753</v>
      </c>
      <c r="BN26" s="14">
        <f t="shared" si="35"/>
        <v>25.281648556304596</v>
      </c>
      <c r="BO26" s="14">
        <f t="shared" si="35"/>
        <v>24.776015585178502</v>
      </c>
      <c r="BP26" s="14">
        <f t="shared" si="35"/>
        <v>24.28049527347493</v>
      </c>
      <c r="BQ26" s="14">
        <f t="shared" si="35"/>
        <v>23.794885368005431</v>
      </c>
      <c r="BR26" s="14">
        <f t="shared" si="35"/>
        <v>23.318987660645323</v>
      </c>
      <c r="BS26" s="14">
        <f t="shared" si="35"/>
        <v>22.852607907432418</v>
      </c>
      <c r="BT26" s="14">
        <f t="shared" si="35"/>
        <v>22.395555749283769</v>
      </c>
      <c r="BU26" s="14">
        <f t="shared" si="35"/>
        <v>21.947644634298094</v>
      </c>
      <c r="BV26" s="14">
        <f t="shared" si="35"/>
        <v>21.508691741612132</v>
      </c>
      <c r="BW26" s="14">
        <f t="shared" si="35"/>
        <v>21.07851790677989</v>
      </c>
      <c r="BX26" s="14">
        <f t="shared" si="35"/>
        <v>20.656947548644293</v>
      </c>
      <c r="BY26" s="14">
        <f t="shared" si="35"/>
        <v>20.243808597671407</v>
      </c>
      <c r="BZ26" s="14">
        <f t="shared" si="35"/>
        <v>19.838932425717978</v>
      </c>
      <c r="CA26" s="14">
        <f t="shared" si="35"/>
        <v>19.442153777203618</v>
      </c>
      <c r="CB26" s="14">
        <f t="shared" si="35"/>
        <v>19.053310701659544</v>
      </c>
      <c r="CC26" s="14">
        <f t="shared" si="35"/>
        <v>18.672244487626354</v>
      </c>
      <c r="CD26" s="14">
        <f t="shared" si="35"/>
        <v>18.298799597873828</v>
      </c>
      <c r="CE26" s="14">
        <f t="shared" si="35"/>
        <v>17.932823605916351</v>
      </c>
      <c r="CF26" s="14">
        <f t="shared" si="35"/>
        <v>17.574167133798024</v>
      </c>
      <c r="CG26" s="14">
        <f t="shared" si="35"/>
        <v>17.222683791122062</v>
      </c>
      <c r="CH26" s="14">
        <f t="shared" si="35"/>
        <v>16.878230115299619</v>
      </c>
      <c r="CI26" s="14">
        <f t="shared" si="35"/>
        <v>16.540665512993627</v>
      </c>
      <c r="CJ26" s="14">
        <f t="shared" si="35"/>
        <v>16.209852202733753</v>
      </c>
      <c r="CK26" s="14">
        <f t="shared" si="35"/>
        <v>15.885655158679077</v>
      </c>
      <c r="CL26" s="14">
        <f t="shared" si="35"/>
        <v>15.567942055505496</v>
      </c>
      <c r="CM26" s="14">
        <f t="shared" si="35"/>
        <v>15.256583214395386</v>
      </c>
      <c r="CN26" s="14">
        <f t="shared" si="35"/>
        <v>14.951451550107478</v>
      </c>
      <c r="CO26" s="14">
        <f t="shared" si="35"/>
        <v>14.652422519105329</v>
      </c>
      <c r="CP26" s="14">
        <f t="shared" si="35"/>
        <v>14.359374068723222</v>
      </c>
      <c r="CQ26" s="14">
        <f t="shared" si="35"/>
        <v>14.072186587348757</v>
      </c>
      <c r="CR26" s="14">
        <f t="shared" si="35"/>
        <v>13.790742855601781</v>
      </c>
      <c r="CS26" s="14">
        <f t="shared" si="35"/>
        <v>13.514927998489746</v>
      </c>
      <c r="CT26" s="14">
        <f t="shared" si="35"/>
        <v>13.244629438519951</v>
      </c>
      <c r="CU26" s="14">
        <f t="shared" si="35"/>
        <v>12.979736849749552</v>
      </c>
      <c r="CV26" s="14">
        <f t="shared" ref="CV26:EG26" si="36">CU26*(1+$AK$30)</f>
        <v>12.72014211275456</v>
      </c>
      <c r="CW26" s="14">
        <f t="shared" si="36"/>
        <v>12.465739270499469</v>
      </c>
      <c r="CX26" s="14">
        <f t="shared" si="36"/>
        <v>12.21642448508948</v>
      </c>
      <c r="CY26" s="14">
        <f t="shared" si="36"/>
        <v>11.97209599538769</v>
      </c>
      <c r="CZ26" s="14">
        <f t="shared" si="36"/>
        <v>11.732654075479935</v>
      </c>
      <c r="DA26" s="14">
        <f t="shared" si="36"/>
        <v>11.498000993970336</v>
      </c>
      <c r="DB26" s="14">
        <f t="shared" si="36"/>
        <v>11.26804097409093</v>
      </c>
      <c r="DC26" s="14">
        <f t="shared" si="36"/>
        <v>11.04268015460911</v>
      </c>
      <c r="DD26" s="14">
        <f t="shared" si="36"/>
        <v>10.821826551516928</v>
      </c>
      <c r="DE26" s="14">
        <f t="shared" si="36"/>
        <v>10.605390020486588</v>
      </c>
      <c r="DF26" s="14">
        <f t="shared" si="36"/>
        <v>10.393282220076856</v>
      </c>
      <c r="DG26" s="14">
        <f t="shared" si="36"/>
        <v>10.185416575675319</v>
      </c>
      <c r="DH26" s="14">
        <f t="shared" si="36"/>
        <v>9.9817082441618119</v>
      </c>
      <c r="DI26" s="14">
        <f t="shared" si="36"/>
        <v>9.7820740792785763</v>
      </c>
      <c r="DJ26" s="14">
        <f t="shared" si="36"/>
        <v>9.5864325976930047</v>
      </c>
      <c r="DK26" s="14">
        <f t="shared" si="36"/>
        <v>9.3947039457391437</v>
      </c>
      <c r="DL26" s="14">
        <f t="shared" si="36"/>
        <v>9.2068098668243614</v>
      </c>
      <c r="DM26" s="14">
        <f t="shared" si="36"/>
        <v>9.0226736694878742</v>
      </c>
      <c r="DN26" s="14">
        <f t="shared" si="36"/>
        <v>8.8422201960981166</v>
      </c>
      <c r="DO26" s="14">
        <f t="shared" si="36"/>
        <v>8.6653757921761549</v>
      </c>
      <c r="DP26" s="14">
        <f t="shared" si="36"/>
        <v>8.4920682763326312</v>
      </c>
      <c r="DQ26" s="14">
        <f t="shared" si="36"/>
        <v>8.3222269108059788</v>
      </c>
      <c r="DR26" s="14">
        <f t="shared" si="36"/>
        <v>8.1557823725898597</v>
      </c>
      <c r="DS26" s="14">
        <f t="shared" si="36"/>
        <v>7.9926667251380623</v>
      </c>
      <c r="DT26" s="14">
        <f t="shared" si="36"/>
        <v>7.8328133906353008</v>
      </c>
      <c r="DU26" s="14">
        <f t="shared" si="36"/>
        <v>7.6761571228225947</v>
      </c>
      <c r="DV26" s="14">
        <f t="shared" si="36"/>
        <v>7.5226339803661428</v>
      </c>
      <c r="DW26" s="14">
        <f t="shared" si="36"/>
        <v>7.3721813007588199</v>
      </c>
      <c r="DX26" s="14">
        <f t="shared" si="36"/>
        <v>7.2247376747436434</v>
      </c>
      <c r="DY26" s="14">
        <f t="shared" si="36"/>
        <v>7.0802429212487707</v>
      </c>
      <c r="DZ26" s="14">
        <f t="shared" si="36"/>
        <v>6.9386380628237951</v>
      </c>
      <c r="EA26" s="14">
        <f t="shared" si="36"/>
        <v>6.7998653015673192</v>
      </c>
      <c r="EB26" s="14">
        <f t="shared" si="36"/>
        <v>6.6638679955359725</v>
      </c>
      <c r="EC26" s="14">
        <f t="shared" si="36"/>
        <v>6.530590635625253</v>
      </c>
      <c r="ED26" s="14">
        <f t="shared" si="36"/>
        <v>6.3999788229127477</v>
      </c>
      <c r="EE26" s="14">
        <f t="shared" si="36"/>
        <v>6.2719792464544923</v>
      </c>
      <c r="EF26" s="14">
        <f t="shared" si="36"/>
        <v>6.1465396615254022</v>
      </c>
      <c r="EG26" s="14">
        <f t="shared" si="36"/>
        <v>6.0236088682948941</v>
      </c>
    </row>
    <row r="27" spans="2:137" s="7" customFormat="1" x14ac:dyDescent="0.15">
      <c r="B27" s="7" t="s">
        <v>1</v>
      </c>
      <c r="C27" s="14">
        <v>29.862879</v>
      </c>
      <c r="D27" s="14">
        <v>30.039232999999999</v>
      </c>
      <c r="E27" s="14">
        <v>30.307734</v>
      </c>
      <c r="F27" s="14">
        <v>30.351523</v>
      </c>
      <c r="G27" s="14">
        <v>30.676145000000002</v>
      </c>
      <c r="H27" s="14">
        <v>31.02</v>
      </c>
      <c r="I27" s="14">
        <v>31.500489000000002</v>
      </c>
      <c r="J27" s="14">
        <v>37.291181999999999</v>
      </c>
      <c r="K27" s="14">
        <v>37.709971000000003</v>
      </c>
      <c r="L27" s="14">
        <v>39.430565000000001</v>
      </c>
      <c r="M27" s="14">
        <v>45.014000000000003</v>
      </c>
      <c r="N27" s="14">
        <v>45.014000000000003</v>
      </c>
      <c r="O27" s="14">
        <v>45.014000000000003</v>
      </c>
      <c r="P27" s="14">
        <v>45.014000000000003</v>
      </c>
      <c r="Q27" s="14">
        <v>45.014000000000003</v>
      </c>
      <c r="R27" s="14">
        <v>45.014000000000003</v>
      </c>
      <c r="S27" s="14"/>
      <c r="T27" s="14">
        <v>33.513440000000003</v>
      </c>
      <c r="U27" s="14">
        <v>33.513440000000003</v>
      </c>
      <c r="V27" s="14">
        <v>33.513440000000003</v>
      </c>
      <c r="W27" s="14">
        <v>33.513440000000003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2:137" s="9" customFormat="1" x14ac:dyDescent="0.15">
      <c r="B28" s="9" t="s">
        <v>63</v>
      </c>
      <c r="C28" s="13">
        <f>C26/C27</f>
        <v>-1.1670676494386234</v>
      </c>
      <c r="D28" s="13">
        <f>D26/D27</f>
        <v>-1.5643541897358029</v>
      </c>
      <c r="E28" s="13">
        <f>E26/E27</f>
        <v>-1.8550710521611415</v>
      </c>
      <c r="F28" s="13">
        <f>F26/F27</f>
        <v>-1.7086127770260495</v>
      </c>
      <c r="G28" s="13">
        <f>G26/G27</f>
        <v>-0.95015198291701897</v>
      </c>
      <c r="H28" s="13">
        <f>H26/H27</f>
        <v>-0.40641521598968422</v>
      </c>
      <c r="I28" s="13">
        <f>I26/I27</f>
        <v>-1.3129319992461068</v>
      </c>
      <c r="J28" s="13">
        <f>J26/J27</f>
        <v>0.74285658201984561</v>
      </c>
      <c r="K28" s="13">
        <f>K26/K27</f>
        <v>-0.32540465226027343</v>
      </c>
      <c r="L28" s="13">
        <f>L26/L27</f>
        <v>-0.38241907007926446</v>
      </c>
      <c r="M28" s="13">
        <f>M26/M27</f>
        <v>0.3094148487137332</v>
      </c>
      <c r="N28" s="13">
        <f t="shared" ref="N28:R28" si="37">N26/N27</f>
        <v>-7.488056444661631E-2</v>
      </c>
      <c r="O28" s="13">
        <f t="shared" si="37"/>
        <v>-0.11870141494255093</v>
      </c>
      <c r="P28" s="13">
        <f t="shared" si="37"/>
        <v>-0.41729414781936708</v>
      </c>
      <c r="Q28" s="13">
        <f t="shared" si="37"/>
        <v>-0.81417927613749697</v>
      </c>
      <c r="R28" s="13">
        <f t="shared" si="37"/>
        <v>-1.3655424153452778</v>
      </c>
      <c r="S28" s="13"/>
      <c r="T28" s="13">
        <f>T26/T27</f>
        <v>3.5409077671525222</v>
      </c>
      <c r="U28" s="13">
        <f>U26/U27</f>
        <v>-5.6671592053814814</v>
      </c>
      <c r="V28" s="13">
        <f>V26/V27</f>
        <v>-1.65336652996529</v>
      </c>
      <c r="W28" s="13">
        <f>W26/W27</f>
        <v>-0.50107281520488589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2:137" s="7" customFormat="1" x14ac:dyDescent="0.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2:137" s="7" customFormat="1" x14ac:dyDescent="0.1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23" t="s">
        <v>91</v>
      </c>
      <c r="AK30" s="17">
        <v>-0.02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2:137" s="7" customFormat="1" x14ac:dyDescent="0.1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23" t="s">
        <v>85</v>
      </c>
      <c r="AK31" s="17">
        <v>0.01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2:137" s="16" customFormat="1" x14ac:dyDescent="0.15">
      <c r="B32" s="16" t="s">
        <v>64</v>
      </c>
      <c r="C32" s="17">
        <f t="shared" ref="C32:M32" si="38">C17/C15</f>
        <v>0.87399556483172458</v>
      </c>
      <c r="D32" s="17">
        <f t="shared" si="38"/>
        <v>0.87439954051796154</v>
      </c>
      <c r="E32" s="17">
        <f t="shared" si="38"/>
        <v>0.87071126809335819</v>
      </c>
      <c r="F32" s="17">
        <f t="shared" si="38"/>
        <v>0.8715569084564555</v>
      </c>
      <c r="G32" s="17">
        <f t="shared" si="38"/>
        <v>0.8610323079326706</v>
      </c>
      <c r="H32" s="17">
        <f t="shared" si="38"/>
        <v>0.87495836851032849</v>
      </c>
      <c r="I32" s="17">
        <f t="shared" si="38"/>
        <v>0.87510476461565223</v>
      </c>
      <c r="J32" s="17">
        <f t="shared" si="38"/>
        <v>0.88813209794068948</v>
      </c>
      <c r="K32" s="17">
        <f t="shared" si="38"/>
        <v>0.89822397712131552</v>
      </c>
      <c r="L32" s="17">
        <f t="shared" si="38"/>
        <v>0.90412069173053011</v>
      </c>
      <c r="M32" s="17">
        <f>M17/M15</f>
        <v>0.89881113566680348</v>
      </c>
      <c r="N32" s="17">
        <f t="shared" ref="N32:R32" si="39">N17/N15</f>
        <v>0.9</v>
      </c>
      <c r="O32" s="17">
        <f t="shared" si="39"/>
        <v>0.9</v>
      </c>
      <c r="P32" s="17">
        <f t="shared" si="39"/>
        <v>0.9</v>
      </c>
      <c r="Q32" s="17">
        <f t="shared" si="39"/>
        <v>0.9</v>
      </c>
      <c r="R32" s="17">
        <f t="shared" si="39"/>
        <v>0.9</v>
      </c>
      <c r="S32" s="17"/>
      <c r="T32" s="17">
        <f t="shared" ref="T32:W32" si="40">T17/T15</f>
        <v>0.76218581585510614</v>
      </c>
      <c r="U32" s="17">
        <f t="shared" si="40"/>
        <v>0.87270420724938869</v>
      </c>
      <c r="V32" s="17">
        <f t="shared" si="40"/>
        <v>0.87522868074032356</v>
      </c>
      <c r="W32" s="17">
        <f t="shared" si="40"/>
        <v>0.90032223019161606</v>
      </c>
      <c r="X32" s="17">
        <f t="shared" ref="X32:AH32" si="41">X17/X15</f>
        <v>0.9</v>
      </c>
      <c r="Y32" s="17">
        <f t="shared" si="41"/>
        <v>0.9</v>
      </c>
      <c r="Z32" s="17">
        <f t="shared" si="41"/>
        <v>0.9</v>
      </c>
      <c r="AA32" s="17">
        <f t="shared" si="41"/>
        <v>0.9</v>
      </c>
      <c r="AB32" s="17">
        <f t="shared" si="41"/>
        <v>0.9</v>
      </c>
      <c r="AC32" s="17">
        <f t="shared" si="41"/>
        <v>0.9</v>
      </c>
      <c r="AD32" s="17">
        <f t="shared" si="41"/>
        <v>0.9</v>
      </c>
      <c r="AE32" s="17">
        <f t="shared" si="41"/>
        <v>0.9</v>
      </c>
      <c r="AF32" s="17">
        <f t="shared" si="41"/>
        <v>0.9</v>
      </c>
      <c r="AG32" s="17">
        <f t="shared" si="41"/>
        <v>0.9</v>
      </c>
      <c r="AH32" s="17">
        <f t="shared" si="41"/>
        <v>0.9</v>
      </c>
      <c r="AI32" s="17"/>
      <c r="AJ32" s="24" t="s">
        <v>86</v>
      </c>
      <c r="AK32" s="17">
        <v>0.08</v>
      </c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2:49" s="16" customFormat="1" x14ac:dyDescent="0.15">
      <c r="B33" s="16" t="s">
        <v>65</v>
      </c>
      <c r="C33" s="17">
        <f t="shared" ref="C33:M33" si="42">C22/C15</f>
        <v>-0.20967258022436747</v>
      </c>
      <c r="D33" s="17">
        <f t="shared" si="42"/>
        <v>-0.14539604218880525</v>
      </c>
      <c r="E33" s="17">
        <f t="shared" si="42"/>
        <v>-0.25161022231456481</v>
      </c>
      <c r="F33" s="17">
        <f t="shared" si="42"/>
        <v>-0.19828697547904628</v>
      </c>
      <c r="G33" s="17">
        <f t="shared" si="42"/>
        <v>-0.25133417207324993</v>
      </c>
      <c r="H33" s="17">
        <f t="shared" si="42"/>
        <v>-3.776653835131559E-2</v>
      </c>
      <c r="I33" s="17">
        <f t="shared" si="42"/>
        <v>-3.6687382386893638E-3</v>
      </c>
      <c r="J33" s="17">
        <f t="shared" si="42"/>
        <v>0.12818408899474273</v>
      </c>
      <c r="K33" s="17">
        <f t="shared" si="42"/>
        <v>5.9877807026096033E-2</v>
      </c>
      <c r="L33" s="17">
        <f t="shared" si="42"/>
        <v>-5.5049552622075419E-3</v>
      </c>
      <c r="M33" s="17">
        <f>M22/M15</f>
        <v>-4.8794975497689644E-2</v>
      </c>
      <c r="N33" s="17">
        <f t="shared" ref="N33:R33" si="43">N22/N15</f>
        <v>2.9598399164681582E-2</v>
      </c>
      <c r="O33" s="17">
        <f t="shared" si="43"/>
        <v>3.8332069224625398E-2</v>
      </c>
      <c r="P33" s="17">
        <f t="shared" si="43"/>
        <v>-5.1993701720592686E-2</v>
      </c>
      <c r="Q33" s="17">
        <f t="shared" si="43"/>
        <v>-8.5412887807447532E-2</v>
      </c>
      <c r="R33" s="17">
        <f t="shared" si="43"/>
        <v>-2.981296196827889E-2</v>
      </c>
      <c r="S33" s="17"/>
      <c r="T33" s="17">
        <f t="shared" ref="T33:W33" si="44">T22/T15</f>
        <v>-4.8133197119659575E-3</v>
      </c>
      <c r="U33" s="17">
        <f t="shared" si="44"/>
        <v>-0.20052580184781782</v>
      </c>
      <c r="V33" s="17">
        <f t="shared" si="44"/>
        <v>-3.5446971315375407E-2</v>
      </c>
      <c r="W33" s="17">
        <f t="shared" si="44"/>
        <v>1.0074072084958681E-2</v>
      </c>
      <c r="X33" s="17">
        <f t="shared" ref="X33:AH33" si="45">X22/X15</f>
        <v>-9.342180950573163E-4</v>
      </c>
      <c r="Y33" s="17">
        <f t="shared" si="45"/>
        <v>-4.344614800417948E-2</v>
      </c>
      <c r="Z33" s="17">
        <f t="shared" si="45"/>
        <v>-0.14431113500873155</v>
      </c>
      <c r="AA33" s="17">
        <f t="shared" si="45"/>
        <v>-8.2272849760688035E-2</v>
      </c>
      <c r="AB33" s="17">
        <f t="shared" si="45"/>
        <v>-4.2585057851165245E-2</v>
      </c>
      <c r="AC33" s="17">
        <f t="shared" si="45"/>
        <v>-1.2326607633019022E-2</v>
      </c>
      <c r="AD33" s="17">
        <f t="shared" si="45"/>
        <v>1.686737579941457E-2</v>
      </c>
      <c r="AE33" s="17">
        <f t="shared" si="45"/>
        <v>4.5036707329205464E-2</v>
      </c>
      <c r="AF33" s="17">
        <f t="shared" si="45"/>
        <v>7.2219657680025653E-2</v>
      </c>
      <c r="AG33" s="17">
        <f t="shared" si="45"/>
        <v>9.8453014502938391E-2</v>
      </c>
      <c r="AH33" s="17">
        <f t="shared" si="45"/>
        <v>0.12377214102136694</v>
      </c>
      <c r="AI33" s="17"/>
      <c r="AJ33" s="24" t="s">
        <v>87</v>
      </c>
      <c r="AK33" s="25">
        <f>NPV(AK32,X26:EG26)</f>
        <v>161.14513628939946</v>
      </c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2:49" s="16" customFormat="1" x14ac:dyDescent="0.15">
      <c r="B34" s="16" t="s">
        <v>61</v>
      </c>
      <c r="C34" s="17">
        <f t="shared" ref="C34:M34" si="46">C25/C24</f>
        <v>5.8740918788991778E-2</v>
      </c>
      <c r="D34" s="17">
        <f t="shared" si="46"/>
        <v>-7.7378086525895881E-2</v>
      </c>
      <c r="E34" s="17">
        <f t="shared" si="46"/>
        <v>6.0931001653555139E-2</v>
      </c>
      <c r="F34" s="17">
        <f t="shared" si="46"/>
        <v>-12.748409331919364</v>
      </c>
      <c r="G34" s="17">
        <f t="shared" si="46"/>
        <v>-6.0083651573013284E-2</v>
      </c>
      <c r="H34" s="17">
        <f t="shared" si="46"/>
        <v>-0.30224150397686178</v>
      </c>
      <c r="I34" s="17">
        <f t="shared" si="46"/>
        <v>-3.4234414463977597E-2</v>
      </c>
      <c r="J34" s="17">
        <f t="shared" si="46"/>
        <v>0.17893239277986905</v>
      </c>
      <c r="K34" s="17">
        <f t="shared" si="46"/>
        <v>-1.3100527108433744</v>
      </c>
      <c r="L34" s="17">
        <f t="shared" si="46"/>
        <v>-1.917198684465083</v>
      </c>
      <c r="M34" s="17">
        <f>M25/M24</f>
        <v>0.17306893071305601</v>
      </c>
      <c r="N34" s="17">
        <f t="shared" ref="N34:R34" si="47">N25/N24</f>
        <v>0.2</v>
      </c>
      <c r="O34" s="17">
        <f t="shared" si="47"/>
        <v>0.2</v>
      </c>
      <c r="P34" s="17">
        <f t="shared" si="47"/>
        <v>0.2</v>
      </c>
      <c r="Q34" s="17">
        <f t="shared" si="47"/>
        <v>0.2</v>
      </c>
      <c r="R34" s="17">
        <f t="shared" si="47"/>
        <v>0.2</v>
      </c>
      <c r="S34" s="17"/>
      <c r="T34" s="17">
        <f t="shared" ref="T34:W34" si="48">T25/T24</f>
        <v>-0.34811701221243951</v>
      </c>
      <c r="U34" s="17">
        <f t="shared" si="48"/>
        <v>-0.31630708241213706</v>
      </c>
      <c r="V34" s="17">
        <f t="shared" si="48"/>
        <v>-0.27596370837747003</v>
      </c>
      <c r="W34" s="17">
        <f t="shared" si="48"/>
        <v>8.8154247807088026</v>
      </c>
      <c r="X34" s="17">
        <f t="shared" ref="X34:AH34" si="49">X25/X24</f>
        <v>0.2</v>
      </c>
      <c r="Y34" s="17">
        <f t="shared" si="49"/>
        <v>0.2</v>
      </c>
      <c r="Z34" s="17">
        <f t="shared" si="49"/>
        <v>0.2</v>
      </c>
      <c r="AA34" s="17">
        <f t="shared" si="49"/>
        <v>0.2</v>
      </c>
      <c r="AB34" s="17">
        <f t="shared" si="49"/>
        <v>0.19999999999999998</v>
      </c>
      <c r="AC34" s="17">
        <f t="shared" si="49"/>
        <v>0.2</v>
      </c>
      <c r="AD34" s="17">
        <f t="shared" si="49"/>
        <v>0.2</v>
      </c>
      <c r="AE34" s="17">
        <f t="shared" si="49"/>
        <v>0.2</v>
      </c>
      <c r="AF34" s="17">
        <f t="shared" si="49"/>
        <v>0.2</v>
      </c>
      <c r="AG34" s="17">
        <f t="shared" si="49"/>
        <v>0.2</v>
      </c>
      <c r="AH34" s="17">
        <f t="shared" si="49"/>
        <v>0.2</v>
      </c>
      <c r="AI34" s="17"/>
      <c r="AJ34" s="24" t="s">
        <v>88</v>
      </c>
      <c r="AK34" s="14">
        <v>40</v>
      </c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2:49" s="7" customFormat="1" x14ac:dyDescent="0.1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23" t="s">
        <v>0</v>
      </c>
      <c r="AK35" s="13">
        <f>AK33/AK34</f>
        <v>4.0286284072349865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2:49" s="16" customFormat="1" x14ac:dyDescent="0.15">
      <c r="B36" s="16" t="s">
        <v>72</v>
      </c>
      <c r="C36" s="17"/>
      <c r="D36" s="17"/>
      <c r="E36" s="17"/>
      <c r="F36" s="17"/>
      <c r="G36" s="17">
        <f t="shared" ref="G36:L36" si="50">G15/C15-1</f>
        <v>-0.20681581007044081</v>
      </c>
      <c r="H36" s="17">
        <f t="shared" si="50"/>
        <v>-0.15733996449456977</v>
      </c>
      <c r="I36" s="17">
        <f t="shared" si="50"/>
        <v>-0.12408061500103873</v>
      </c>
      <c r="J36" s="17">
        <f t="shared" si="50"/>
        <v>-7.048508696737954E-2</v>
      </c>
      <c r="K36" s="17">
        <f t="shared" si="50"/>
        <v>1.2112391148827006E-2</v>
      </c>
      <c r="L36" s="17">
        <f t="shared" si="50"/>
        <v>-3.4807798062102657E-2</v>
      </c>
      <c r="M36" s="17">
        <f>M15/I15-1</f>
        <v>-9.48416275281877E-2</v>
      </c>
      <c r="N36" s="17">
        <f>N15/J15-1</f>
        <v>-5.1400000000000001E-2</v>
      </c>
      <c r="O36" s="17">
        <f t="shared" ref="O36:R36" si="51">O15/K15-1</f>
        <v>1.8499999999999961E-2</v>
      </c>
      <c r="P36" s="17">
        <f t="shared" si="51"/>
        <v>1.8499999999999961E-2</v>
      </c>
      <c r="Q36" s="17">
        <f t="shared" si="51"/>
        <v>1.8499999999999961E-2</v>
      </c>
      <c r="R36" s="17">
        <f t="shared" si="51"/>
        <v>1.8499999999999961E-2</v>
      </c>
      <c r="S36" s="17"/>
      <c r="T36" s="17"/>
      <c r="U36" s="17">
        <f t="shared" ref="U36:W36" si="52">U15/T15-1</f>
        <v>-0.38053971221414773</v>
      </c>
      <c r="V36" s="17">
        <f t="shared" si="52"/>
        <v>-0.14050593822245583</v>
      </c>
      <c r="W36" s="17">
        <f>W15/V15-1</f>
        <v>-4.2909639354450468E-2</v>
      </c>
      <c r="X36" s="17">
        <f t="shared" ref="X36:AH36" si="53">X15/W15-1</f>
        <v>2.0000000000000018E-2</v>
      </c>
      <c r="Y36" s="17">
        <f t="shared" si="53"/>
        <v>2.0000000000000018E-2</v>
      </c>
      <c r="Z36" s="17">
        <f t="shared" si="53"/>
        <v>2.0000000000000018E-2</v>
      </c>
      <c r="AA36" s="17">
        <f t="shared" si="53"/>
        <v>1.0000000000000009E-2</v>
      </c>
      <c r="AB36" s="17">
        <f t="shared" si="53"/>
        <v>-1.000000000000012E-2</v>
      </c>
      <c r="AC36" s="17">
        <f t="shared" si="53"/>
        <v>-9.9999999999998979E-3</v>
      </c>
      <c r="AD36" s="17">
        <f t="shared" si="53"/>
        <v>-9.9999999999998979E-3</v>
      </c>
      <c r="AE36" s="17">
        <f t="shared" si="53"/>
        <v>-1.0000000000000009E-2</v>
      </c>
      <c r="AF36" s="17">
        <f t="shared" si="53"/>
        <v>-1.0000000000000009E-2</v>
      </c>
      <c r="AG36" s="17">
        <f t="shared" si="53"/>
        <v>-1.0000000000000009E-2</v>
      </c>
      <c r="AH36" s="17">
        <f t="shared" si="53"/>
        <v>-1.0000000000000009E-2</v>
      </c>
      <c r="AI36" s="17"/>
      <c r="AJ36" s="24" t="s">
        <v>89</v>
      </c>
      <c r="AK36" s="13">
        <v>11.75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2:49" s="16" customFormat="1" x14ac:dyDescent="0.15">
      <c r="B37" s="16" t="s">
        <v>70</v>
      </c>
      <c r="C37" s="17"/>
      <c r="D37" s="17"/>
      <c r="E37" s="17"/>
      <c r="F37" s="17"/>
      <c r="G37" s="17">
        <f t="shared" ref="G37:L37" si="54">G18/C18-1</f>
        <v>-0.36959610310533786</v>
      </c>
      <c r="H37" s="17">
        <f t="shared" si="54"/>
        <v>-0.24189704480457586</v>
      </c>
      <c r="I37" s="17">
        <f t="shared" si="54"/>
        <v>-0.2374594295062934</v>
      </c>
      <c r="J37" s="17">
        <f t="shared" si="54"/>
        <v>-0.18930099186762572</v>
      </c>
      <c r="K37" s="17">
        <f t="shared" si="54"/>
        <v>0.15940920798454616</v>
      </c>
      <c r="L37" s="17">
        <f t="shared" si="54"/>
        <v>0.64009520815556664</v>
      </c>
      <c r="M37" s="17">
        <f>M18/I18-1</f>
        <v>0.25468890580663039</v>
      </c>
      <c r="N37" s="17">
        <f t="shared" ref="N37:R37" si="55">N18/J18-1</f>
        <v>0.30000000000000004</v>
      </c>
      <c r="O37" s="17">
        <f t="shared" si="55"/>
        <v>0.30000000000000004</v>
      </c>
      <c r="P37" s="17">
        <f t="shared" si="55"/>
        <v>0.30000000000000004</v>
      </c>
      <c r="Q37" s="17">
        <f t="shared" si="55"/>
        <v>0.30000000000000004</v>
      </c>
      <c r="R37" s="17">
        <f t="shared" si="55"/>
        <v>0.30000000000000004</v>
      </c>
      <c r="S37" s="17"/>
      <c r="T37" s="17"/>
      <c r="U37" s="17">
        <f t="shared" ref="U37:W37" si="56">U18/T18-1</f>
        <v>-0.2094978281597627</v>
      </c>
      <c r="V37" s="17">
        <f t="shared" si="56"/>
        <v>-0.2595037224169241</v>
      </c>
      <c r="W37" s="17">
        <f>W18/V18-1</f>
        <v>0.32506764399800936</v>
      </c>
      <c r="X37" s="17">
        <f t="shared" ref="X37:AH37" si="57">X18/W18-1</f>
        <v>0.30000000000000004</v>
      </c>
      <c r="Y37" s="17">
        <f t="shared" si="57"/>
        <v>0.30000000000000004</v>
      </c>
      <c r="Z37" s="17">
        <f t="shared" si="57"/>
        <v>0.30000000000000004</v>
      </c>
      <c r="AA37" s="17">
        <f t="shared" si="57"/>
        <v>-5.0000000000000044E-2</v>
      </c>
      <c r="AB37" s="17">
        <f t="shared" si="57"/>
        <v>-5.0000000000000155E-2</v>
      </c>
      <c r="AC37" s="17">
        <f t="shared" si="57"/>
        <v>-5.0000000000000155E-2</v>
      </c>
      <c r="AD37" s="17">
        <f t="shared" si="57"/>
        <v>-5.0000000000000044E-2</v>
      </c>
      <c r="AE37" s="17">
        <f t="shared" si="57"/>
        <v>-5.0000000000000044E-2</v>
      </c>
      <c r="AF37" s="17">
        <f t="shared" si="57"/>
        <v>-5.0000000000000044E-2</v>
      </c>
      <c r="AG37" s="17">
        <f t="shared" si="57"/>
        <v>-5.0000000000000044E-2</v>
      </c>
      <c r="AH37" s="17">
        <f t="shared" si="57"/>
        <v>-5.0000000000000044E-2</v>
      </c>
      <c r="AI37" s="17"/>
      <c r="AJ37" s="24" t="s">
        <v>90</v>
      </c>
      <c r="AK37" s="17">
        <f>AK35/AK36-1</f>
        <v>-0.65713800789489474</v>
      </c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2:49" s="16" customFormat="1" x14ac:dyDescent="0.15">
      <c r="B38" s="16" t="s">
        <v>71</v>
      </c>
      <c r="C38" s="17"/>
      <c r="D38" s="17"/>
      <c r="E38" s="17"/>
      <c r="F38" s="17"/>
      <c r="G38" s="17">
        <f t="shared" ref="G38:L38" si="58">G19/C19-1</f>
        <v>-0.19606074988134792</v>
      </c>
      <c r="H38" s="17">
        <f t="shared" si="58"/>
        <v>-0.2232971324371863</v>
      </c>
      <c r="I38" s="17">
        <f t="shared" si="58"/>
        <v>-0.32896689952450031</v>
      </c>
      <c r="J38" s="17">
        <f t="shared" si="58"/>
        <v>-0.3514413011970583</v>
      </c>
      <c r="K38" s="17">
        <f t="shared" si="58"/>
        <v>-0.26912253773343575</v>
      </c>
      <c r="L38" s="17">
        <f t="shared" si="58"/>
        <v>-0.19790573740689565</v>
      </c>
      <c r="M38" s="17">
        <f>M19/I19-1</f>
        <v>-0.10859078184363136</v>
      </c>
      <c r="N38" s="17">
        <f t="shared" ref="N38:R38" si="59">N19/J19-1</f>
        <v>-5.0000000000000044E-2</v>
      </c>
      <c r="O38" s="17">
        <f t="shared" si="59"/>
        <v>-5.0000000000000044E-2</v>
      </c>
      <c r="P38" s="17">
        <f t="shared" si="59"/>
        <v>-5.0000000000000044E-2</v>
      </c>
      <c r="Q38" s="17">
        <f t="shared" si="59"/>
        <v>-5.0000000000000044E-2</v>
      </c>
      <c r="R38" s="17">
        <f t="shared" si="59"/>
        <v>-5.0000000000000044E-2</v>
      </c>
      <c r="S38" s="17"/>
      <c r="T38" s="17"/>
      <c r="U38" s="17">
        <f>U19/T19-1</f>
        <v>-5.8151501870490119E-2</v>
      </c>
      <c r="V38" s="17">
        <f t="shared" ref="V38:AH38" si="60">V19/U19-1</f>
        <v>-0.27207478576992983</v>
      </c>
      <c r="W38" s="17">
        <f t="shared" si="60"/>
        <v>-0.16756781438621027</v>
      </c>
      <c r="X38" s="17">
        <f t="shared" si="60"/>
        <v>-9.9999999999999978E-2</v>
      </c>
      <c r="Y38" s="17">
        <f t="shared" si="60"/>
        <v>-9.9999999999999978E-2</v>
      </c>
      <c r="Z38" s="17">
        <f t="shared" si="60"/>
        <v>-5.0000000000000044E-2</v>
      </c>
      <c r="AA38" s="17">
        <f t="shared" si="60"/>
        <v>-5.0000000000000044E-2</v>
      </c>
      <c r="AB38" s="17">
        <f t="shared" si="60"/>
        <v>-5.0000000000000044E-2</v>
      </c>
      <c r="AC38" s="17">
        <f t="shared" si="60"/>
        <v>-2.9999999999999916E-2</v>
      </c>
      <c r="AD38" s="17">
        <f t="shared" si="60"/>
        <v>-3.0000000000000027E-2</v>
      </c>
      <c r="AE38" s="17">
        <f t="shared" si="60"/>
        <v>-3.0000000000000027E-2</v>
      </c>
      <c r="AF38" s="17">
        <f t="shared" si="60"/>
        <v>-3.0000000000000027E-2</v>
      </c>
      <c r="AG38" s="17">
        <f t="shared" si="60"/>
        <v>-3.0000000000000138E-2</v>
      </c>
      <c r="AH38" s="17">
        <f t="shared" si="60"/>
        <v>-2.9999999999999916E-2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2:49" s="9" customFormat="1" x14ac:dyDescent="0.1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2:49" s="16" customFormat="1" x14ac:dyDescent="0.15">
      <c r="B40" s="16" t="s">
        <v>74</v>
      </c>
      <c r="C40" s="17"/>
      <c r="D40" s="17"/>
      <c r="E40" s="17"/>
      <c r="F40" s="17"/>
      <c r="G40" s="17">
        <f>(G15-C15)/(G18-C18)</f>
        <v>2.176619989017023</v>
      </c>
      <c r="H40" s="17">
        <f t="shared" ref="H40:M40" si="61">(H15-D15)/(H18-D18)</f>
        <v>3.3929627023223081</v>
      </c>
      <c r="I40" s="17">
        <f t="shared" si="61"/>
        <v>1.990887876430713</v>
      </c>
      <c r="J40" s="17">
        <f t="shared" si="61"/>
        <v>1.2966227961261461</v>
      </c>
      <c r="K40" s="17">
        <f t="shared" si="61"/>
        <v>0.37187578894218587</v>
      </c>
      <c r="L40" s="17">
        <f t="shared" si="61"/>
        <v>-0.31530204167543763</v>
      </c>
      <c r="M40" s="17">
        <f t="shared" si="61"/>
        <v>-1.6297554347826086</v>
      </c>
      <c r="N40" s="17">
        <f t="shared" ref="N40" si="62">(N15-J15)/(N18-J18)</f>
        <v>-0.68408156480729776</v>
      </c>
      <c r="O40" s="17">
        <f t="shared" ref="O40" si="63">(O15-K15)/(O18-K18)</f>
        <v>0.26346558367176837</v>
      </c>
      <c r="P40" s="17">
        <f t="shared" ref="P40" si="64">(P15-L15)/(P18-L18)</f>
        <v>0.21042145856151798</v>
      </c>
      <c r="Q40" s="17">
        <f t="shared" ref="Q40" si="65">(Q15-M15)/(Q18-M18)</f>
        <v>0.19470291613804799</v>
      </c>
      <c r="R40" s="17">
        <f t="shared" ref="R40" si="66">(R15-N15)/(R18-N18)</f>
        <v>0.17966201420173208</v>
      </c>
      <c r="S40" s="17"/>
      <c r="T40" s="17"/>
      <c r="U40" s="17">
        <f>(U15-T15)/(U18-T18)</f>
        <v>9.3054944499228771</v>
      </c>
      <c r="V40" s="17">
        <f t="shared" ref="V40:W40" si="67">(V15-U15)/(V18-U18)</f>
        <v>2.1736042968548253</v>
      </c>
      <c r="W40" s="17">
        <f t="shared" si="67"/>
        <v>-0.6150784597568062</v>
      </c>
      <c r="X40" s="17">
        <f t="shared" ref="X40:AH40" si="68">(X15-W15)/(X18-W18)</f>
        <v>0.22437425877538655</v>
      </c>
      <c r="Y40" s="17">
        <f t="shared" si="68"/>
        <v>0.17604749534684094</v>
      </c>
      <c r="Z40" s="17">
        <f t="shared" si="68"/>
        <v>0.1381295732721376</v>
      </c>
      <c r="AA40" s="17">
        <f t="shared" si="68"/>
        <v>-0.32513576477903022</v>
      </c>
      <c r="AB40" s="17">
        <f t="shared" si="68"/>
        <v>0.34567065518612905</v>
      </c>
      <c r="AC40" s="17">
        <f t="shared" si="68"/>
        <v>0.36022520908869854</v>
      </c>
      <c r="AD40" s="17">
        <f t="shared" si="68"/>
        <v>0.37539258631348527</v>
      </c>
      <c r="AE40" s="17">
        <f t="shared" si="68"/>
        <v>0.39119858994773954</v>
      </c>
      <c r="AF40" s="17">
        <f t="shared" si="68"/>
        <v>0.40767010952448679</v>
      </c>
      <c r="AG40" s="17">
        <f t="shared" si="68"/>
        <v>0.42483516676762284</v>
      </c>
      <c r="AH40" s="17">
        <f t="shared" si="68"/>
        <v>0.44272296326310173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2:49" s="16" customFormat="1" x14ac:dyDescent="0.1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2:49" s="21" customFormat="1" ht="14" customHeight="1" x14ac:dyDescent="0.15">
      <c r="B42" s="21" t="s">
        <v>84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>
        <v>-8</v>
      </c>
      <c r="N42" s="22">
        <f>M42+N26</f>
        <v>-11.370673727999987</v>
      </c>
      <c r="O42" s="22">
        <f t="shared" ref="O42:R42" si="69">N42+O26</f>
        <v>-16.713899220223976</v>
      </c>
      <c r="P42" s="22">
        <f t="shared" si="69"/>
        <v>-35.497977990164969</v>
      </c>
      <c r="Q42" s="22">
        <f t="shared" si="69"/>
        <v>-72.147443926218259</v>
      </c>
      <c r="R42" s="22">
        <f t="shared" si="69"/>
        <v>-133.61597021057059</v>
      </c>
      <c r="S42" s="22"/>
      <c r="T42" s="22"/>
      <c r="U42" s="22"/>
      <c r="V42" s="22"/>
      <c r="W42" s="22">
        <v>-11</v>
      </c>
      <c r="X42" s="22">
        <f>W42+X26</f>
        <v>-11.463684002560001</v>
      </c>
      <c r="Y42" s="22">
        <f t="shared" ref="Y42:AH42" si="70">X42+Y26</f>
        <v>-29.376139317191704</v>
      </c>
      <c r="Z42" s="22">
        <f t="shared" si="70"/>
        <v>-89.988577063192736</v>
      </c>
      <c r="AA42" s="22">
        <f t="shared" si="70"/>
        <v>-125.47432232547638</v>
      </c>
      <c r="AB42" s="22">
        <f t="shared" si="70"/>
        <v>-144.29322987780048</v>
      </c>
      <c r="AC42" s="22">
        <f t="shared" si="70"/>
        <v>-150.55274451215794</v>
      </c>
      <c r="AD42" s="22">
        <f t="shared" si="70"/>
        <v>-144.84125779958785</v>
      </c>
      <c r="AE42" s="22">
        <f t="shared" si="70"/>
        <v>-127.71883608431878</v>
      </c>
      <c r="AF42" s="22">
        <f t="shared" si="70"/>
        <v>-99.718573050018151</v>
      </c>
      <c r="AG42" s="22">
        <f t="shared" si="70"/>
        <v>-61.347876622871382</v>
      </c>
      <c r="AH42" s="22">
        <f t="shared" si="70"/>
        <v>-13.08969343311783</v>
      </c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2:49" s="7" customFormat="1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2:49" s="7" customFormat="1" x14ac:dyDescent="0.15">
      <c r="B44" s="19" t="s">
        <v>73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2:49" s="7" customFormat="1" x14ac:dyDescent="0.15">
      <c r="B45" s="7" t="s">
        <v>66</v>
      </c>
      <c r="C45" s="14"/>
      <c r="D45" s="14"/>
      <c r="E45" s="14"/>
      <c r="F45" s="14">
        <v>-234.38</v>
      </c>
      <c r="G45" s="14">
        <v>-28.613</v>
      </c>
      <c r="H45" s="14">
        <v>40.616999999999997</v>
      </c>
      <c r="I45" s="14">
        <v>-81.423000000000002</v>
      </c>
      <c r="J45" s="14">
        <v>-52.933999999999997</v>
      </c>
      <c r="K45" s="14">
        <v>-11.506</v>
      </c>
      <c r="L45" s="14">
        <v>-20.917999999999999</v>
      </c>
      <c r="M45" s="14">
        <v>-6.3959999999999999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2:49" s="7" customFormat="1" x14ac:dyDescent="0.15">
      <c r="B46" s="7" t="s">
        <v>67</v>
      </c>
      <c r="C46" s="14"/>
      <c r="D46" s="14"/>
      <c r="E46" s="14"/>
      <c r="F46" s="14">
        <v>-135.98699999999999</v>
      </c>
      <c r="G46" s="14">
        <v>-76.319999999999993</v>
      </c>
      <c r="H46" s="14">
        <v>-118.63</v>
      </c>
      <c r="I46" s="14">
        <v>-132.48500000000001</v>
      </c>
      <c r="J46" s="14">
        <v>-77.984999999999999</v>
      </c>
      <c r="K46" s="14">
        <v>-10.111000000000001</v>
      </c>
      <c r="L46" s="14">
        <v>5.1890000000000001</v>
      </c>
      <c r="M46" s="14">
        <v>-11.069000000000001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2:49" s="7" customFormat="1" x14ac:dyDescent="0.15">
      <c r="B47" s="7" t="s">
        <v>68</v>
      </c>
      <c r="C47" s="14"/>
      <c r="D47" s="14"/>
      <c r="E47" s="14"/>
      <c r="F47" s="14">
        <v>36.167999999999999</v>
      </c>
      <c r="G47" s="14">
        <f>9.544-1.088</f>
        <v>8.4559999999999995</v>
      </c>
      <c r="H47" s="14">
        <f>11.797-1.475</f>
        <v>10.322000000000001</v>
      </c>
      <c r="I47" s="14">
        <f>15.917-1.475</f>
        <v>14.442</v>
      </c>
      <c r="J47" s="14">
        <f>19.285-18.924</f>
        <v>0.36100000000000065</v>
      </c>
      <c r="K47" s="14">
        <f>3.709-0.116</f>
        <v>3.593</v>
      </c>
      <c r="L47" s="14">
        <f>8.183-9.116</f>
        <v>-0.93299999999999983</v>
      </c>
      <c r="M47" s="14">
        <f>11.591-9.116</f>
        <v>2.4749999999999996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2:49" s="7" customFormat="1" x14ac:dyDescent="0.15">
      <c r="B48" s="7" t="s">
        <v>69</v>
      </c>
      <c r="C48" s="14">
        <f t="shared" ref="C48:K48" si="71">C46+C47</f>
        <v>0</v>
      </c>
      <c r="D48" s="14">
        <f t="shared" si="71"/>
        <v>0</v>
      </c>
      <c r="E48" s="14">
        <f t="shared" si="71"/>
        <v>0</v>
      </c>
      <c r="F48" s="14">
        <f t="shared" si="71"/>
        <v>-99.818999999999988</v>
      </c>
      <c r="G48" s="14">
        <f t="shared" si="71"/>
        <v>-67.86399999999999</v>
      </c>
      <c r="H48" s="14">
        <f t="shared" si="71"/>
        <v>-108.30799999999999</v>
      </c>
      <c r="I48" s="14">
        <f t="shared" si="71"/>
        <v>-118.04300000000001</v>
      </c>
      <c r="J48" s="14">
        <f t="shared" si="71"/>
        <v>-77.623999999999995</v>
      </c>
      <c r="K48" s="14">
        <f t="shared" si="71"/>
        <v>-6.5180000000000007</v>
      </c>
      <c r="L48" s="14">
        <f>L46+L47</f>
        <v>4.2560000000000002</v>
      </c>
      <c r="M48" s="14">
        <f>M46+M47</f>
        <v>-8.5940000000000012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3:49" s="7" customFormat="1" x14ac:dyDescent="0.1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2025-02-08T15:57:25Z</dcterms:created>
  <dcterms:modified xsi:type="dcterms:W3CDTF">2025-02-10T14:55:23Z</dcterms:modified>
</cp:coreProperties>
</file>