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907474b3756498a/Value Investing/"/>
    </mc:Choice>
  </mc:AlternateContent>
  <xr:revisionPtr revIDLastSave="789" documentId="8_{E990DE77-61CD-F148-BB61-FBE001E73804}" xr6:coauthVersionLast="47" xr6:coauthVersionMax="47" xr10:uidLastSave="{6D8D26D5-A6AB-FC44-AF1D-EA37CF1DEC6C}"/>
  <bookViews>
    <workbookView xWindow="-25600" yWindow="-11860" windowWidth="25600" windowHeight="31500" activeTab="2" xr2:uid="{769FA293-396B-A54A-8D65-8230764570FD}"/>
  </bookViews>
  <sheets>
    <sheet name="Main" sheetId="2" r:id="rId1"/>
    <sheet name="GTS" sheetId="4" r:id="rId2"/>
    <sheet name="Model" sheetId="1" r:id="rId3"/>
    <sheet name="Sheet1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5" i="1" l="1"/>
  <c r="X4" i="1" l="1"/>
  <c r="W3" i="1"/>
  <c r="N69" i="1"/>
  <c r="N66" i="1"/>
  <c r="N74" i="1" s="1"/>
  <c r="N61" i="1"/>
  <c r="N51" i="1"/>
  <c r="N63" i="1" s="1"/>
  <c r="N50" i="1" l="1"/>
  <c r="X49" i="1" s="1"/>
  <c r="X35" i="1" l="1"/>
  <c r="O49" i="1"/>
  <c r="K49" i="1"/>
  <c r="M49" i="1"/>
  <c r="L49" i="1"/>
  <c r="N49" i="1"/>
  <c r="N35" i="1"/>
  <c r="D5" i="2"/>
  <c r="D4" i="2"/>
  <c r="D11" i="2"/>
  <c r="D10" i="2"/>
  <c r="D8" i="2"/>
  <c r="D6" i="2"/>
  <c r="U19" i="1"/>
  <c r="U18" i="1"/>
  <c r="U17" i="1"/>
  <c r="T19" i="1"/>
  <c r="T18" i="1"/>
  <c r="T17" i="1"/>
  <c r="U16" i="1"/>
  <c r="T16" i="1"/>
  <c r="U12" i="1"/>
  <c r="T12" i="1"/>
  <c r="W36" i="1"/>
  <c r="V25" i="1"/>
  <c r="V23" i="1"/>
  <c r="V19" i="1"/>
  <c r="V18" i="1"/>
  <c r="V17" i="1"/>
  <c r="V16" i="1"/>
  <c r="V12" i="1"/>
  <c r="AP39" i="1"/>
  <c r="W2" i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J27" i="1"/>
  <c r="W27" i="1" s="1"/>
  <c r="J22" i="1"/>
  <c r="W22" i="1" s="1"/>
  <c r="W37" i="1" s="1"/>
  <c r="J21" i="1"/>
  <c r="W21" i="1" s="1"/>
  <c r="J15" i="1"/>
  <c r="W15" i="1" s="1"/>
  <c r="J14" i="1"/>
  <c r="W14" i="1" s="1"/>
  <c r="J13" i="1"/>
  <c r="W13" i="1" s="1"/>
  <c r="J11" i="1"/>
  <c r="W11" i="1" s="1"/>
  <c r="J10" i="1"/>
  <c r="J9" i="1"/>
  <c r="W9" i="1" s="1"/>
  <c r="N27" i="1"/>
  <c r="X27" i="1" s="1"/>
  <c r="N22" i="1"/>
  <c r="X22" i="1" s="1"/>
  <c r="Y22" i="1" s="1"/>
  <c r="Z22" i="1" s="1"/>
  <c r="AA22" i="1" s="1"/>
  <c r="AB22" i="1" s="1"/>
  <c r="AC22" i="1" s="1"/>
  <c r="AD22" i="1" s="1"/>
  <c r="AE22" i="1" s="1"/>
  <c r="AF22" i="1" s="1"/>
  <c r="AG22" i="1" s="1"/>
  <c r="AH22" i="1" s="1"/>
  <c r="AI22" i="1" s="1"/>
  <c r="AJ22" i="1" s="1"/>
  <c r="AK22" i="1" s="1"/>
  <c r="AL22" i="1" s="1"/>
  <c r="AM22" i="1" s="1"/>
  <c r="N21" i="1"/>
  <c r="X21" i="1" s="1"/>
  <c r="Y21" i="1" s="1"/>
  <c r="Z21" i="1" s="1"/>
  <c r="AA21" i="1" s="1"/>
  <c r="AB21" i="1" s="1"/>
  <c r="AC21" i="1" s="1"/>
  <c r="AD21" i="1" s="1"/>
  <c r="AE21" i="1" s="1"/>
  <c r="AF21" i="1" s="1"/>
  <c r="AG21" i="1" s="1"/>
  <c r="AH21" i="1" s="1"/>
  <c r="AI21" i="1" s="1"/>
  <c r="AJ21" i="1" s="1"/>
  <c r="AK21" i="1" s="1"/>
  <c r="AL21" i="1" s="1"/>
  <c r="AM21" i="1" s="1"/>
  <c r="N15" i="1"/>
  <c r="N14" i="1"/>
  <c r="X14" i="1" s="1"/>
  <c r="N13" i="1"/>
  <c r="X13" i="1" s="1"/>
  <c r="N11" i="1"/>
  <c r="X11" i="1" s="1"/>
  <c r="N10" i="1"/>
  <c r="X10" i="1" s="1"/>
  <c r="N9" i="1"/>
  <c r="X9" i="1" s="1"/>
  <c r="H25" i="1"/>
  <c r="G25" i="1"/>
  <c r="G23" i="1"/>
  <c r="G19" i="1"/>
  <c r="G18" i="1"/>
  <c r="G17" i="1"/>
  <c r="G16" i="1"/>
  <c r="G12" i="1"/>
  <c r="K25" i="1"/>
  <c r="K23" i="1"/>
  <c r="K19" i="1"/>
  <c r="K18" i="1"/>
  <c r="K17" i="1"/>
  <c r="K16" i="1"/>
  <c r="K12" i="1"/>
  <c r="H23" i="1"/>
  <c r="H19" i="1"/>
  <c r="H18" i="1"/>
  <c r="H17" i="1"/>
  <c r="H16" i="1"/>
  <c r="H12" i="1"/>
  <c r="L25" i="1"/>
  <c r="L23" i="1"/>
  <c r="L19" i="1"/>
  <c r="L18" i="1"/>
  <c r="L17" i="1"/>
  <c r="L16" i="1"/>
  <c r="L12" i="1"/>
  <c r="I25" i="1"/>
  <c r="I23" i="1"/>
  <c r="I19" i="1"/>
  <c r="I18" i="1"/>
  <c r="I17" i="1"/>
  <c r="I16" i="1"/>
  <c r="I12" i="1"/>
  <c r="AP36" i="1"/>
  <c r="L4" i="2"/>
  <c r="L5" i="2" s="1"/>
  <c r="L8" i="2" s="1"/>
  <c r="AS33" i="1" s="1"/>
  <c r="M25" i="1"/>
  <c r="M23" i="1"/>
  <c r="M19" i="1"/>
  <c r="M18" i="1"/>
  <c r="M17" i="1"/>
  <c r="M16" i="1"/>
  <c r="M12" i="1"/>
  <c r="V34" i="1" l="1"/>
  <c r="U34" i="1"/>
  <c r="V20" i="1"/>
  <c r="V24" i="1" s="1"/>
  <c r="V26" i="1" s="1"/>
  <c r="V28" i="1" s="1"/>
  <c r="V29" i="1" s="1"/>
  <c r="Y23" i="1"/>
  <c r="J12" i="1"/>
  <c r="W19" i="1"/>
  <c r="W12" i="1"/>
  <c r="X37" i="1"/>
  <c r="W23" i="1"/>
  <c r="X36" i="1"/>
  <c r="W10" i="1"/>
  <c r="W18" i="1" s="1"/>
  <c r="W17" i="1"/>
  <c r="W16" i="1"/>
  <c r="J17" i="1"/>
  <c r="J19" i="1"/>
  <c r="I20" i="1"/>
  <c r="I39" i="1" s="1"/>
  <c r="X17" i="1"/>
  <c r="X18" i="1"/>
  <c r="J23" i="1"/>
  <c r="K20" i="1"/>
  <c r="K24" i="1" s="1"/>
  <c r="K26" i="1" s="1"/>
  <c r="K40" i="1" s="1"/>
  <c r="N12" i="1"/>
  <c r="N34" i="1" s="1"/>
  <c r="N18" i="1"/>
  <c r="J25" i="1"/>
  <c r="W25" i="1" s="1"/>
  <c r="X23" i="1"/>
  <c r="N19" i="1"/>
  <c r="N25" i="1"/>
  <c r="X25" i="1" s="1"/>
  <c r="N17" i="1"/>
  <c r="M34" i="1"/>
  <c r="N23" i="1"/>
  <c r="K34" i="1"/>
  <c r="N16" i="1"/>
  <c r="X15" i="1"/>
  <c r="X19" i="1" s="1"/>
  <c r="X12" i="1"/>
  <c r="M20" i="1"/>
  <c r="M24" i="1" s="1"/>
  <c r="M26" i="1" s="1"/>
  <c r="L20" i="1"/>
  <c r="L34" i="1"/>
  <c r="J16" i="1"/>
  <c r="J20" i="1" s="1"/>
  <c r="J18" i="1"/>
  <c r="G20" i="1"/>
  <c r="H20" i="1"/>
  <c r="Y12" i="1" l="1"/>
  <c r="Z12" i="1" s="1"/>
  <c r="AA12" i="1" s="1"/>
  <c r="AB12" i="1" s="1"/>
  <c r="AC12" i="1" s="1"/>
  <c r="AD12" i="1" s="1"/>
  <c r="AE12" i="1" s="1"/>
  <c r="AF12" i="1" s="1"/>
  <c r="AG12" i="1" s="1"/>
  <c r="AH12" i="1" s="1"/>
  <c r="AI12" i="1" s="1"/>
  <c r="AJ12" i="1" s="1"/>
  <c r="AK12" i="1" s="1"/>
  <c r="AL12" i="1" s="1"/>
  <c r="AM12" i="1" s="1"/>
  <c r="X5" i="1"/>
  <c r="W34" i="1"/>
  <c r="W5" i="1"/>
  <c r="W20" i="1"/>
  <c r="W24" i="1" s="1"/>
  <c r="X34" i="1"/>
  <c r="M28" i="1"/>
  <c r="M29" i="1" s="1"/>
  <c r="M40" i="1"/>
  <c r="Z23" i="1"/>
  <c r="W26" i="1"/>
  <c r="X40" i="1" s="1"/>
  <c r="I24" i="1"/>
  <c r="I26" i="1" s="1"/>
  <c r="K39" i="1"/>
  <c r="N20" i="1"/>
  <c r="N24" i="1" s="1"/>
  <c r="N26" i="1" s="1"/>
  <c r="J24" i="1"/>
  <c r="J26" i="1" s="1"/>
  <c r="J39" i="1"/>
  <c r="L39" i="1"/>
  <c r="L24" i="1"/>
  <c r="L26" i="1" s="1"/>
  <c r="X16" i="1"/>
  <c r="X20" i="1" s="1"/>
  <c r="X24" i="1" s="1"/>
  <c r="X26" i="1" s="1"/>
  <c r="Y40" i="1" s="1"/>
  <c r="M39" i="1"/>
  <c r="Y34" i="1"/>
  <c r="H24" i="1"/>
  <c r="H26" i="1" s="1"/>
  <c r="H39" i="1"/>
  <c r="K28" i="1"/>
  <c r="K29" i="1" s="1"/>
  <c r="G24" i="1"/>
  <c r="G26" i="1" s="1"/>
  <c r="G39" i="1"/>
  <c r="X6" i="1" l="1"/>
  <c r="N39" i="1"/>
  <c r="AA23" i="1"/>
  <c r="L28" i="1"/>
  <c r="L29" i="1" s="1"/>
  <c r="L40" i="1"/>
  <c r="G28" i="1"/>
  <c r="G29" i="1" s="1"/>
  <c r="G40" i="1"/>
  <c r="I28" i="1"/>
  <c r="I29" i="1" s="1"/>
  <c r="I40" i="1"/>
  <c r="H28" i="1"/>
  <c r="H29" i="1" s="1"/>
  <c r="H40" i="1"/>
  <c r="N28" i="1"/>
  <c r="N29" i="1" s="1"/>
  <c r="N40" i="1"/>
  <c r="W28" i="1"/>
  <c r="J28" i="1"/>
  <c r="J29" i="1" s="1"/>
  <c r="J40" i="1"/>
  <c r="X28" i="1"/>
  <c r="Z34" i="1"/>
  <c r="Y20" i="1"/>
  <c r="Y24" i="1" s="1"/>
  <c r="Y26" i="1" s="1"/>
  <c r="W29" i="1" l="1"/>
  <c r="W38" i="1"/>
  <c r="Y27" i="1"/>
  <c r="Y28" i="1" s="1"/>
  <c r="AB23" i="1"/>
  <c r="X29" i="1"/>
  <c r="X38" i="1"/>
  <c r="AA34" i="1"/>
  <c r="Z20" i="1"/>
  <c r="Z24" i="1" s="1"/>
  <c r="AS34" i="1" l="1"/>
  <c r="AS36" i="1" s="1"/>
  <c r="AS37" i="1" s="1"/>
  <c r="Y49" i="1"/>
  <c r="Z25" i="1" s="1"/>
  <c r="Y29" i="1"/>
  <c r="AC23" i="1"/>
  <c r="AB34" i="1"/>
  <c r="AA20" i="1"/>
  <c r="AA24" i="1" s="1"/>
  <c r="Z26" i="1" l="1"/>
  <c r="Z27" i="1" s="1"/>
  <c r="Z28" i="1" s="1"/>
  <c r="Y46" i="1"/>
  <c r="AD23" i="1"/>
  <c r="AC34" i="1"/>
  <c r="AB20" i="1"/>
  <c r="AB24" i="1" s="1"/>
  <c r="Z29" i="1" l="1"/>
  <c r="Z49" i="1"/>
  <c r="AA25" i="1" s="1"/>
  <c r="AE23" i="1"/>
  <c r="AD34" i="1"/>
  <c r="AC20" i="1"/>
  <c r="AC24" i="1" s="1"/>
  <c r="Z46" i="1" l="1"/>
  <c r="AA26" i="1"/>
  <c r="AA27" i="1" s="1"/>
  <c r="AA28" i="1" s="1"/>
  <c r="AF23" i="1"/>
  <c r="AE34" i="1"/>
  <c r="AD20" i="1"/>
  <c r="AD24" i="1" s="1"/>
  <c r="AA29" i="1" l="1"/>
  <c r="AA49" i="1"/>
  <c r="AB25" i="1" s="1"/>
  <c r="AB26" i="1" s="1"/>
  <c r="AB27" i="1" s="1"/>
  <c r="AB28" i="1" s="1"/>
  <c r="AG23" i="1"/>
  <c r="AF34" i="1"/>
  <c r="AE20" i="1"/>
  <c r="AE24" i="1" s="1"/>
  <c r="AA46" i="1" l="1"/>
  <c r="AB49" i="1"/>
  <c r="AC25" i="1" s="1"/>
  <c r="AB29" i="1"/>
  <c r="AH23" i="1"/>
  <c r="AG34" i="1"/>
  <c r="AF20" i="1"/>
  <c r="AF24" i="1" s="1"/>
  <c r="AB46" i="1" l="1"/>
  <c r="AC26" i="1"/>
  <c r="AC27" i="1" s="1"/>
  <c r="AC28" i="1" s="1"/>
  <c r="AC49" i="1" s="1"/>
  <c r="AD25" i="1" s="1"/>
  <c r="AI23" i="1"/>
  <c r="AH34" i="1"/>
  <c r="AG20" i="1"/>
  <c r="AG24" i="1" s="1"/>
  <c r="AC46" i="1" l="1"/>
  <c r="AD26" i="1"/>
  <c r="AD27" i="1" s="1"/>
  <c r="AD28" i="1" s="1"/>
  <c r="AD49" i="1" s="1"/>
  <c r="AE25" i="1" s="1"/>
  <c r="AE26" i="1" s="1"/>
  <c r="AE27" i="1" s="1"/>
  <c r="AE28" i="1" s="1"/>
  <c r="AE29" i="1" s="1"/>
  <c r="AC29" i="1"/>
  <c r="AD29" i="1"/>
  <c r="AJ23" i="1"/>
  <c r="AI34" i="1"/>
  <c r="AH20" i="1"/>
  <c r="AH24" i="1" s="1"/>
  <c r="AE49" i="1" l="1"/>
  <c r="AF25" i="1" s="1"/>
  <c r="AD46" i="1"/>
  <c r="AK23" i="1"/>
  <c r="AJ34" i="1"/>
  <c r="AI20" i="1"/>
  <c r="AI24" i="1" s="1"/>
  <c r="AF26" i="1" l="1"/>
  <c r="AF27" i="1" s="1"/>
  <c r="AF28" i="1" s="1"/>
  <c r="AE46" i="1"/>
  <c r="AM23" i="1"/>
  <c r="AL23" i="1"/>
  <c r="AK34" i="1"/>
  <c r="AJ20" i="1"/>
  <c r="AJ24" i="1" s="1"/>
  <c r="AF29" i="1" l="1"/>
  <c r="AF49" i="1"/>
  <c r="AL34" i="1"/>
  <c r="AK20" i="1"/>
  <c r="AK24" i="1" s="1"/>
  <c r="AG25" i="1" l="1"/>
  <c r="AG26" i="1" s="1"/>
  <c r="AG27" i="1" s="1"/>
  <c r="AG28" i="1" s="1"/>
  <c r="AF46" i="1"/>
  <c r="AL20" i="1"/>
  <c r="AL24" i="1" s="1"/>
  <c r="AG29" i="1" l="1"/>
  <c r="AG49" i="1"/>
  <c r="AM20" i="1"/>
  <c r="AM24" i="1" s="1"/>
  <c r="AM34" i="1"/>
  <c r="AH25" i="1" l="1"/>
  <c r="AH26" i="1" s="1"/>
  <c r="AH27" i="1" s="1"/>
  <c r="AH28" i="1" s="1"/>
  <c r="AH29" i="1" s="1"/>
  <c r="AG46" i="1"/>
  <c r="AH49" i="1" l="1"/>
  <c r="AH46" i="1" s="1"/>
  <c r="AI25" i="1" l="1"/>
  <c r="AI26" i="1" s="1"/>
  <c r="AI27" i="1" s="1"/>
  <c r="AI28" i="1" s="1"/>
  <c r="AI29" i="1"/>
  <c r="AI49" i="1"/>
  <c r="AJ25" i="1" s="1"/>
  <c r="AI46" i="1" l="1"/>
  <c r="AJ26" i="1" l="1"/>
  <c r="AJ27" i="1" s="1"/>
  <c r="AJ28" i="1" s="1"/>
  <c r="AJ29" i="1" l="1"/>
  <c r="AJ49" i="1"/>
  <c r="AK25" i="1" s="1"/>
  <c r="AJ46" i="1" l="1"/>
  <c r="AK26" i="1" l="1"/>
  <c r="AK27" i="1" s="1"/>
  <c r="AK28" i="1" s="1"/>
  <c r="AK29" i="1" l="1"/>
  <c r="AK49" i="1"/>
  <c r="AL25" i="1" s="1"/>
  <c r="AK46" i="1" l="1"/>
  <c r="AL26" i="1" l="1"/>
  <c r="AL27" i="1" s="1"/>
  <c r="AL28" i="1" s="1"/>
  <c r="AL29" i="1" l="1"/>
  <c r="AL49" i="1"/>
  <c r="AM25" i="1" s="1"/>
  <c r="AM26" i="1" l="1"/>
  <c r="AM27" i="1" s="1"/>
  <c r="AM28" i="1" s="1"/>
  <c r="AL46" i="1"/>
  <c r="AM29" i="1" l="1"/>
  <c r="AN28" i="1"/>
  <c r="AO28" i="1" s="1"/>
  <c r="AP28" i="1" s="1"/>
  <c r="AQ28" i="1" s="1"/>
  <c r="AR28" i="1" s="1"/>
  <c r="AS28" i="1" s="1"/>
  <c r="AT28" i="1" s="1"/>
  <c r="AU28" i="1" s="1"/>
  <c r="AV28" i="1" s="1"/>
  <c r="AW28" i="1" s="1"/>
  <c r="AX28" i="1" s="1"/>
  <c r="AY28" i="1" s="1"/>
  <c r="AZ28" i="1" s="1"/>
  <c r="BA28" i="1" s="1"/>
  <c r="BB28" i="1" s="1"/>
  <c r="BC28" i="1" s="1"/>
  <c r="BD28" i="1" s="1"/>
  <c r="BE28" i="1" s="1"/>
  <c r="BF28" i="1" s="1"/>
  <c r="BG28" i="1" s="1"/>
  <c r="BH28" i="1" s="1"/>
  <c r="BI28" i="1" s="1"/>
  <c r="BJ28" i="1" s="1"/>
  <c r="BK28" i="1" s="1"/>
  <c r="BL28" i="1" s="1"/>
  <c r="BM28" i="1" s="1"/>
  <c r="BN28" i="1" s="1"/>
  <c r="BO28" i="1" s="1"/>
  <c r="BP28" i="1" s="1"/>
  <c r="BQ28" i="1" s="1"/>
  <c r="BR28" i="1" s="1"/>
  <c r="BS28" i="1" s="1"/>
  <c r="BT28" i="1" s="1"/>
  <c r="BU28" i="1" s="1"/>
  <c r="BV28" i="1" s="1"/>
  <c r="BW28" i="1" s="1"/>
  <c r="BX28" i="1" s="1"/>
  <c r="BY28" i="1" s="1"/>
  <c r="BZ28" i="1" s="1"/>
  <c r="CA28" i="1" s="1"/>
  <c r="CB28" i="1" s="1"/>
  <c r="CC28" i="1" s="1"/>
  <c r="CD28" i="1" s="1"/>
  <c r="CE28" i="1" s="1"/>
  <c r="CF28" i="1" s="1"/>
  <c r="CG28" i="1" s="1"/>
  <c r="CH28" i="1" s="1"/>
  <c r="CI28" i="1" s="1"/>
  <c r="CJ28" i="1" s="1"/>
  <c r="CK28" i="1" s="1"/>
  <c r="CL28" i="1" s="1"/>
  <c r="CM28" i="1" s="1"/>
  <c r="CN28" i="1" s="1"/>
  <c r="CO28" i="1" s="1"/>
  <c r="CP28" i="1" s="1"/>
  <c r="CQ28" i="1" s="1"/>
  <c r="CR28" i="1" s="1"/>
  <c r="CS28" i="1" s="1"/>
  <c r="CT28" i="1" s="1"/>
  <c r="CU28" i="1" s="1"/>
  <c r="CV28" i="1" s="1"/>
  <c r="CW28" i="1" s="1"/>
  <c r="CX28" i="1" s="1"/>
  <c r="CY28" i="1" s="1"/>
  <c r="CZ28" i="1" s="1"/>
  <c r="DA28" i="1" s="1"/>
  <c r="DB28" i="1" s="1"/>
  <c r="DC28" i="1" s="1"/>
  <c r="DD28" i="1" s="1"/>
  <c r="DE28" i="1" s="1"/>
  <c r="DF28" i="1" s="1"/>
  <c r="DG28" i="1" s="1"/>
  <c r="DH28" i="1" s="1"/>
  <c r="DI28" i="1" s="1"/>
  <c r="DJ28" i="1" s="1"/>
  <c r="DK28" i="1" s="1"/>
  <c r="DL28" i="1" s="1"/>
  <c r="DM28" i="1" s="1"/>
  <c r="DN28" i="1" s="1"/>
  <c r="DO28" i="1" s="1"/>
  <c r="DP28" i="1" s="1"/>
  <c r="DQ28" i="1" s="1"/>
  <c r="DR28" i="1" s="1"/>
  <c r="DS28" i="1" s="1"/>
  <c r="DT28" i="1" s="1"/>
  <c r="DU28" i="1" s="1"/>
  <c r="DV28" i="1" s="1"/>
  <c r="DW28" i="1" s="1"/>
  <c r="DX28" i="1" s="1"/>
  <c r="DY28" i="1" s="1"/>
  <c r="DZ28" i="1" s="1"/>
  <c r="EA28" i="1" s="1"/>
  <c r="EB28" i="1" s="1"/>
  <c r="EC28" i="1" s="1"/>
  <c r="ED28" i="1" s="1"/>
  <c r="EE28" i="1" s="1"/>
  <c r="EF28" i="1" s="1"/>
  <c r="EG28" i="1" s="1"/>
  <c r="EH28" i="1" s="1"/>
  <c r="EI28" i="1" s="1"/>
  <c r="EJ28" i="1" s="1"/>
  <c r="EK28" i="1" s="1"/>
  <c r="EL28" i="1" s="1"/>
  <c r="EM28" i="1" s="1"/>
  <c r="EN28" i="1" s="1"/>
  <c r="EO28" i="1" s="1"/>
  <c r="EP28" i="1" s="1"/>
  <c r="EQ28" i="1" s="1"/>
  <c r="ER28" i="1" s="1"/>
  <c r="ES28" i="1" s="1"/>
  <c r="ET28" i="1" s="1"/>
  <c r="EU28" i="1" s="1"/>
  <c r="EV28" i="1" s="1"/>
  <c r="EW28" i="1" s="1"/>
  <c r="EX28" i="1" s="1"/>
  <c r="EY28" i="1" s="1"/>
  <c r="EZ28" i="1" s="1"/>
  <c r="FA28" i="1" s="1"/>
  <c r="FB28" i="1" s="1"/>
  <c r="FC28" i="1" s="1"/>
  <c r="FD28" i="1" s="1"/>
  <c r="FE28" i="1" s="1"/>
  <c r="FF28" i="1" s="1"/>
  <c r="FG28" i="1" s="1"/>
  <c r="FH28" i="1" s="1"/>
  <c r="FI28" i="1" s="1"/>
  <c r="FJ28" i="1" s="1"/>
  <c r="FK28" i="1" s="1"/>
  <c r="AM49" i="1"/>
  <c r="AM46" i="1" s="1"/>
  <c r="AP34" i="1" l="1"/>
  <c r="AP37" i="1" s="1"/>
  <c r="AP38" i="1" s="1"/>
  <c r="AP40" i="1" s="1"/>
</calcChain>
</file>

<file path=xl/sharedStrings.xml><?xml version="1.0" encoding="utf-8"?>
<sst xmlns="http://schemas.openxmlformats.org/spreadsheetml/2006/main" count="138" uniqueCount="122">
  <si>
    <t>Revenue</t>
  </si>
  <si>
    <t>Q113</t>
  </si>
  <si>
    <t>Q213</t>
  </si>
  <si>
    <t>Q313</t>
  </si>
  <si>
    <t>Q413</t>
  </si>
  <si>
    <t>Q114</t>
  </si>
  <si>
    <t>Q214</t>
  </si>
  <si>
    <t>Q314</t>
  </si>
  <si>
    <t>Q414</t>
  </si>
  <si>
    <t>Q115</t>
  </si>
  <si>
    <t>Q215</t>
  </si>
  <si>
    <t>Q315</t>
  </si>
  <si>
    <t>Q415</t>
  </si>
  <si>
    <t>Q116</t>
  </si>
  <si>
    <t>Q216</t>
  </si>
  <si>
    <t>Q316</t>
  </si>
  <si>
    <t>Q416</t>
  </si>
  <si>
    <t>Services</t>
  </si>
  <si>
    <t>Sales</t>
  </si>
  <si>
    <t>Finanacing</t>
  </si>
  <si>
    <t>Services Cost</t>
  </si>
  <si>
    <t>Sales Cost</t>
  </si>
  <si>
    <t>Financing Cost</t>
  </si>
  <si>
    <t>Total COGs</t>
  </si>
  <si>
    <t>Gross Margin</t>
  </si>
  <si>
    <t>Services GP</t>
  </si>
  <si>
    <t>Sales GP</t>
  </si>
  <si>
    <t>Financing GP</t>
  </si>
  <si>
    <t>Gross Profit</t>
  </si>
  <si>
    <t>SG&amp;A</t>
  </si>
  <si>
    <t>R&amp;D</t>
  </si>
  <si>
    <t>Operating Expenses</t>
  </si>
  <si>
    <t>Operating Income (EBITDA)</t>
  </si>
  <si>
    <t>Other Income</t>
  </si>
  <si>
    <t>Pretax Income</t>
  </si>
  <si>
    <t>Taxes</t>
  </si>
  <si>
    <t>Net Income</t>
  </si>
  <si>
    <t>Shares</t>
  </si>
  <si>
    <t>Price</t>
  </si>
  <si>
    <t>MC</t>
  </si>
  <si>
    <t>Cash</t>
  </si>
  <si>
    <t>Debt</t>
  </si>
  <si>
    <t>EV</t>
  </si>
  <si>
    <t>EPS</t>
  </si>
  <si>
    <t>https://www.sec.gov/Archives/edgar/data/51143/000005114315000009/ibm15q3_10q.htm</t>
  </si>
  <si>
    <t>Revenue Y/Y</t>
  </si>
  <si>
    <t>SG&amp;A Y/Y</t>
  </si>
  <si>
    <t>R&amp;D Y/Y</t>
  </si>
  <si>
    <t>Net Income Y/Y</t>
  </si>
  <si>
    <t>Tax Rate</t>
  </si>
  <si>
    <t>Maturity</t>
  </si>
  <si>
    <t>Discount</t>
  </si>
  <si>
    <t>NPV</t>
  </si>
  <si>
    <t>Net</t>
  </si>
  <si>
    <t>Share</t>
  </si>
  <si>
    <t>Current</t>
  </si>
  <si>
    <t>Name</t>
  </si>
  <si>
    <t>Incorporated 1911</t>
  </si>
  <si>
    <t>IBM's business is consulting and IT implementation services, cloud and cognitive offerings, and enterprise systems and software</t>
  </si>
  <si>
    <t>Bluemix</t>
  </si>
  <si>
    <t>Global Technology Services</t>
  </si>
  <si>
    <t>Global Business Services (GBS)</t>
  </si>
  <si>
    <t>Global Technology Services (GTS)</t>
  </si>
  <si>
    <t>Global Services (GTS+GBS)</t>
  </si>
  <si>
    <t>Software</t>
  </si>
  <si>
    <t>Systems Hardware</t>
  </si>
  <si>
    <t>Global Financing</t>
  </si>
  <si>
    <t>Description</t>
  </si>
  <si>
    <t xml:space="preserve">  Watson</t>
  </si>
  <si>
    <t>Cognitive</t>
  </si>
  <si>
    <t>Middleware, OS, Watson</t>
  </si>
  <si>
    <t>Servers, Storage</t>
  </si>
  <si>
    <t>Help customers buy their goods</t>
  </si>
  <si>
    <t>% of revenue</t>
  </si>
  <si>
    <t>Column3</t>
  </si>
  <si>
    <t>Column4</t>
  </si>
  <si>
    <t>Column5</t>
  </si>
  <si>
    <t>Notes</t>
  </si>
  <si>
    <t>Main</t>
  </si>
  <si>
    <t>Clients</t>
  </si>
  <si>
    <t>Walmart? MSFT?</t>
  </si>
  <si>
    <t>IT Infrastructure consulting</t>
  </si>
  <si>
    <t xml:space="preserve"> </t>
  </si>
  <si>
    <t>Competition</t>
  </si>
  <si>
    <t>Oracle, SAP</t>
  </si>
  <si>
    <t>Google?</t>
  </si>
  <si>
    <t>Dell</t>
  </si>
  <si>
    <t>SEGMENT ANALYSIS:</t>
  </si>
  <si>
    <t>Accenture, Infosys, Tata, Cognizant</t>
  </si>
  <si>
    <t>2016 E</t>
  </si>
  <si>
    <t>EV/E</t>
  </si>
  <si>
    <t>Yield</t>
  </si>
  <si>
    <t>Bonds</t>
  </si>
  <si>
    <t>Revenue Local Currency (LC) y/y</t>
  </si>
  <si>
    <t>USD/EUR</t>
  </si>
  <si>
    <t>Backlog</t>
  </si>
  <si>
    <t>Backlog LC y/y</t>
  </si>
  <si>
    <t>Assets</t>
  </si>
  <si>
    <t>Other</t>
  </si>
  <si>
    <t>Intangible</t>
  </si>
  <si>
    <t>Pension</t>
  </si>
  <si>
    <t>D/T</t>
  </si>
  <si>
    <t>LT F/R</t>
  </si>
  <si>
    <t>PP&amp;E</t>
  </si>
  <si>
    <t>Prepaid</t>
  </si>
  <si>
    <t>Inventories</t>
  </si>
  <si>
    <t>OR</t>
  </si>
  <si>
    <t>ST FR</t>
  </si>
  <si>
    <t>A/R</t>
  </si>
  <si>
    <t>Net Cash</t>
  </si>
  <si>
    <t>Compensation</t>
  </si>
  <si>
    <t>D/R</t>
  </si>
  <si>
    <t>A/P</t>
  </si>
  <si>
    <t>Retirement</t>
  </si>
  <si>
    <t>OL</t>
  </si>
  <si>
    <t>S/E</t>
  </si>
  <si>
    <t>L+S/E</t>
  </si>
  <si>
    <t>ROIC</t>
  </si>
  <si>
    <t>Strategic Imperatives</t>
  </si>
  <si>
    <t>ROB</t>
  </si>
  <si>
    <t xml:space="preserve">  Outsourcing</t>
  </si>
  <si>
    <t>44% of 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</si>
</sst>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i/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000000"/>
      <name val="Times"/>
    </font>
    <font>
      <u/>
      <sz val="12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1" fontId="0" fillId="0" borderId="0" xfId="0" applyNumberFormat="1" applyAlignment="1">
      <alignment horizontal="right"/>
    </xf>
    <xf numFmtId="3" fontId="0" fillId="0" borderId="0" xfId="0" applyNumberForma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0" xfId="0" applyFont="1"/>
    <xf numFmtId="3" fontId="2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4" fontId="0" fillId="0" borderId="0" xfId="0" applyNumberFormat="1"/>
    <xf numFmtId="2" fontId="2" fillId="0" borderId="0" xfId="0" applyNumberFormat="1" applyFont="1" applyAlignment="1">
      <alignment horizontal="right"/>
    </xf>
    <xf numFmtId="9" fontId="2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  <xf numFmtId="2" fontId="2" fillId="0" borderId="0" xfId="0" applyNumberFormat="1" applyFont="1"/>
    <xf numFmtId="9" fontId="2" fillId="0" borderId="0" xfId="0" applyNumberFormat="1" applyFont="1"/>
    <xf numFmtId="9" fontId="0" fillId="0" borderId="0" xfId="0" applyNumberFormat="1"/>
    <xf numFmtId="1" fontId="2" fillId="0" borderId="0" xfId="0" applyNumberFormat="1" applyFont="1"/>
    <xf numFmtId="0" fontId="3" fillId="0" borderId="0" xfId="0" applyFont="1"/>
    <xf numFmtId="0" fontId="0" fillId="0" borderId="1" xfId="0" applyBorder="1"/>
    <xf numFmtId="0" fontId="2" fillId="0" borderId="1" xfId="0" applyFont="1" applyBorder="1"/>
    <xf numFmtId="9" fontId="0" fillId="0" borderId="0" xfId="0" applyNumberFormat="1" applyAlignment="1">
      <alignment horizontal="center"/>
    </xf>
    <xf numFmtId="0" fontId="4" fillId="0" borderId="0" xfId="1"/>
    <xf numFmtId="0" fontId="0" fillId="0" borderId="0" xfId="0" applyAlignment="1">
      <alignment horizontal="center"/>
    </xf>
    <xf numFmtId="4" fontId="0" fillId="2" borderId="0" xfId="0" applyNumberFormat="1" applyFill="1"/>
    <xf numFmtId="10" fontId="0" fillId="0" borderId="0" xfId="0" applyNumberFormat="1"/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0</xdr:colOff>
      <xdr:row>0</xdr:row>
      <xdr:rowOff>25400</xdr:rowOff>
    </xdr:from>
    <xdr:to>
      <xdr:col>24</xdr:col>
      <xdr:colOff>0</xdr:colOff>
      <xdr:row>74</xdr:row>
      <xdr:rowOff>152400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64816415-0F33-AEDA-6499-7B4B10EC6EA3}"/>
            </a:ext>
          </a:extLst>
        </xdr:cNvPr>
        <xdr:cNvCxnSpPr/>
      </xdr:nvCxnSpPr>
      <xdr:spPr>
        <a:xfrm>
          <a:off x="20764500" y="25400"/>
          <a:ext cx="0" cy="13131800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964C3FC-8F06-864D-8E51-7DCE29DCD9A8}" name="Table3" displayName="Table3" ref="B3:I11" totalsRowShown="0" tableBorderDxfId="2">
  <autoFilter ref="B3:I11" xr:uid="{D964C3FC-8F06-864D-8E51-7DCE29DCD9A8}"/>
  <tableColumns count="8">
    <tableColumn id="1" xr3:uid="{4FDCC360-A82F-1C44-81A4-0286E654A47B}" name="Name" dataDxfId="1"/>
    <tableColumn id="2" xr3:uid="{A9D46581-43D4-B740-A9B1-794E044C07EF}" name="Description"/>
    <tableColumn id="3" xr3:uid="{04292C5C-06A1-0F46-A5E9-9B4E47FEE740}" name="% of revenue"/>
    <tableColumn id="4" xr3:uid="{8A86CD55-B06F-BE45-B299-2D6C0B5571D9}" name="Notes" dataDxfId="0"/>
    <tableColumn id="5" xr3:uid="{8487F0F2-3AE4-7F49-AD9C-BD046A721009}" name="Competition"/>
    <tableColumn id="6" xr3:uid="{153C3AF0-1E82-8D4B-A47F-39E8D4B07DB0}" name="Column3"/>
    <tableColumn id="7" xr3:uid="{88FEEA5E-316F-B64D-9F56-AF050A273C50}" name="Column4"/>
    <tableColumn id="8" xr3:uid="{6ACDF98D-7FE5-5445-8BD8-5768F252FD01}" name="Column5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05C60-218E-424D-A446-2743EFB20933}">
  <dimension ref="B2:M17"/>
  <sheetViews>
    <sheetView workbookViewId="0">
      <selection activeCell="B8" sqref="B8:I8"/>
    </sheetView>
  </sheetViews>
  <sheetFormatPr baseColWidth="10" defaultRowHeight="16"/>
  <cols>
    <col min="2" max="2" width="28.6640625" customWidth="1"/>
    <col min="3" max="3" width="30.33203125" customWidth="1"/>
    <col min="4" max="4" width="13.83203125" customWidth="1"/>
    <col min="5" max="5" width="11" customWidth="1"/>
    <col min="6" max="6" width="29.6640625" bestFit="1" customWidth="1"/>
    <col min="7" max="9" width="11" customWidth="1"/>
    <col min="12" max="12" width="10.83203125" style="4"/>
    <col min="13" max="13" width="10.83203125" style="1"/>
  </cols>
  <sheetData>
    <row r="2" spans="2:13">
      <c r="B2" s="9" t="s">
        <v>87</v>
      </c>
    </row>
    <row r="3" spans="2:13">
      <c r="B3" s="22" t="s">
        <v>56</v>
      </c>
      <c r="C3" s="9" t="s">
        <v>67</v>
      </c>
      <c r="D3" s="9" t="s">
        <v>73</v>
      </c>
      <c r="E3" t="s">
        <v>77</v>
      </c>
      <c r="F3" t="s">
        <v>83</v>
      </c>
      <c r="G3" t="s">
        <v>74</v>
      </c>
      <c r="H3" t="s">
        <v>75</v>
      </c>
      <c r="I3" t="s">
        <v>76</v>
      </c>
      <c r="K3" t="s">
        <v>38</v>
      </c>
      <c r="L3" s="4">
        <v>137.80000000000001</v>
      </c>
    </row>
    <row r="4" spans="2:13">
      <c r="B4" s="21" t="s">
        <v>62</v>
      </c>
      <c r="C4" s="25" t="s">
        <v>81</v>
      </c>
      <c r="D4" s="23">
        <f>32/81.7</f>
        <v>0.39167686658506728</v>
      </c>
      <c r="E4" s="25"/>
      <c r="F4" s="25" t="s">
        <v>88</v>
      </c>
      <c r="K4" t="s">
        <v>37</v>
      </c>
      <c r="L4" s="4">
        <f>2219.559-1249.449</f>
        <v>970.11000000000013</v>
      </c>
      <c r="M4" s="1" t="s">
        <v>11</v>
      </c>
    </row>
    <row r="5" spans="2:13">
      <c r="B5" s="21" t="s">
        <v>61</v>
      </c>
      <c r="C5" s="25" t="s">
        <v>82</v>
      </c>
      <c r="D5" s="23">
        <f>17/81.7</f>
        <v>0.20807833537331702</v>
      </c>
      <c r="E5" s="25"/>
      <c r="F5" s="25" t="s">
        <v>88</v>
      </c>
      <c r="K5" t="s">
        <v>39</v>
      </c>
      <c r="L5" s="4">
        <f>L4*L3</f>
        <v>133681.15800000002</v>
      </c>
    </row>
    <row r="6" spans="2:13">
      <c r="B6" s="21" t="s">
        <v>63</v>
      </c>
      <c r="C6" s="25"/>
      <c r="D6" s="23">
        <f>+(32+17)/81.7</f>
        <v>0.59975520195838428</v>
      </c>
      <c r="E6" s="25"/>
      <c r="F6" s="25" t="s">
        <v>88</v>
      </c>
      <c r="K6" t="s">
        <v>40</v>
      </c>
      <c r="L6" s="4">
        <v>8194</v>
      </c>
      <c r="M6" s="1" t="s">
        <v>12</v>
      </c>
    </row>
    <row r="7" spans="2:13">
      <c r="B7" s="21" t="s">
        <v>120</v>
      </c>
      <c r="C7" s="25"/>
      <c r="D7" s="25" t="s">
        <v>121</v>
      </c>
      <c r="E7" s="25"/>
      <c r="F7" s="25"/>
      <c r="K7" t="s">
        <v>41</v>
      </c>
      <c r="L7" s="4">
        <v>39889</v>
      </c>
      <c r="M7" s="1" t="s">
        <v>12</v>
      </c>
    </row>
    <row r="8" spans="2:13">
      <c r="B8" s="21" t="s">
        <v>64</v>
      </c>
      <c r="C8" s="25" t="s">
        <v>70</v>
      </c>
      <c r="D8" s="23">
        <f>22.9/81.7</f>
        <v>0.28029375764993875</v>
      </c>
      <c r="E8" s="25"/>
      <c r="F8" s="25" t="s">
        <v>84</v>
      </c>
      <c r="K8" t="s">
        <v>42</v>
      </c>
      <c r="L8" s="4">
        <f>L5-L6+L7</f>
        <v>165376.15800000002</v>
      </c>
    </row>
    <row r="9" spans="2:13">
      <c r="B9" s="21" t="s">
        <v>68</v>
      </c>
      <c r="C9" s="25" t="s">
        <v>69</v>
      </c>
      <c r="D9" s="25"/>
      <c r="E9" s="25" t="s">
        <v>59</v>
      </c>
      <c r="F9" s="25" t="s">
        <v>85</v>
      </c>
    </row>
    <row r="10" spans="2:13">
      <c r="B10" s="21" t="s">
        <v>65</v>
      </c>
      <c r="C10" s="25" t="s">
        <v>71</v>
      </c>
      <c r="D10" s="23">
        <f>7.5/81.7</f>
        <v>9.1799265605875147E-2</v>
      </c>
      <c r="E10" s="25"/>
      <c r="F10" s="25" t="s">
        <v>86</v>
      </c>
    </row>
    <row r="11" spans="2:13">
      <c r="B11" s="21" t="s">
        <v>66</v>
      </c>
      <c r="C11" s="25" t="s">
        <v>72</v>
      </c>
      <c r="D11" s="23">
        <f>1840/81741</f>
        <v>2.2510123438666031E-2</v>
      </c>
      <c r="E11" s="25"/>
      <c r="F11" s="25"/>
    </row>
    <row r="12" spans="2:13">
      <c r="E12" s="25"/>
    </row>
    <row r="14" spans="2:13">
      <c r="B14" s="20" t="s">
        <v>58</v>
      </c>
    </row>
    <row r="17" spans="2:2">
      <c r="B17" t="s">
        <v>57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4B53B-43D6-C343-8CFB-DA6EFFB3E37F}">
  <dimension ref="A1:C4"/>
  <sheetViews>
    <sheetView workbookViewId="0">
      <selection activeCell="B5" sqref="B5"/>
    </sheetView>
  </sheetViews>
  <sheetFormatPr baseColWidth="10" defaultRowHeight="16"/>
  <cols>
    <col min="3" max="3" width="16.33203125" customWidth="1"/>
  </cols>
  <sheetData>
    <row r="1" spans="1:3">
      <c r="A1" s="24" t="s">
        <v>78</v>
      </c>
    </row>
    <row r="3" spans="1:3">
      <c r="B3" t="s">
        <v>56</v>
      </c>
      <c r="C3" t="s">
        <v>60</v>
      </c>
    </row>
    <row r="4" spans="1:3">
      <c r="B4" t="s">
        <v>79</v>
      </c>
      <c r="C4" t="s">
        <v>80</v>
      </c>
    </row>
  </sheetData>
  <hyperlinks>
    <hyperlink ref="A1" location="Main!A1" display="Main" xr:uid="{C6897D8B-F6E3-2E4D-BA73-36EE6FE3273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78ABC-15C0-9E42-9538-9FC487490627}">
  <dimension ref="B1:FK74"/>
  <sheetViews>
    <sheetView tabSelected="1" zoomScale="120" zoomScaleNormal="120" workbookViewId="0">
      <pane xSplit="2" ySplit="2" topLeftCell="W3" activePane="bottomRight" state="frozen"/>
      <selection pane="topRight" activeCell="C1" sqref="C1"/>
      <selection pane="bottomLeft" activeCell="A3" sqref="A3"/>
      <selection pane="bottomRight" activeCell="Y25" sqref="Y25"/>
    </sheetView>
  </sheetViews>
  <sheetFormatPr baseColWidth="10" defaultRowHeight="16"/>
  <cols>
    <col min="2" max="2" width="23.33203125" bestFit="1" customWidth="1"/>
    <col min="3" max="18" width="10.83203125" style="1"/>
    <col min="23" max="23" width="17.33203125" bestFit="1" customWidth="1"/>
    <col min="42" max="42" width="11.83203125" bestFit="1" customWidth="1"/>
  </cols>
  <sheetData>
    <row r="1" spans="2:39">
      <c r="B1" t="s">
        <v>44</v>
      </c>
    </row>
    <row r="2" spans="2:39"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T2">
        <v>2011</v>
      </c>
      <c r="U2">
        <v>2012</v>
      </c>
      <c r="V2">
        <v>2013</v>
      </c>
      <c r="W2">
        <f>V2+1</f>
        <v>2014</v>
      </c>
      <c r="X2">
        <f t="shared" ref="X2:AM2" si="0">W2+1</f>
        <v>2015</v>
      </c>
      <c r="Y2">
        <f t="shared" si="0"/>
        <v>2016</v>
      </c>
      <c r="Z2">
        <f t="shared" si="0"/>
        <v>2017</v>
      </c>
      <c r="AA2">
        <f t="shared" si="0"/>
        <v>2018</v>
      </c>
      <c r="AB2">
        <f t="shared" si="0"/>
        <v>2019</v>
      </c>
      <c r="AC2">
        <f t="shared" si="0"/>
        <v>2020</v>
      </c>
      <c r="AD2">
        <f t="shared" si="0"/>
        <v>2021</v>
      </c>
      <c r="AE2">
        <f t="shared" si="0"/>
        <v>2022</v>
      </c>
      <c r="AF2">
        <f t="shared" si="0"/>
        <v>2023</v>
      </c>
      <c r="AG2">
        <f t="shared" si="0"/>
        <v>2024</v>
      </c>
      <c r="AH2">
        <f t="shared" si="0"/>
        <v>2025</v>
      </c>
      <c r="AI2">
        <f t="shared" si="0"/>
        <v>2026</v>
      </c>
      <c r="AJ2">
        <f t="shared" si="0"/>
        <v>2027</v>
      </c>
      <c r="AK2">
        <f t="shared" si="0"/>
        <v>2028</v>
      </c>
      <c r="AL2">
        <f t="shared" si="0"/>
        <v>2029</v>
      </c>
      <c r="AM2">
        <f t="shared" si="0"/>
        <v>2030</v>
      </c>
    </row>
    <row r="3" spans="2:39" s="28" customFormat="1">
      <c r="B3" s="28" t="s">
        <v>118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W3" s="12">
        <f>X3/1.17</f>
        <v>24700.854700854703</v>
      </c>
      <c r="X3" s="12">
        <v>28900</v>
      </c>
    </row>
    <row r="4" spans="2:39" s="28" customFormat="1"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W4" s="12"/>
      <c r="X4" s="18">
        <f>X3/W3-1</f>
        <v>0.16999999999999993</v>
      </c>
    </row>
    <row r="5" spans="2:39" s="4" customFormat="1">
      <c r="B5" s="4" t="s">
        <v>119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W5" s="4">
        <f>W12-W3</f>
        <v>68092.145299145297</v>
      </c>
      <c r="X5" s="4">
        <f>X12-X3</f>
        <v>52842</v>
      </c>
    </row>
    <row r="6" spans="2:39">
      <c r="B6" t="s">
        <v>82</v>
      </c>
      <c r="X6" s="18">
        <f>X5/W5-1</f>
        <v>-0.2239633548355352</v>
      </c>
    </row>
    <row r="9" spans="2:39" s="4" customFormat="1">
      <c r="B9" s="4" t="s">
        <v>17</v>
      </c>
      <c r="C9" s="5"/>
      <c r="D9" s="6"/>
      <c r="E9" s="6"/>
      <c r="F9" s="6"/>
      <c r="G9" s="6">
        <v>13982</v>
      </c>
      <c r="H9" s="6">
        <v>14128</v>
      </c>
      <c r="I9" s="6">
        <v>13869</v>
      </c>
      <c r="J9" s="6">
        <f>55673-I9-H9-G9</f>
        <v>13694</v>
      </c>
      <c r="K9" s="6">
        <v>12366</v>
      </c>
      <c r="L9" s="6">
        <v>12597</v>
      </c>
      <c r="M9" s="6">
        <v>12327</v>
      </c>
      <c r="N9" s="6">
        <f>49911-M9-L9-K9</f>
        <v>12621</v>
      </c>
      <c r="O9" s="6"/>
      <c r="P9" s="6"/>
      <c r="Q9" s="6"/>
      <c r="R9" s="6"/>
      <c r="T9" s="4">
        <v>60721</v>
      </c>
      <c r="U9" s="4">
        <v>59453</v>
      </c>
      <c r="V9" s="4">
        <v>57655</v>
      </c>
      <c r="W9" s="4">
        <f>SUM(G9:J9)</f>
        <v>55673</v>
      </c>
      <c r="X9" s="4">
        <f>SUM(K9:N9)</f>
        <v>49911</v>
      </c>
    </row>
    <row r="10" spans="2:39" s="4" customFormat="1">
      <c r="B10" s="4" t="s">
        <v>18</v>
      </c>
      <c r="C10" s="6"/>
      <c r="D10" s="6"/>
      <c r="E10" s="6"/>
      <c r="F10" s="6"/>
      <c r="G10" s="6">
        <v>7736</v>
      </c>
      <c r="H10" s="6">
        <v>9410</v>
      </c>
      <c r="I10" s="6">
        <v>8034</v>
      </c>
      <c r="J10" s="6">
        <f>35063-I10-H10-G10</f>
        <v>9883</v>
      </c>
      <c r="K10" s="6">
        <v>6757</v>
      </c>
      <c r="L10" s="6">
        <v>7733</v>
      </c>
      <c r="M10" s="6">
        <v>6501</v>
      </c>
      <c r="N10" s="6">
        <f>29967-M10-L10-K10</f>
        <v>8976</v>
      </c>
      <c r="O10" s="6"/>
      <c r="P10" s="6"/>
      <c r="Q10" s="6"/>
      <c r="R10" s="6"/>
      <c r="T10" s="4">
        <v>44063</v>
      </c>
      <c r="U10" s="4">
        <v>43014</v>
      </c>
      <c r="V10" s="4">
        <v>38666</v>
      </c>
      <c r="W10" s="4">
        <f t="shared" ref="W10:W15" si="1">SUM(G10:J10)</f>
        <v>35063</v>
      </c>
      <c r="X10" s="4">
        <f t="shared" ref="X10:X11" si="2">SUM(K10:N10)</f>
        <v>29967</v>
      </c>
    </row>
    <row r="11" spans="2:39" s="4" customFormat="1">
      <c r="B11" s="4" t="s">
        <v>19</v>
      </c>
      <c r="C11" s="6"/>
      <c r="D11" s="6"/>
      <c r="E11" s="6"/>
      <c r="F11" s="6"/>
      <c r="G11" s="6">
        <v>517</v>
      </c>
      <c r="H11" s="6">
        <v>509</v>
      </c>
      <c r="I11" s="6">
        <v>494</v>
      </c>
      <c r="J11" s="6">
        <f>2057-I11-H11-G11</f>
        <v>537</v>
      </c>
      <c r="K11" s="6">
        <v>467</v>
      </c>
      <c r="L11" s="6">
        <v>484</v>
      </c>
      <c r="M11" s="6">
        <v>452</v>
      </c>
      <c r="N11" s="6">
        <f>1864-M11-L11-K11</f>
        <v>461</v>
      </c>
      <c r="O11" s="6"/>
      <c r="P11" s="6"/>
      <c r="Q11" s="6"/>
      <c r="R11" s="6"/>
      <c r="T11" s="4">
        <v>2132</v>
      </c>
      <c r="U11" s="4">
        <v>2040</v>
      </c>
      <c r="V11" s="4">
        <v>2047</v>
      </c>
      <c r="W11" s="4">
        <f t="shared" si="1"/>
        <v>2057</v>
      </c>
      <c r="X11" s="4">
        <f t="shared" si="2"/>
        <v>1864</v>
      </c>
    </row>
    <row r="12" spans="2:39" s="7" customFormat="1">
      <c r="B12" s="7" t="s">
        <v>0</v>
      </c>
      <c r="C12" s="10"/>
      <c r="D12" s="10"/>
      <c r="E12" s="10"/>
      <c r="F12" s="10"/>
      <c r="G12" s="10">
        <f t="shared" ref="G12:N12" si="3">SUM(G9:G11)</f>
        <v>22235</v>
      </c>
      <c r="H12" s="10">
        <f t="shared" si="3"/>
        <v>24047</v>
      </c>
      <c r="I12" s="10">
        <f t="shared" si="3"/>
        <v>22397</v>
      </c>
      <c r="J12" s="10">
        <f t="shared" si="3"/>
        <v>24114</v>
      </c>
      <c r="K12" s="10">
        <f t="shared" si="3"/>
        <v>19590</v>
      </c>
      <c r="L12" s="10">
        <f t="shared" si="3"/>
        <v>20814</v>
      </c>
      <c r="M12" s="10">
        <f t="shared" si="3"/>
        <v>19280</v>
      </c>
      <c r="N12" s="10">
        <f t="shared" si="3"/>
        <v>22058</v>
      </c>
      <c r="O12" s="10"/>
      <c r="P12" s="10"/>
      <c r="Q12" s="10"/>
      <c r="R12" s="10"/>
      <c r="T12" s="10">
        <f t="shared" ref="T12:U12" si="4">SUM(T9:T11)</f>
        <v>106916</v>
      </c>
      <c r="U12" s="10">
        <f t="shared" si="4"/>
        <v>104507</v>
      </c>
      <c r="V12" s="10">
        <f t="shared" ref="V12" si="5">SUM(V9:V11)</f>
        <v>98368</v>
      </c>
      <c r="W12" s="7">
        <f t="shared" si="1"/>
        <v>92793</v>
      </c>
      <c r="X12" s="10">
        <f>SUM(X9:X11)</f>
        <v>81742</v>
      </c>
      <c r="Y12" s="7">
        <f>X12*0.99</f>
        <v>80924.58</v>
      </c>
      <c r="Z12" s="7">
        <f t="shared" ref="Z12:AM12" si="6">Y12*0.99</f>
        <v>80115.334199999998</v>
      </c>
      <c r="AA12" s="7">
        <f t="shared" si="6"/>
        <v>79314.180857999992</v>
      </c>
      <c r="AB12" s="7">
        <f t="shared" si="6"/>
        <v>78521.039049419996</v>
      </c>
      <c r="AC12" s="7">
        <f t="shared" si="6"/>
        <v>77735.828658925791</v>
      </c>
      <c r="AD12" s="7">
        <f t="shared" si="6"/>
        <v>76958.470372336538</v>
      </c>
      <c r="AE12" s="7">
        <f t="shared" si="6"/>
        <v>76188.885668613177</v>
      </c>
      <c r="AF12" s="7">
        <f t="shared" si="6"/>
        <v>75426.996811927049</v>
      </c>
      <c r="AG12" s="7">
        <f t="shared" si="6"/>
        <v>74672.726843807774</v>
      </c>
      <c r="AH12" s="7">
        <f t="shared" si="6"/>
        <v>73925.9995753697</v>
      </c>
      <c r="AI12" s="7">
        <f t="shared" si="6"/>
        <v>73186.739579615998</v>
      </c>
      <c r="AJ12" s="7">
        <f t="shared" si="6"/>
        <v>72454.87218381984</v>
      </c>
      <c r="AK12" s="7">
        <f t="shared" si="6"/>
        <v>71730.323461981636</v>
      </c>
      <c r="AL12" s="7">
        <f t="shared" si="6"/>
        <v>71013.02022736182</v>
      </c>
      <c r="AM12" s="7">
        <f t="shared" si="6"/>
        <v>70302.8900250882</v>
      </c>
    </row>
    <row r="13" spans="2:39" s="4" customFormat="1">
      <c r="B13" s="4" t="s">
        <v>20</v>
      </c>
      <c r="C13" s="6"/>
      <c r="D13" s="6"/>
      <c r="E13" s="6"/>
      <c r="F13" s="6"/>
      <c r="G13" s="6">
        <v>9101</v>
      </c>
      <c r="H13" s="6">
        <v>9131</v>
      </c>
      <c r="I13" s="6">
        <v>8868</v>
      </c>
      <c r="J13" s="6">
        <f>36034-I13-H13-G13</f>
        <v>8934</v>
      </c>
      <c r="K13" s="6">
        <v>8278</v>
      </c>
      <c r="L13" s="6">
        <v>8431</v>
      </c>
      <c r="M13" s="6">
        <v>8067</v>
      </c>
      <c r="N13" s="6">
        <f>33126-M13-L13-K13</f>
        <v>8350</v>
      </c>
      <c r="O13" s="6"/>
      <c r="P13" s="6"/>
      <c r="Q13" s="6"/>
      <c r="R13" s="6"/>
      <c r="T13" s="4">
        <v>40740</v>
      </c>
      <c r="U13" s="4">
        <v>39166</v>
      </c>
      <c r="V13" s="4">
        <v>37564</v>
      </c>
      <c r="W13" s="4">
        <f t="shared" si="1"/>
        <v>36034</v>
      </c>
      <c r="X13" s="4">
        <f>SUM(K13:N13)</f>
        <v>33126</v>
      </c>
    </row>
    <row r="14" spans="2:39" s="4" customFormat="1">
      <c r="B14" s="4" t="s">
        <v>21</v>
      </c>
      <c r="C14" s="6"/>
      <c r="D14" s="6"/>
      <c r="E14" s="6"/>
      <c r="F14" s="6"/>
      <c r="G14" s="6">
        <v>2229</v>
      </c>
      <c r="H14" s="6">
        <v>2643</v>
      </c>
      <c r="I14" s="6">
        <v>2398</v>
      </c>
      <c r="J14" s="6">
        <f>9312-I14-H14-G14</f>
        <v>2042</v>
      </c>
      <c r="K14" s="6">
        <v>1625</v>
      </c>
      <c r="L14" s="6">
        <v>1726</v>
      </c>
      <c r="M14" s="6">
        <v>1544</v>
      </c>
      <c r="N14" s="6">
        <f>6920-M14-L14-K14</f>
        <v>2025</v>
      </c>
      <c r="O14" s="6"/>
      <c r="P14" s="6"/>
      <c r="Q14" s="6"/>
      <c r="R14" s="6"/>
      <c r="T14" s="4">
        <v>14973</v>
      </c>
      <c r="U14" s="4">
        <v>13956</v>
      </c>
      <c r="V14" s="4">
        <v>11009</v>
      </c>
      <c r="W14" s="4">
        <f t="shared" si="1"/>
        <v>9312</v>
      </c>
      <c r="X14" s="4">
        <f>SUM(K14:N14)</f>
        <v>6920</v>
      </c>
    </row>
    <row r="15" spans="2:39" s="4" customFormat="1">
      <c r="B15" s="4" t="s">
        <v>22</v>
      </c>
      <c r="C15" s="6"/>
      <c r="D15" s="6"/>
      <c r="E15" s="6"/>
      <c r="F15" s="6"/>
      <c r="G15" s="6">
        <v>278</v>
      </c>
      <c r="H15" s="6">
        <v>230</v>
      </c>
      <c r="I15" s="6">
        <v>257</v>
      </c>
      <c r="J15" s="6">
        <f>1040-I15-H15-G15</f>
        <v>275</v>
      </c>
      <c r="K15" s="6">
        <v>235</v>
      </c>
      <c r="L15" s="6">
        <v>266</v>
      </c>
      <c r="M15" s="6">
        <v>233</v>
      </c>
      <c r="N15" s="6">
        <f>1011-M15-L15-K15</f>
        <v>277</v>
      </c>
      <c r="O15" s="6"/>
      <c r="P15" s="6"/>
      <c r="Q15" s="6"/>
      <c r="R15" s="6"/>
      <c r="T15" s="4">
        <v>1065</v>
      </c>
      <c r="U15" s="4">
        <v>1087</v>
      </c>
      <c r="V15" s="4">
        <v>1110</v>
      </c>
      <c r="W15" s="4">
        <f t="shared" si="1"/>
        <v>1040</v>
      </c>
      <c r="X15" s="4">
        <f>SUM(K15:N15)</f>
        <v>1011</v>
      </c>
    </row>
    <row r="16" spans="2:39" s="7" customFormat="1">
      <c r="B16" s="7" t="s">
        <v>23</v>
      </c>
      <c r="C16" s="10"/>
      <c r="D16" s="10"/>
      <c r="E16" s="10"/>
      <c r="F16" s="10"/>
      <c r="G16" s="10">
        <f t="shared" ref="G16:N16" si="7">SUM(G13:G15)</f>
        <v>11608</v>
      </c>
      <c r="H16" s="10">
        <f t="shared" si="7"/>
        <v>12004</v>
      </c>
      <c r="I16" s="10">
        <f t="shared" si="7"/>
        <v>11523</v>
      </c>
      <c r="J16" s="10">
        <f t="shared" si="7"/>
        <v>11251</v>
      </c>
      <c r="K16" s="10">
        <f t="shared" si="7"/>
        <v>10138</v>
      </c>
      <c r="L16" s="10">
        <f t="shared" si="7"/>
        <v>10423</v>
      </c>
      <c r="M16" s="10">
        <f t="shared" si="7"/>
        <v>9844</v>
      </c>
      <c r="N16" s="10">
        <f t="shared" si="7"/>
        <v>10652</v>
      </c>
      <c r="O16" s="10"/>
      <c r="P16" s="10"/>
      <c r="Q16" s="10"/>
      <c r="R16" s="10"/>
      <c r="T16" s="10">
        <f t="shared" ref="T16:U16" si="8">SUM(T13:T15)</f>
        <v>56778</v>
      </c>
      <c r="U16" s="10">
        <f t="shared" si="8"/>
        <v>54209</v>
      </c>
      <c r="V16" s="10">
        <f t="shared" ref="V16" si="9">SUM(V13:V15)</f>
        <v>49683</v>
      </c>
      <c r="W16" s="10">
        <f>SUM(W13:W15)</f>
        <v>46386</v>
      </c>
      <c r="X16" s="10">
        <f>SUM(X13:X15)</f>
        <v>41057</v>
      </c>
    </row>
    <row r="17" spans="2:167" s="4" customFormat="1">
      <c r="B17" s="4" t="s">
        <v>25</v>
      </c>
      <c r="C17" s="6"/>
      <c r="D17" s="6"/>
      <c r="E17" s="6"/>
      <c r="F17" s="6"/>
      <c r="G17" s="6">
        <f t="shared" ref="G17:N17" si="10">G9-G13</f>
        <v>4881</v>
      </c>
      <c r="H17" s="6">
        <f t="shared" si="10"/>
        <v>4997</v>
      </c>
      <c r="I17" s="6">
        <f t="shared" si="10"/>
        <v>5001</v>
      </c>
      <c r="J17" s="6">
        <f t="shared" si="10"/>
        <v>4760</v>
      </c>
      <c r="K17" s="6">
        <f t="shared" si="10"/>
        <v>4088</v>
      </c>
      <c r="L17" s="6">
        <f t="shared" si="10"/>
        <v>4166</v>
      </c>
      <c r="M17" s="6">
        <f t="shared" si="10"/>
        <v>4260</v>
      </c>
      <c r="N17" s="6">
        <f t="shared" si="10"/>
        <v>4271</v>
      </c>
      <c r="O17" s="6"/>
      <c r="P17" s="6"/>
      <c r="Q17" s="6"/>
      <c r="R17" s="6"/>
      <c r="T17" s="6">
        <f t="shared" ref="T17:U19" si="11">T9-T13</f>
        <v>19981</v>
      </c>
      <c r="U17" s="6">
        <f t="shared" si="11"/>
        <v>20287</v>
      </c>
      <c r="V17" s="6">
        <f t="shared" ref="V17:V20" si="12">V9-V13</f>
        <v>20091</v>
      </c>
      <c r="W17" s="6">
        <f>W9-W13</f>
        <v>19639</v>
      </c>
      <c r="X17" s="6">
        <f>X9-X13</f>
        <v>16785</v>
      </c>
    </row>
    <row r="18" spans="2:167" s="4" customFormat="1">
      <c r="B18" s="4" t="s">
        <v>26</v>
      </c>
      <c r="C18" s="6"/>
      <c r="D18" s="6"/>
      <c r="E18" s="6"/>
      <c r="F18" s="6"/>
      <c r="G18" s="6">
        <f t="shared" ref="G18:G19" si="13">G10-G14</f>
        <v>5507</v>
      </c>
      <c r="H18" s="6">
        <f t="shared" ref="H18:I19" si="14">H10-H14</f>
        <v>6767</v>
      </c>
      <c r="I18" s="6">
        <f t="shared" si="14"/>
        <v>5636</v>
      </c>
      <c r="J18" s="6">
        <f t="shared" ref="J18" si="15">J10-J14</f>
        <v>7841</v>
      </c>
      <c r="K18" s="6">
        <f t="shared" ref="K18" si="16">K10-K14</f>
        <v>5132</v>
      </c>
      <c r="L18" s="6">
        <f t="shared" ref="L18:M19" si="17">L10-L14</f>
        <v>6007</v>
      </c>
      <c r="M18" s="6">
        <f t="shared" si="17"/>
        <v>4957</v>
      </c>
      <c r="N18" s="6">
        <f t="shared" ref="N18" si="18">N10-N14</f>
        <v>6951</v>
      </c>
      <c r="O18" s="6"/>
      <c r="P18" s="6"/>
      <c r="Q18" s="6"/>
      <c r="R18" s="6"/>
      <c r="T18" s="6">
        <f t="shared" si="11"/>
        <v>29090</v>
      </c>
      <c r="U18" s="6">
        <f t="shared" si="11"/>
        <v>29058</v>
      </c>
      <c r="V18" s="6">
        <f t="shared" si="12"/>
        <v>27657</v>
      </c>
      <c r="W18" s="6">
        <f t="shared" ref="W18:W19" si="19">W10-W14</f>
        <v>25751</v>
      </c>
      <c r="X18" s="6">
        <f t="shared" ref="X18:X19" si="20">X10-X14</f>
        <v>23047</v>
      </c>
    </row>
    <row r="19" spans="2:167" s="4" customFormat="1">
      <c r="B19" s="4" t="s">
        <v>27</v>
      </c>
      <c r="C19" s="6"/>
      <c r="D19" s="6"/>
      <c r="E19" s="6"/>
      <c r="F19" s="6"/>
      <c r="G19" s="6">
        <f t="shared" si="13"/>
        <v>239</v>
      </c>
      <c r="H19" s="6">
        <f t="shared" si="14"/>
        <v>279</v>
      </c>
      <c r="I19" s="6">
        <f t="shared" si="14"/>
        <v>237</v>
      </c>
      <c r="J19" s="6">
        <f t="shared" ref="J19" si="21">J11-J15</f>
        <v>262</v>
      </c>
      <c r="K19" s="6">
        <f t="shared" ref="K19" si="22">K11-K15</f>
        <v>232</v>
      </c>
      <c r="L19" s="6">
        <f t="shared" si="17"/>
        <v>218</v>
      </c>
      <c r="M19" s="6">
        <f t="shared" si="17"/>
        <v>219</v>
      </c>
      <c r="N19" s="6">
        <f t="shared" ref="N19" si="23">N11-N15</f>
        <v>184</v>
      </c>
      <c r="O19" s="6"/>
      <c r="P19" s="6"/>
      <c r="Q19" s="6"/>
      <c r="R19" s="6"/>
      <c r="T19" s="6">
        <f t="shared" si="11"/>
        <v>1067</v>
      </c>
      <c r="U19" s="6">
        <f t="shared" si="11"/>
        <v>953</v>
      </c>
      <c r="V19" s="6">
        <f t="shared" si="12"/>
        <v>937</v>
      </c>
      <c r="W19" s="6">
        <f t="shared" si="19"/>
        <v>1017</v>
      </c>
      <c r="X19" s="6">
        <f t="shared" si="20"/>
        <v>853</v>
      </c>
    </row>
    <row r="20" spans="2:167" s="7" customFormat="1">
      <c r="B20" s="7" t="s">
        <v>28</v>
      </c>
      <c r="C20" s="10"/>
      <c r="D20" s="10"/>
      <c r="E20" s="10"/>
      <c r="F20" s="10"/>
      <c r="G20" s="10">
        <f t="shared" ref="G20:N20" si="24">G12-G16</f>
        <v>10627</v>
      </c>
      <c r="H20" s="10">
        <f t="shared" si="24"/>
        <v>12043</v>
      </c>
      <c r="I20" s="10">
        <f t="shared" si="24"/>
        <v>10874</v>
      </c>
      <c r="J20" s="10">
        <f t="shared" si="24"/>
        <v>12863</v>
      </c>
      <c r="K20" s="10">
        <f t="shared" si="24"/>
        <v>9452</v>
      </c>
      <c r="L20" s="10">
        <f t="shared" si="24"/>
        <v>10391</v>
      </c>
      <c r="M20" s="10">
        <f t="shared" si="24"/>
        <v>9436</v>
      </c>
      <c r="N20" s="10">
        <f t="shared" si="24"/>
        <v>11406</v>
      </c>
      <c r="O20" s="10"/>
      <c r="P20" s="10"/>
      <c r="Q20" s="10"/>
      <c r="R20" s="10"/>
      <c r="V20" s="10">
        <f t="shared" si="12"/>
        <v>48685</v>
      </c>
      <c r="W20" s="10">
        <f>W12-W16</f>
        <v>46407</v>
      </c>
      <c r="X20" s="10">
        <f>X12-X16</f>
        <v>40685</v>
      </c>
      <c r="Y20" s="7">
        <f>Y12*0.5</f>
        <v>40462.29</v>
      </c>
      <c r="Z20" s="7">
        <f t="shared" ref="Z20:AM20" si="25">Z12*0.5</f>
        <v>40057.667099999999</v>
      </c>
      <c r="AA20" s="7">
        <f t="shared" si="25"/>
        <v>39657.090428999996</v>
      </c>
      <c r="AB20" s="7">
        <f t="shared" si="25"/>
        <v>39260.519524709998</v>
      </c>
      <c r="AC20" s="7">
        <f t="shared" si="25"/>
        <v>38867.914329462896</v>
      </c>
      <c r="AD20" s="7">
        <f t="shared" si="25"/>
        <v>38479.235186168269</v>
      </c>
      <c r="AE20" s="7">
        <f t="shared" si="25"/>
        <v>38094.442834306588</v>
      </c>
      <c r="AF20" s="7">
        <f t="shared" si="25"/>
        <v>37713.498405963524</v>
      </c>
      <c r="AG20" s="7">
        <f t="shared" si="25"/>
        <v>37336.363421903887</v>
      </c>
      <c r="AH20" s="7">
        <f t="shared" si="25"/>
        <v>36962.99978768485</v>
      </c>
      <c r="AI20" s="7">
        <f t="shared" si="25"/>
        <v>36593.369789807999</v>
      </c>
      <c r="AJ20" s="7">
        <f t="shared" si="25"/>
        <v>36227.43609190992</v>
      </c>
      <c r="AK20" s="7">
        <f t="shared" si="25"/>
        <v>35865.161730990818</v>
      </c>
      <c r="AL20" s="7">
        <f t="shared" si="25"/>
        <v>35506.51011368091</v>
      </c>
      <c r="AM20" s="7">
        <f t="shared" si="25"/>
        <v>35151.4450125441</v>
      </c>
    </row>
    <row r="21" spans="2:167" s="4" customFormat="1">
      <c r="B21" s="4" t="s">
        <v>29</v>
      </c>
      <c r="C21" s="6"/>
      <c r="D21" s="6"/>
      <c r="E21" s="6"/>
      <c r="F21" s="6"/>
      <c r="G21" s="6">
        <v>6272</v>
      </c>
      <c r="H21" s="6">
        <v>5593</v>
      </c>
      <c r="I21" s="6">
        <v>5281</v>
      </c>
      <c r="J21" s="6">
        <f>23180-I21-H21-G21</f>
        <v>6034</v>
      </c>
      <c r="K21" s="6">
        <v>5362</v>
      </c>
      <c r="L21" s="6">
        <v>5179</v>
      </c>
      <c r="M21" s="6">
        <v>4731</v>
      </c>
      <c r="N21" s="6">
        <f>20430-M21-L21-K21</f>
        <v>5158</v>
      </c>
      <c r="O21" s="6"/>
      <c r="P21" s="6"/>
      <c r="Q21" s="6"/>
      <c r="R21" s="6"/>
      <c r="V21" s="4">
        <v>23451</v>
      </c>
      <c r="W21" s="4">
        <f>SUM(G21:J21)</f>
        <v>23180</v>
      </c>
      <c r="X21" s="4">
        <f>SUM(K21:N21)</f>
        <v>20430</v>
      </c>
      <c r="Y21" s="4">
        <f>X21*0.99</f>
        <v>20225.7</v>
      </c>
      <c r="Z21" s="4">
        <f t="shared" ref="Z21:AM21" si="26">Y21*0.99</f>
        <v>20023.442999999999</v>
      </c>
      <c r="AA21" s="4">
        <f t="shared" si="26"/>
        <v>19823.208569999999</v>
      </c>
      <c r="AB21" s="4">
        <f t="shared" si="26"/>
        <v>19624.976484299998</v>
      </c>
      <c r="AC21" s="4">
        <f t="shared" si="26"/>
        <v>19428.726719456998</v>
      </c>
      <c r="AD21" s="4">
        <f t="shared" si="26"/>
        <v>19234.439452262428</v>
      </c>
      <c r="AE21" s="4">
        <f t="shared" si="26"/>
        <v>19042.095057739803</v>
      </c>
      <c r="AF21" s="4">
        <f t="shared" si="26"/>
        <v>18851.674107162406</v>
      </c>
      <c r="AG21" s="4">
        <f t="shared" si="26"/>
        <v>18663.157366090782</v>
      </c>
      <c r="AH21" s="4">
        <f t="shared" si="26"/>
        <v>18476.525792429875</v>
      </c>
      <c r="AI21" s="4">
        <f t="shared" si="26"/>
        <v>18291.760534505574</v>
      </c>
      <c r="AJ21" s="4">
        <f t="shared" si="26"/>
        <v>18108.842929160517</v>
      </c>
      <c r="AK21" s="4">
        <f t="shared" si="26"/>
        <v>17927.754499868912</v>
      </c>
      <c r="AL21" s="4">
        <f t="shared" si="26"/>
        <v>17748.476954870224</v>
      </c>
      <c r="AM21" s="4">
        <f t="shared" si="26"/>
        <v>17570.99218532152</v>
      </c>
    </row>
    <row r="22" spans="2:167" s="4" customFormat="1">
      <c r="B22" s="4" t="s">
        <v>30</v>
      </c>
      <c r="C22" s="6"/>
      <c r="D22" s="6"/>
      <c r="E22" s="6"/>
      <c r="F22" s="6"/>
      <c r="G22" s="6">
        <v>1402</v>
      </c>
      <c r="H22" s="6">
        <v>1361</v>
      </c>
      <c r="I22" s="6">
        <v>1354</v>
      </c>
      <c r="J22" s="6">
        <f>5437-I22-H22-G22</f>
        <v>1320</v>
      </c>
      <c r="K22" s="6">
        <v>1298</v>
      </c>
      <c r="L22" s="6">
        <v>1300</v>
      </c>
      <c r="M22" s="6">
        <v>1287</v>
      </c>
      <c r="N22" s="6">
        <f>5247-M22-L22-K22</f>
        <v>1362</v>
      </c>
      <c r="O22" s="6"/>
      <c r="P22" s="6"/>
      <c r="Q22" s="6"/>
      <c r="R22" s="6"/>
      <c r="V22" s="4">
        <v>5743</v>
      </c>
      <c r="W22" s="4">
        <f>SUM(G22:J22)</f>
        <v>5437</v>
      </c>
      <c r="X22" s="4">
        <f>SUM(K22:N22)</f>
        <v>5247</v>
      </c>
      <c r="Y22" s="4">
        <f t="shared" ref="Y22:AM22" si="27">X22*0.99</f>
        <v>5194.53</v>
      </c>
      <c r="Z22" s="4">
        <f t="shared" si="27"/>
        <v>5142.5846999999994</v>
      </c>
      <c r="AA22" s="4">
        <f t="shared" si="27"/>
        <v>5091.158852999999</v>
      </c>
      <c r="AB22" s="4">
        <f t="shared" si="27"/>
        <v>5040.2472644699992</v>
      </c>
      <c r="AC22" s="4">
        <f t="shared" si="27"/>
        <v>4989.8447918252996</v>
      </c>
      <c r="AD22" s="4">
        <f t="shared" si="27"/>
        <v>4939.9463439070469</v>
      </c>
      <c r="AE22" s="4">
        <f t="shared" si="27"/>
        <v>4890.5468804679767</v>
      </c>
      <c r="AF22" s="4">
        <f t="shared" si="27"/>
        <v>4841.6414116632968</v>
      </c>
      <c r="AG22" s="4">
        <f t="shared" si="27"/>
        <v>4793.2249975466639</v>
      </c>
      <c r="AH22" s="4">
        <f t="shared" si="27"/>
        <v>4745.2927475711967</v>
      </c>
      <c r="AI22" s="4">
        <f t="shared" si="27"/>
        <v>4697.8398200954844</v>
      </c>
      <c r="AJ22" s="4">
        <f t="shared" si="27"/>
        <v>4650.8614218945295</v>
      </c>
      <c r="AK22" s="4">
        <f t="shared" si="27"/>
        <v>4604.3528076755838</v>
      </c>
      <c r="AL22" s="4">
        <f t="shared" si="27"/>
        <v>4558.3092795988277</v>
      </c>
      <c r="AM22" s="4">
        <f t="shared" si="27"/>
        <v>4512.726186802839</v>
      </c>
    </row>
    <row r="23" spans="2:167" s="9" customFormat="1">
      <c r="B23" s="7" t="s">
        <v>31</v>
      </c>
      <c r="C23" s="10"/>
      <c r="D23" s="10"/>
      <c r="E23" s="10"/>
      <c r="F23" s="10"/>
      <c r="G23" s="10">
        <f t="shared" ref="G23:N23" si="28">G22+G21</f>
        <v>7674</v>
      </c>
      <c r="H23" s="10">
        <f t="shared" si="28"/>
        <v>6954</v>
      </c>
      <c r="I23" s="10">
        <f t="shared" si="28"/>
        <v>6635</v>
      </c>
      <c r="J23" s="10">
        <f t="shared" si="28"/>
        <v>7354</v>
      </c>
      <c r="K23" s="10">
        <f t="shared" si="28"/>
        <v>6660</v>
      </c>
      <c r="L23" s="10">
        <f t="shared" si="28"/>
        <v>6479</v>
      </c>
      <c r="M23" s="10">
        <f t="shared" si="28"/>
        <v>6018</v>
      </c>
      <c r="N23" s="10">
        <f t="shared" si="28"/>
        <v>6520</v>
      </c>
      <c r="O23" s="8"/>
      <c r="P23" s="8"/>
      <c r="Q23" s="8"/>
      <c r="R23" s="8"/>
      <c r="V23" s="10">
        <f t="shared" ref="V23" si="29">V22+V21</f>
        <v>29194</v>
      </c>
      <c r="W23" s="10">
        <f>W22+W21</f>
        <v>28617</v>
      </c>
      <c r="X23" s="10">
        <f>X22+X21</f>
        <v>25677</v>
      </c>
      <c r="Y23" s="10">
        <f t="shared" ref="Y23:AM23" si="30">Y22+Y21</f>
        <v>25420.23</v>
      </c>
      <c r="Z23" s="10">
        <f t="shared" si="30"/>
        <v>25166.027699999999</v>
      </c>
      <c r="AA23" s="10">
        <f t="shared" si="30"/>
        <v>24914.367422999996</v>
      </c>
      <c r="AB23" s="10">
        <f t="shared" si="30"/>
        <v>24665.223748769997</v>
      </c>
      <c r="AC23" s="10">
        <f t="shared" si="30"/>
        <v>24418.571511282298</v>
      </c>
      <c r="AD23" s="10">
        <f t="shared" si="30"/>
        <v>24174.385796169474</v>
      </c>
      <c r="AE23" s="10">
        <f t="shared" si="30"/>
        <v>23932.64193820778</v>
      </c>
      <c r="AF23" s="10">
        <f t="shared" si="30"/>
        <v>23693.315518825701</v>
      </c>
      <c r="AG23" s="10">
        <f t="shared" si="30"/>
        <v>23456.382363637444</v>
      </c>
      <c r="AH23" s="10">
        <f t="shared" si="30"/>
        <v>23221.81854000107</v>
      </c>
      <c r="AI23" s="10">
        <f t="shared" si="30"/>
        <v>22989.600354601058</v>
      </c>
      <c r="AJ23" s="10">
        <f t="shared" si="30"/>
        <v>22759.704351055047</v>
      </c>
      <c r="AK23" s="10">
        <f t="shared" si="30"/>
        <v>22532.107307544495</v>
      </c>
      <c r="AL23" s="10">
        <f t="shared" si="30"/>
        <v>22306.786234469051</v>
      </c>
      <c r="AM23" s="10">
        <f t="shared" si="30"/>
        <v>22083.71837212436</v>
      </c>
    </row>
    <row r="24" spans="2:167" s="9" customFormat="1">
      <c r="B24" s="7" t="s">
        <v>32</v>
      </c>
      <c r="C24" s="10"/>
      <c r="D24" s="10"/>
      <c r="E24" s="10"/>
      <c r="F24" s="10"/>
      <c r="G24" s="10">
        <f t="shared" ref="G24:N24" si="31">G20-G23</f>
        <v>2953</v>
      </c>
      <c r="H24" s="10">
        <f t="shared" si="31"/>
        <v>5089</v>
      </c>
      <c r="I24" s="10">
        <f t="shared" si="31"/>
        <v>4239</v>
      </c>
      <c r="J24" s="10">
        <f t="shared" si="31"/>
        <v>5509</v>
      </c>
      <c r="K24" s="10">
        <f t="shared" si="31"/>
        <v>2792</v>
      </c>
      <c r="L24" s="10">
        <f t="shared" si="31"/>
        <v>3912</v>
      </c>
      <c r="M24" s="10">
        <f t="shared" si="31"/>
        <v>3418</v>
      </c>
      <c r="N24" s="10">
        <f t="shared" si="31"/>
        <v>4886</v>
      </c>
      <c r="O24" s="8"/>
      <c r="P24" s="8"/>
      <c r="Q24" s="8"/>
      <c r="R24" s="8"/>
      <c r="V24" s="10">
        <f t="shared" ref="V24" si="32">V20-V23</f>
        <v>19491</v>
      </c>
      <c r="W24" s="10">
        <f>W20-W23</f>
        <v>17790</v>
      </c>
      <c r="X24" s="10">
        <f>X20-X23</f>
        <v>15008</v>
      </c>
      <c r="Y24" s="10">
        <f t="shared" ref="Y24:AM24" si="33">Y20-Y23</f>
        <v>15042.060000000001</v>
      </c>
      <c r="Z24" s="10">
        <f t="shared" si="33"/>
        <v>14891.6394</v>
      </c>
      <c r="AA24" s="10">
        <f t="shared" si="33"/>
        <v>14742.723006</v>
      </c>
      <c r="AB24" s="10">
        <f t="shared" si="33"/>
        <v>14595.295775940001</v>
      </c>
      <c r="AC24" s="10">
        <f t="shared" si="33"/>
        <v>14449.342818180598</v>
      </c>
      <c r="AD24" s="10">
        <f t="shared" si="33"/>
        <v>14304.849389998795</v>
      </c>
      <c r="AE24" s="10">
        <f t="shared" si="33"/>
        <v>14161.800896098808</v>
      </c>
      <c r="AF24" s="10">
        <f t="shared" si="33"/>
        <v>14020.182887137824</v>
      </c>
      <c r="AG24" s="10">
        <f t="shared" si="33"/>
        <v>13879.981058266443</v>
      </c>
      <c r="AH24" s="10">
        <f t="shared" si="33"/>
        <v>13741.18124768378</v>
      </c>
      <c r="AI24" s="10">
        <f t="shared" si="33"/>
        <v>13603.769435206941</v>
      </c>
      <c r="AJ24" s="10">
        <f t="shared" si="33"/>
        <v>13467.731740854873</v>
      </c>
      <c r="AK24" s="10">
        <f t="shared" si="33"/>
        <v>13333.054423446323</v>
      </c>
      <c r="AL24" s="10">
        <f t="shared" si="33"/>
        <v>13199.723879211859</v>
      </c>
      <c r="AM24" s="10">
        <f t="shared" si="33"/>
        <v>13067.72664041974</v>
      </c>
    </row>
    <row r="25" spans="2:167" s="12" customFormat="1">
      <c r="B25" s="12" t="s">
        <v>33</v>
      </c>
      <c r="C25" s="15"/>
      <c r="D25" s="15"/>
      <c r="E25" s="15"/>
      <c r="F25" s="15"/>
      <c r="G25" s="15">
        <f>207+127-105</f>
        <v>229</v>
      </c>
      <c r="H25" s="15">
        <f>191+202-136</f>
        <v>257</v>
      </c>
      <c r="I25" s="15">
        <f>145+103-126</f>
        <v>122</v>
      </c>
      <c r="J25" s="15">
        <f>742+1938-484-I25-H25-G25</f>
        <v>1588</v>
      </c>
      <c r="K25" s="15">
        <f>173+143-108</f>
        <v>208</v>
      </c>
      <c r="L25" s="15">
        <f>128+301-115</f>
        <v>314</v>
      </c>
      <c r="M25" s="15">
        <f>188+133-117</f>
        <v>204</v>
      </c>
      <c r="N25" s="15">
        <f>682+724-468-M25-L25-K25</f>
        <v>212</v>
      </c>
      <c r="O25" s="15"/>
      <c r="P25" s="15"/>
      <c r="Q25" s="15"/>
      <c r="R25" s="15"/>
      <c r="V25" s="12">
        <f>822+333-402</f>
        <v>753</v>
      </c>
      <c r="W25" s="12">
        <f>SUM(G25:J25)</f>
        <v>2196</v>
      </c>
      <c r="X25" s="12">
        <f>SUM(K25:N25)</f>
        <v>938</v>
      </c>
      <c r="Y25" s="26">
        <f>1500+(X49*$AP$31)</f>
        <v>866.1</v>
      </c>
      <c r="Z25" s="26">
        <f>1500+(Y49*$AP$31)</f>
        <v>1120.6305600000001</v>
      </c>
      <c r="AA25" s="26">
        <f t="shared" ref="Z25:AM25" si="34">1500+(Z49*$AP$31)</f>
        <v>1376.82687936</v>
      </c>
      <c r="AB25" s="26">
        <f t="shared" si="34"/>
        <v>1634.73967752576</v>
      </c>
      <c r="AC25" s="26">
        <f t="shared" si="34"/>
        <v>1894.4202447812122</v>
      </c>
      <c r="AD25" s="26">
        <f t="shared" si="34"/>
        <v>2155.9204537886012</v>
      </c>
      <c r="AE25" s="26">
        <f t="shared" si="34"/>
        <v>2419.2927712891997</v>
      </c>
      <c r="AF25" s="26">
        <f t="shared" si="34"/>
        <v>2684.5902699674075</v>
      </c>
      <c r="AG25" s="26">
        <f t="shared" si="34"/>
        <v>2951.8666404810911</v>
      </c>
      <c r="AH25" s="26">
        <f t="shared" si="34"/>
        <v>3221.1762036610517</v>
      </c>
      <c r="AI25" s="26">
        <f t="shared" si="34"/>
        <v>3492.5739228825691</v>
      </c>
      <c r="AJ25" s="26">
        <f t="shared" si="34"/>
        <v>3766.1154166120014</v>
      </c>
      <c r="AK25" s="26">
        <f t="shared" si="34"/>
        <v>4041.8569711314713</v>
      </c>
      <c r="AL25" s="26">
        <f t="shared" si="34"/>
        <v>4319.855553444716</v>
      </c>
      <c r="AM25" s="26">
        <f t="shared" si="34"/>
        <v>4600.1688243672215</v>
      </c>
    </row>
    <row r="26" spans="2:167" s="9" customFormat="1">
      <c r="B26" s="7" t="s">
        <v>34</v>
      </c>
      <c r="C26" s="10"/>
      <c r="D26" s="10"/>
      <c r="E26" s="10"/>
      <c r="F26" s="10"/>
      <c r="G26" s="10">
        <f t="shared" ref="G26:N26" si="35">G25+G24</f>
        <v>3182</v>
      </c>
      <c r="H26" s="10">
        <f t="shared" si="35"/>
        <v>5346</v>
      </c>
      <c r="I26" s="10">
        <f t="shared" si="35"/>
        <v>4361</v>
      </c>
      <c r="J26" s="10">
        <f t="shared" si="35"/>
        <v>7097</v>
      </c>
      <c r="K26" s="10">
        <f t="shared" si="35"/>
        <v>3000</v>
      </c>
      <c r="L26" s="10">
        <f t="shared" si="35"/>
        <v>4226</v>
      </c>
      <c r="M26" s="10">
        <f t="shared" si="35"/>
        <v>3622</v>
      </c>
      <c r="N26" s="10">
        <f t="shared" si="35"/>
        <v>5098</v>
      </c>
      <c r="O26" s="8"/>
      <c r="P26" s="8"/>
      <c r="Q26" s="8"/>
      <c r="R26" s="8"/>
      <c r="V26" s="10">
        <f t="shared" ref="V26" si="36">V25+V24</f>
        <v>20244</v>
      </c>
      <c r="W26" s="10">
        <f>W25+W24</f>
        <v>19986</v>
      </c>
      <c r="X26" s="10">
        <f>X25+X24</f>
        <v>15946</v>
      </c>
      <c r="Y26" s="10">
        <f t="shared" ref="Y26:AM26" si="37">Y25+Y24</f>
        <v>15908.160000000002</v>
      </c>
      <c r="Z26" s="10">
        <f t="shared" si="37"/>
        <v>16012.26996</v>
      </c>
      <c r="AA26" s="10">
        <f t="shared" si="37"/>
        <v>16119.54988536</v>
      </c>
      <c r="AB26" s="10">
        <f t="shared" si="37"/>
        <v>16230.035453465762</v>
      </c>
      <c r="AC26" s="10">
        <f t="shared" si="37"/>
        <v>16343.763062961811</v>
      </c>
      <c r="AD26" s="10">
        <f t="shared" si="37"/>
        <v>16460.769843787395</v>
      </c>
      <c r="AE26" s="10">
        <f t="shared" si="37"/>
        <v>16581.093667388006</v>
      </c>
      <c r="AF26" s="10">
        <f t="shared" si="37"/>
        <v>16704.773157105232</v>
      </c>
      <c r="AG26" s="10">
        <f t="shared" si="37"/>
        <v>16831.847698747533</v>
      </c>
      <c r="AH26" s="10">
        <f>AH25+AH24</f>
        <v>16962.357451344833</v>
      </c>
      <c r="AI26" s="10">
        <f t="shared" si="37"/>
        <v>17096.343358089511</v>
      </c>
      <c r="AJ26" s="10">
        <f t="shared" si="37"/>
        <v>17233.847157466873</v>
      </c>
      <c r="AK26" s="10">
        <f t="shared" si="37"/>
        <v>17374.911394577794</v>
      </c>
      <c r="AL26" s="10">
        <f t="shared" si="37"/>
        <v>17519.579432656574</v>
      </c>
      <c r="AM26" s="10">
        <f t="shared" si="37"/>
        <v>17667.895464786961</v>
      </c>
    </row>
    <row r="27" spans="2:167" s="2" customFormat="1">
      <c r="B27" s="2" t="s">
        <v>35</v>
      </c>
      <c r="C27" s="3"/>
      <c r="D27" s="3"/>
      <c r="E27" s="3"/>
      <c r="F27" s="3"/>
      <c r="G27" s="3">
        <v>653</v>
      </c>
      <c r="H27" s="3">
        <v>1096</v>
      </c>
      <c r="I27" s="3">
        <v>906</v>
      </c>
      <c r="J27" s="3">
        <f>4234-I27-H27-G27</f>
        <v>1579</v>
      </c>
      <c r="K27" s="3">
        <v>585</v>
      </c>
      <c r="L27" s="3">
        <v>698</v>
      </c>
      <c r="M27" s="3">
        <v>659</v>
      </c>
      <c r="N27" s="3">
        <f>2581-M27-L27-K27</f>
        <v>639</v>
      </c>
      <c r="O27" s="3"/>
      <c r="P27" s="3"/>
      <c r="Q27" s="3"/>
      <c r="R27" s="3"/>
      <c r="V27" s="2">
        <v>3363</v>
      </c>
      <c r="W27" s="2">
        <f>SUM(G27:J27)</f>
        <v>4234</v>
      </c>
      <c r="X27" s="2">
        <f>SUM(K27:N27)</f>
        <v>2581</v>
      </c>
      <c r="Y27" s="2">
        <f>Y26*0.2</f>
        <v>3181.6320000000005</v>
      </c>
      <c r="Z27" s="2">
        <f t="shared" ref="Z27:AM27" si="38">Z26*0.2</f>
        <v>3202.4539920000002</v>
      </c>
      <c r="AA27" s="2">
        <f t="shared" si="38"/>
        <v>3223.9099770720004</v>
      </c>
      <c r="AB27" s="2">
        <f t="shared" si="38"/>
        <v>3246.0070906931523</v>
      </c>
      <c r="AC27" s="2">
        <f t="shared" si="38"/>
        <v>3268.7526125923623</v>
      </c>
      <c r="AD27" s="2">
        <f t="shared" si="38"/>
        <v>3292.1539687574791</v>
      </c>
      <c r="AE27" s="2">
        <f t="shared" si="38"/>
        <v>3316.2187334776013</v>
      </c>
      <c r="AF27" s="2">
        <f t="shared" si="38"/>
        <v>3340.9546314210465</v>
      </c>
      <c r="AG27" s="2">
        <f t="shared" si="38"/>
        <v>3366.3695397495067</v>
      </c>
      <c r="AH27" s="2">
        <f t="shared" si="38"/>
        <v>3392.4714902689666</v>
      </c>
      <c r="AI27" s="2">
        <f t="shared" si="38"/>
        <v>3419.2686716179023</v>
      </c>
      <c r="AJ27" s="2">
        <f t="shared" si="38"/>
        <v>3446.7694314933747</v>
      </c>
      <c r="AK27" s="2">
        <f t="shared" si="38"/>
        <v>3474.9822789155587</v>
      </c>
      <c r="AL27" s="2">
        <f t="shared" si="38"/>
        <v>3503.9158865313148</v>
      </c>
      <c r="AM27" s="2">
        <f t="shared" si="38"/>
        <v>3533.5790929573923</v>
      </c>
    </row>
    <row r="28" spans="2:167" s="9" customFormat="1">
      <c r="B28" s="7" t="s">
        <v>36</v>
      </c>
      <c r="C28" s="10"/>
      <c r="D28" s="10"/>
      <c r="E28" s="10"/>
      <c r="F28" s="10"/>
      <c r="G28" s="10">
        <f t="shared" ref="G28:N28" si="39">G26-G27</f>
        <v>2529</v>
      </c>
      <c r="H28" s="10">
        <f t="shared" si="39"/>
        <v>4250</v>
      </c>
      <c r="I28" s="10">
        <f t="shared" si="39"/>
        <v>3455</v>
      </c>
      <c r="J28" s="10">
        <f t="shared" si="39"/>
        <v>5518</v>
      </c>
      <c r="K28" s="10">
        <f t="shared" si="39"/>
        <v>2415</v>
      </c>
      <c r="L28" s="10">
        <f t="shared" si="39"/>
        <v>3528</v>
      </c>
      <c r="M28" s="10">
        <f t="shared" si="39"/>
        <v>2963</v>
      </c>
      <c r="N28" s="10">
        <f t="shared" si="39"/>
        <v>4459</v>
      </c>
      <c r="O28" s="8"/>
      <c r="P28" s="8"/>
      <c r="Q28" s="8"/>
      <c r="R28" s="8"/>
      <c r="V28" s="10">
        <f t="shared" ref="V28" si="40">V26-V27</f>
        <v>16881</v>
      </c>
      <c r="W28" s="10">
        <f>W26-W27</f>
        <v>15752</v>
      </c>
      <c r="X28" s="10">
        <f>X26-X27</f>
        <v>13365</v>
      </c>
      <c r="Y28" s="10">
        <f t="shared" ref="Y28:AM28" si="41">Y26-Y27</f>
        <v>12726.528000000002</v>
      </c>
      <c r="Z28" s="10">
        <f t="shared" si="41"/>
        <v>12809.815967999999</v>
      </c>
      <c r="AA28" s="10">
        <f t="shared" si="41"/>
        <v>12895.639908288</v>
      </c>
      <c r="AB28" s="10">
        <f t="shared" si="41"/>
        <v>12984.028362772609</v>
      </c>
      <c r="AC28" s="10">
        <f t="shared" si="41"/>
        <v>13075.010450369449</v>
      </c>
      <c r="AD28" s="10">
        <f t="shared" si="41"/>
        <v>13168.615875029916</v>
      </c>
      <c r="AE28" s="10">
        <f t="shared" si="41"/>
        <v>13264.874933910405</v>
      </c>
      <c r="AF28" s="10">
        <f t="shared" si="41"/>
        <v>13363.818525684186</v>
      </c>
      <c r="AG28" s="10">
        <f t="shared" si="41"/>
        <v>13465.478158998027</v>
      </c>
      <c r="AH28" s="10">
        <f t="shared" si="41"/>
        <v>13569.885961075866</v>
      </c>
      <c r="AI28" s="10">
        <f t="shared" si="41"/>
        <v>13677.074686471609</v>
      </c>
      <c r="AJ28" s="10">
        <f t="shared" si="41"/>
        <v>13787.077725973499</v>
      </c>
      <c r="AK28" s="10">
        <f t="shared" si="41"/>
        <v>13899.929115662235</v>
      </c>
      <c r="AL28" s="10">
        <f t="shared" si="41"/>
        <v>14015.663546125259</v>
      </c>
      <c r="AM28" s="10">
        <f t="shared" si="41"/>
        <v>14134.316371829569</v>
      </c>
      <c r="AN28" s="9">
        <f>AM28*(1+$AP$32)</f>
        <v>13992.973208111272</v>
      </c>
      <c r="AO28" s="9">
        <f t="shared" ref="AO28:DA28" si="42">AN28*(1+$AP$32)</f>
        <v>13853.04347603016</v>
      </c>
      <c r="AP28" s="9">
        <f t="shared" si="42"/>
        <v>13714.513041269858</v>
      </c>
      <c r="AQ28" s="9">
        <f t="shared" si="42"/>
        <v>13577.36791085716</v>
      </c>
      <c r="AR28" s="9">
        <f t="shared" si="42"/>
        <v>13441.594231748588</v>
      </c>
      <c r="AS28" s="9">
        <f t="shared" si="42"/>
        <v>13307.178289431102</v>
      </c>
      <c r="AT28" s="9">
        <f t="shared" si="42"/>
        <v>13174.106506536791</v>
      </c>
      <c r="AU28" s="9">
        <f t="shared" si="42"/>
        <v>13042.365441471424</v>
      </c>
      <c r="AV28" s="9">
        <f t="shared" si="42"/>
        <v>12911.941787056709</v>
      </c>
      <c r="AW28" s="9">
        <f t="shared" si="42"/>
        <v>12782.822369186142</v>
      </c>
      <c r="AX28" s="9">
        <f t="shared" si="42"/>
        <v>12654.99414549428</v>
      </c>
      <c r="AY28" s="9">
        <f t="shared" si="42"/>
        <v>12528.444204039337</v>
      </c>
      <c r="AZ28" s="9">
        <f t="shared" si="42"/>
        <v>12403.159761998944</v>
      </c>
      <c r="BA28" s="9">
        <f t="shared" si="42"/>
        <v>12279.128164378955</v>
      </c>
      <c r="BB28" s="9">
        <f t="shared" si="42"/>
        <v>12156.336882735166</v>
      </c>
      <c r="BC28" s="9">
        <f t="shared" si="42"/>
        <v>12034.773513907814</v>
      </c>
      <c r="BD28" s="9">
        <f t="shared" si="42"/>
        <v>11914.425778768737</v>
      </c>
      <c r="BE28" s="9">
        <f t="shared" si="42"/>
        <v>11795.281520981049</v>
      </c>
      <c r="BF28" s="9">
        <f t="shared" si="42"/>
        <v>11677.328705771239</v>
      </c>
      <c r="BG28" s="9">
        <f t="shared" si="42"/>
        <v>11560.555418713526</v>
      </c>
      <c r="BH28" s="9">
        <f t="shared" si="42"/>
        <v>11444.94986452639</v>
      </c>
      <c r="BI28" s="9">
        <f t="shared" si="42"/>
        <v>11330.500365881126</v>
      </c>
      <c r="BJ28" s="9">
        <f t="shared" si="42"/>
        <v>11217.195362222314</v>
      </c>
      <c r="BK28" s="9">
        <f t="shared" si="42"/>
        <v>11105.023408600091</v>
      </c>
      <c r="BL28" s="9">
        <f t="shared" si="42"/>
        <v>10993.973174514091</v>
      </c>
      <c r="BM28" s="9">
        <f t="shared" si="42"/>
        <v>10884.03344276895</v>
      </c>
      <c r="BN28" s="9">
        <f t="shared" si="42"/>
        <v>10775.19310834126</v>
      </c>
      <c r="BO28" s="9">
        <f t="shared" si="42"/>
        <v>10667.441177257848</v>
      </c>
      <c r="BP28" s="9">
        <f t="shared" si="42"/>
        <v>10560.766765485268</v>
      </c>
      <c r="BQ28" s="9">
        <f t="shared" si="42"/>
        <v>10455.159097830416</v>
      </c>
      <c r="BR28" s="9">
        <f t="shared" si="42"/>
        <v>10350.607506852111</v>
      </c>
      <c r="BS28" s="9">
        <f t="shared" si="42"/>
        <v>10247.101431783591</v>
      </c>
      <c r="BT28" s="9">
        <f t="shared" si="42"/>
        <v>10144.630417465754</v>
      </c>
      <c r="BU28" s="9">
        <f t="shared" si="42"/>
        <v>10043.184113291096</v>
      </c>
      <c r="BV28" s="9">
        <f t="shared" si="42"/>
        <v>9942.7522721581845</v>
      </c>
      <c r="BW28" s="9">
        <f t="shared" si="42"/>
        <v>9843.3247494366024</v>
      </c>
      <c r="BX28" s="9">
        <f t="shared" si="42"/>
        <v>9744.8915019422366</v>
      </c>
      <c r="BY28" s="9">
        <f t="shared" si="42"/>
        <v>9647.4425869228144</v>
      </c>
      <c r="BZ28" s="9">
        <f t="shared" si="42"/>
        <v>9550.9681610535863</v>
      </c>
      <c r="CA28" s="9">
        <f t="shared" si="42"/>
        <v>9455.4584794430502</v>
      </c>
      <c r="CB28" s="9">
        <f t="shared" si="42"/>
        <v>9360.9038946486198</v>
      </c>
      <c r="CC28" s="9">
        <f t="shared" si="42"/>
        <v>9267.2948557021336</v>
      </c>
      <c r="CD28" s="9">
        <f t="shared" si="42"/>
        <v>9174.6219071451123</v>
      </c>
      <c r="CE28" s="9">
        <f t="shared" si="42"/>
        <v>9082.8756880736619</v>
      </c>
      <c r="CF28" s="9">
        <f t="shared" si="42"/>
        <v>8992.0469311929246</v>
      </c>
      <c r="CG28" s="9">
        <f t="shared" si="42"/>
        <v>8902.1264618809946</v>
      </c>
      <c r="CH28" s="9">
        <f t="shared" si="42"/>
        <v>8813.1051972621844</v>
      </c>
      <c r="CI28" s="9">
        <f t="shared" si="42"/>
        <v>8724.9741452895632</v>
      </c>
      <c r="CJ28" s="9">
        <f t="shared" si="42"/>
        <v>8637.724403836668</v>
      </c>
      <c r="CK28" s="9">
        <f t="shared" si="42"/>
        <v>8551.3471597983007</v>
      </c>
      <c r="CL28" s="9">
        <f t="shared" si="42"/>
        <v>8465.8336882003168</v>
      </c>
      <c r="CM28" s="9">
        <f t="shared" si="42"/>
        <v>8381.1753513183139</v>
      </c>
      <c r="CN28" s="9">
        <f t="shared" si="42"/>
        <v>8297.3635978051316</v>
      </c>
      <c r="CO28" s="9">
        <f t="shared" si="42"/>
        <v>8214.3899618270807</v>
      </c>
      <c r="CP28" s="9">
        <f t="shared" si="42"/>
        <v>8132.2460622088101</v>
      </c>
      <c r="CQ28" s="9">
        <f t="shared" si="42"/>
        <v>8050.9236015867218</v>
      </c>
      <c r="CR28" s="9">
        <f t="shared" si="42"/>
        <v>7970.4143655708549</v>
      </c>
      <c r="CS28" s="9">
        <f t="shared" si="42"/>
        <v>7890.7102219151466</v>
      </c>
      <c r="CT28" s="9">
        <f t="shared" si="42"/>
        <v>7811.8031196959946</v>
      </c>
      <c r="CU28" s="9">
        <f t="shared" si="42"/>
        <v>7733.6850884990345</v>
      </c>
      <c r="CV28" s="9">
        <f t="shared" si="42"/>
        <v>7656.3482376140437</v>
      </c>
      <c r="CW28" s="9">
        <f t="shared" si="42"/>
        <v>7579.7847552379035</v>
      </c>
      <c r="CX28" s="9">
        <f t="shared" si="42"/>
        <v>7503.9869076855248</v>
      </c>
      <c r="CY28" s="9">
        <f t="shared" si="42"/>
        <v>7428.9470386086696</v>
      </c>
      <c r="CZ28" s="9">
        <f>CY28*(1+$AP$32)</f>
        <v>7354.657568222583</v>
      </c>
      <c r="DA28" s="9">
        <f t="shared" si="42"/>
        <v>7281.1109925403571</v>
      </c>
      <c r="DB28" s="9">
        <f t="shared" ref="DB28:FK28" si="43">DA28*(1+$AP$32)</f>
        <v>7208.2998826149533</v>
      </c>
      <c r="DC28" s="9">
        <f t="shared" si="43"/>
        <v>7136.2168837888039</v>
      </c>
      <c r="DD28" s="9">
        <f t="shared" si="43"/>
        <v>7064.8547149509159</v>
      </c>
      <c r="DE28" s="9">
        <f t="shared" si="43"/>
        <v>6994.206167801407</v>
      </c>
      <c r="DF28" s="9">
        <f t="shared" si="43"/>
        <v>6924.2641061233926</v>
      </c>
      <c r="DG28" s="9">
        <f t="shared" si="43"/>
        <v>6855.0214650621583</v>
      </c>
      <c r="DH28" s="9">
        <f t="shared" si="43"/>
        <v>6786.4712504115369</v>
      </c>
      <c r="DI28" s="9">
        <f t="shared" si="43"/>
        <v>6718.6065379074216</v>
      </c>
      <c r="DJ28" s="9">
        <f t="shared" si="43"/>
        <v>6651.4204725283471</v>
      </c>
      <c r="DK28" s="9">
        <f t="shared" si="43"/>
        <v>6584.9062678030632</v>
      </c>
      <c r="DL28" s="9">
        <f t="shared" si="43"/>
        <v>6519.0572051250329</v>
      </c>
      <c r="DM28" s="9">
        <f t="shared" si="43"/>
        <v>6453.8666330737824</v>
      </c>
      <c r="DN28" s="9">
        <f t="shared" si="43"/>
        <v>6389.3279667430443</v>
      </c>
      <c r="DO28" s="9">
        <f t="shared" si="43"/>
        <v>6325.4346870756135</v>
      </c>
      <c r="DP28" s="9">
        <f t="shared" si="43"/>
        <v>6262.1803402048572</v>
      </c>
      <c r="DQ28" s="9">
        <f t="shared" si="43"/>
        <v>6199.5585368028087</v>
      </c>
      <c r="DR28" s="9">
        <f t="shared" si="43"/>
        <v>6137.5629514347802</v>
      </c>
      <c r="DS28" s="9">
        <f t="shared" si="43"/>
        <v>6076.1873219204326</v>
      </c>
      <c r="DT28" s="9">
        <f t="shared" si="43"/>
        <v>6015.4254487012286</v>
      </c>
      <c r="DU28" s="9">
        <f t="shared" si="43"/>
        <v>5955.2711942142159</v>
      </c>
      <c r="DV28" s="9">
        <f t="shared" si="43"/>
        <v>5895.7184822720737</v>
      </c>
      <c r="DW28" s="9">
        <f t="shared" si="43"/>
        <v>5836.7612974493532</v>
      </c>
      <c r="DX28" s="9">
        <f t="shared" si="43"/>
        <v>5778.3936844748596</v>
      </c>
      <c r="DY28" s="9">
        <f t="shared" si="43"/>
        <v>5720.6097476301111</v>
      </c>
      <c r="DZ28" s="9">
        <f t="shared" si="43"/>
        <v>5663.4036501538103</v>
      </c>
      <c r="EA28" s="9">
        <f t="shared" si="43"/>
        <v>5606.7696136522718</v>
      </c>
      <c r="EB28" s="9">
        <f t="shared" si="43"/>
        <v>5550.7019175157493</v>
      </c>
      <c r="EC28" s="9">
        <f t="shared" si="43"/>
        <v>5495.1948983405919</v>
      </c>
      <c r="ED28" s="9">
        <f t="shared" si="43"/>
        <v>5440.2429493571863</v>
      </c>
      <c r="EE28" s="9">
        <f t="shared" si="43"/>
        <v>5385.8405198636146</v>
      </c>
      <c r="EF28" s="9">
        <f t="shared" si="43"/>
        <v>5331.9821146649783</v>
      </c>
      <c r="EG28" s="9">
        <f t="shared" si="43"/>
        <v>5278.6622935183286</v>
      </c>
      <c r="EH28" s="9">
        <f t="shared" si="43"/>
        <v>5225.8756705831456</v>
      </c>
      <c r="EI28" s="9">
        <f t="shared" si="43"/>
        <v>5173.6169138773139</v>
      </c>
      <c r="EJ28" s="9">
        <f t="shared" si="43"/>
        <v>5121.8807447385407</v>
      </c>
      <c r="EK28" s="9">
        <f t="shared" si="43"/>
        <v>5070.6619372911555</v>
      </c>
      <c r="EL28" s="9">
        <f t="shared" si="43"/>
        <v>5019.955317918244</v>
      </c>
      <c r="EM28" s="9">
        <f t="shared" si="43"/>
        <v>4969.7557647390613</v>
      </c>
      <c r="EN28" s="9">
        <f t="shared" si="43"/>
        <v>4920.0582070916707</v>
      </c>
      <c r="EO28" s="9">
        <f t="shared" si="43"/>
        <v>4870.8576250207543</v>
      </c>
      <c r="EP28" s="9">
        <f t="shared" si="43"/>
        <v>4822.1490487705469</v>
      </c>
      <c r="EQ28" s="9">
        <f t="shared" si="43"/>
        <v>4773.9275582828413</v>
      </c>
      <c r="ER28" s="9">
        <f t="shared" si="43"/>
        <v>4726.1882827000127</v>
      </c>
      <c r="ES28" s="9">
        <f t="shared" si="43"/>
        <v>4678.9263998730121</v>
      </c>
      <c r="ET28" s="9">
        <f t="shared" si="43"/>
        <v>4632.1371358742817</v>
      </c>
      <c r="EU28" s="9">
        <f t="shared" si="43"/>
        <v>4585.8157645155388</v>
      </c>
      <c r="EV28" s="9">
        <f t="shared" si="43"/>
        <v>4539.9576068703836</v>
      </c>
      <c r="EW28" s="9">
        <f t="shared" si="43"/>
        <v>4494.5580308016797</v>
      </c>
      <c r="EX28" s="9">
        <f t="shared" si="43"/>
        <v>4449.6124504936624</v>
      </c>
      <c r="EY28" s="9">
        <f t="shared" si="43"/>
        <v>4405.1163259887262</v>
      </c>
      <c r="EZ28" s="9">
        <f t="shared" si="43"/>
        <v>4361.0651627288389</v>
      </c>
      <c r="FA28" s="9">
        <f t="shared" si="43"/>
        <v>4317.4545111015505</v>
      </c>
      <c r="FB28" s="9">
        <f t="shared" si="43"/>
        <v>4274.2799659905349</v>
      </c>
      <c r="FC28" s="9">
        <f t="shared" si="43"/>
        <v>4231.5371663306296</v>
      </c>
      <c r="FD28" s="9">
        <f t="shared" si="43"/>
        <v>4189.2217946673236</v>
      </c>
      <c r="FE28" s="9">
        <f t="shared" si="43"/>
        <v>4147.32957672065</v>
      </c>
      <c r="FF28" s="9">
        <f t="shared" si="43"/>
        <v>4105.8562809534433</v>
      </c>
      <c r="FG28" s="9">
        <f t="shared" si="43"/>
        <v>4064.7977181439087</v>
      </c>
      <c r="FH28" s="9">
        <f t="shared" si="43"/>
        <v>4024.1497409624694</v>
      </c>
      <c r="FI28" s="9">
        <f t="shared" si="43"/>
        <v>3983.9082435528449</v>
      </c>
      <c r="FJ28" s="9">
        <f t="shared" si="43"/>
        <v>3944.0691611173165</v>
      </c>
      <c r="FK28" s="9">
        <f t="shared" si="43"/>
        <v>3904.6284695061431</v>
      </c>
    </row>
    <row r="29" spans="2:167" s="16" customFormat="1">
      <c r="B29" s="16" t="s">
        <v>43</v>
      </c>
      <c r="C29" s="13"/>
      <c r="D29" s="13"/>
      <c r="E29" s="13"/>
      <c r="F29" s="13"/>
      <c r="G29" s="13">
        <f t="shared" ref="G29:N29" si="44">G28/G30</f>
        <v>2.4430061823802163</v>
      </c>
      <c r="H29" s="13">
        <f t="shared" si="44"/>
        <v>4.2517006802721085</v>
      </c>
      <c r="I29" s="13">
        <f t="shared" si="44"/>
        <v>3.4835652349263966</v>
      </c>
      <c r="J29" s="13">
        <f t="shared" si="44"/>
        <v>5.4960159362549801</v>
      </c>
      <c r="K29" s="13">
        <f t="shared" si="44"/>
        <v>2.4440846068211717</v>
      </c>
      <c r="L29" s="13">
        <f t="shared" si="44"/>
        <v>3.59157080321694</v>
      </c>
      <c r="M29" s="13">
        <f t="shared" si="44"/>
        <v>3.0386627012614089</v>
      </c>
      <c r="N29" s="13">
        <f t="shared" si="44"/>
        <v>4.5593047034764824</v>
      </c>
      <c r="O29" s="13"/>
      <c r="P29" s="13"/>
      <c r="Q29" s="13"/>
      <c r="R29" s="13"/>
      <c r="V29" s="13">
        <f>V28/V30</f>
        <v>15.43053016453382</v>
      </c>
      <c r="W29" s="13">
        <f>W28/W30</f>
        <v>15.879032258064516</v>
      </c>
      <c r="X29" s="13">
        <f>X28/X30</f>
        <v>13.665644171779141</v>
      </c>
      <c r="Y29" s="13" t="e">
        <f t="shared" ref="Y29:AM29" si="45">Y28/Y30</f>
        <v>#DIV/0!</v>
      </c>
      <c r="Z29" s="13" t="e">
        <f t="shared" si="45"/>
        <v>#DIV/0!</v>
      </c>
      <c r="AA29" s="13" t="e">
        <f t="shared" si="45"/>
        <v>#DIV/0!</v>
      </c>
      <c r="AB29" s="13" t="e">
        <f t="shared" si="45"/>
        <v>#DIV/0!</v>
      </c>
      <c r="AC29" s="13" t="e">
        <f t="shared" si="45"/>
        <v>#DIV/0!</v>
      </c>
      <c r="AD29" s="13" t="e">
        <f t="shared" si="45"/>
        <v>#DIV/0!</v>
      </c>
      <c r="AE29" s="13" t="e">
        <f t="shared" si="45"/>
        <v>#DIV/0!</v>
      </c>
      <c r="AF29" s="13" t="e">
        <f t="shared" si="45"/>
        <v>#DIV/0!</v>
      </c>
      <c r="AG29" s="13" t="e">
        <f t="shared" si="45"/>
        <v>#DIV/0!</v>
      </c>
      <c r="AH29" s="13" t="e">
        <f t="shared" si="45"/>
        <v>#DIV/0!</v>
      </c>
      <c r="AI29" s="13" t="e">
        <f t="shared" si="45"/>
        <v>#DIV/0!</v>
      </c>
      <c r="AJ29" s="13" t="e">
        <f t="shared" si="45"/>
        <v>#DIV/0!</v>
      </c>
      <c r="AK29" s="13" t="e">
        <f t="shared" si="45"/>
        <v>#DIV/0!</v>
      </c>
      <c r="AL29" s="13" t="e">
        <f t="shared" si="45"/>
        <v>#DIV/0!</v>
      </c>
      <c r="AM29" s="13" t="e">
        <f t="shared" si="45"/>
        <v>#DIV/0!</v>
      </c>
    </row>
    <row r="30" spans="2:167">
      <c r="B30" s="4" t="s">
        <v>37</v>
      </c>
      <c r="C30" s="6"/>
      <c r="D30" s="6"/>
      <c r="E30" s="6"/>
      <c r="F30" s="6"/>
      <c r="G30" s="6">
        <v>1035.2</v>
      </c>
      <c r="H30" s="6">
        <v>999.6</v>
      </c>
      <c r="I30" s="6">
        <v>991.8</v>
      </c>
      <c r="J30" s="6">
        <v>1004</v>
      </c>
      <c r="K30" s="6">
        <v>988.1</v>
      </c>
      <c r="L30" s="6">
        <v>982.3</v>
      </c>
      <c r="M30" s="6">
        <v>975.1</v>
      </c>
      <c r="N30" s="1">
        <v>978</v>
      </c>
      <c r="V30">
        <v>1094</v>
      </c>
      <c r="W30" s="6">
        <v>992</v>
      </c>
      <c r="X30" s="1">
        <v>978</v>
      </c>
    </row>
    <row r="31" spans="2:167">
      <c r="AO31" t="s">
        <v>117</v>
      </c>
      <c r="AP31" s="27">
        <v>0.02</v>
      </c>
    </row>
    <row r="32" spans="2:167">
      <c r="AO32" t="s">
        <v>50</v>
      </c>
      <c r="AP32" s="18">
        <v>-0.01</v>
      </c>
    </row>
    <row r="33" spans="2:45">
      <c r="AO33" t="s">
        <v>51</v>
      </c>
      <c r="AP33" s="18">
        <v>4.4999999999999998E-2</v>
      </c>
      <c r="AR33" t="s">
        <v>42</v>
      </c>
      <c r="AS33" s="4">
        <f>Main!L8</f>
        <v>165376.15800000002</v>
      </c>
    </row>
    <row r="34" spans="2:45" s="9" customFormat="1">
      <c r="B34" s="9" t="s">
        <v>45</v>
      </c>
      <c r="C34" s="8"/>
      <c r="D34" s="8"/>
      <c r="E34" s="8"/>
      <c r="F34" s="8"/>
      <c r="G34" s="8"/>
      <c r="H34" s="8"/>
      <c r="I34" s="8"/>
      <c r="J34" s="8"/>
      <c r="K34" s="14">
        <f>K12/G12-1</f>
        <v>-0.11895659995502583</v>
      </c>
      <c r="L34" s="14">
        <f>L12/H12-1</f>
        <v>-0.13444504511997335</v>
      </c>
      <c r="M34" s="14">
        <f>M12/I12-1</f>
        <v>-0.13917042461043894</v>
      </c>
      <c r="N34" s="14">
        <f>N12/J12-1</f>
        <v>-8.5261673716513275E-2</v>
      </c>
      <c r="O34" s="8"/>
      <c r="P34" s="8"/>
      <c r="Q34" s="8"/>
      <c r="R34" s="8"/>
      <c r="U34" s="17">
        <f t="shared" ref="U34:V34" si="46">U12/T12-1</f>
        <v>-2.2531707134572976E-2</v>
      </c>
      <c r="V34" s="17">
        <f t="shared" si="46"/>
        <v>-5.8742476580516123E-2</v>
      </c>
      <c r="W34" s="17">
        <f>W12/V12-1</f>
        <v>-5.6674934938191313E-2</v>
      </c>
      <c r="X34" s="17">
        <f>X12/W12-1</f>
        <v>-0.11909303503497026</v>
      </c>
      <c r="Y34" s="17">
        <f t="shared" ref="Y34:AM34" si="47">Y12/X12-1</f>
        <v>-1.0000000000000009E-2</v>
      </c>
      <c r="Z34" s="17">
        <f t="shared" si="47"/>
        <v>-1.0000000000000009E-2</v>
      </c>
      <c r="AA34" s="17">
        <f t="shared" si="47"/>
        <v>-1.0000000000000009E-2</v>
      </c>
      <c r="AB34" s="17">
        <f t="shared" si="47"/>
        <v>-9.9999999999998979E-3</v>
      </c>
      <c r="AC34" s="17">
        <f t="shared" si="47"/>
        <v>-1.000000000000012E-2</v>
      </c>
      <c r="AD34" s="17">
        <f t="shared" si="47"/>
        <v>-9.9999999999998979E-3</v>
      </c>
      <c r="AE34" s="17">
        <f t="shared" si="47"/>
        <v>-9.9999999999998979E-3</v>
      </c>
      <c r="AF34" s="17">
        <f t="shared" si="47"/>
        <v>-9.9999999999998979E-3</v>
      </c>
      <c r="AG34" s="17">
        <f t="shared" si="47"/>
        <v>-1.0000000000000009E-2</v>
      </c>
      <c r="AH34" s="17">
        <f t="shared" si="47"/>
        <v>-9.9999999999998979E-3</v>
      </c>
      <c r="AI34" s="17">
        <f t="shared" si="47"/>
        <v>-1.000000000000012E-2</v>
      </c>
      <c r="AJ34" s="17">
        <f t="shared" si="47"/>
        <v>-1.0000000000000009E-2</v>
      </c>
      <c r="AK34" s="17">
        <f t="shared" si="47"/>
        <v>-1.000000000000012E-2</v>
      </c>
      <c r="AL34" s="17">
        <f t="shared" si="47"/>
        <v>-1.0000000000000009E-2</v>
      </c>
      <c r="AM34" s="17">
        <f t="shared" si="47"/>
        <v>-1.0000000000000009E-2</v>
      </c>
      <c r="AO34" t="s">
        <v>52</v>
      </c>
      <c r="AP34" s="19">
        <f>NPV(AP33,Y28:FK28)</f>
        <v>274250.44947092241</v>
      </c>
      <c r="AR34" t="s">
        <v>89</v>
      </c>
      <c r="AS34" s="4">
        <f>Y28</f>
        <v>12726.528000000002</v>
      </c>
    </row>
    <row r="35" spans="2:45" s="9" customFormat="1">
      <c r="B35" s="9" t="s">
        <v>93</v>
      </c>
      <c r="C35" s="8"/>
      <c r="D35" s="8"/>
      <c r="E35" s="8"/>
      <c r="F35" s="8"/>
      <c r="G35" s="8"/>
      <c r="H35" s="8"/>
      <c r="I35" s="8"/>
      <c r="J35" s="8"/>
      <c r="K35" s="14"/>
      <c r="L35" s="14"/>
      <c r="M35" s="14"/>
      <c r="N35" s="14">
        <f>-2%</f>
        <v>-0.02</v>
      </c>
      <c r="O35" s="8"/>
      <c r="P35" s="8"/>
      <c r="Q35" s="8"/>
      <c r="R35" s="8"/>
      <c r="U35" s="17"/>
      <c r="V35" s="17"/>
      <c r="W35" s="17"/>
      <c r="X35" s="17">
        <f>0.01</f>
        <v>0.01</v>
      </c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O35"/>
      <c r="AP35" s="19"/>
      <c r="AR35"/>
      <c r="AS35" s="4"/>
    </row>
    <row r="36" spans="2:45" s="9" customFormat="1">
      <c r="B36" s="9" t="s">
        <v>46</v>
      </c>
      <c r="C36" s="8"/>
      <c r="D36" s="8"/>
      <c r="E36" s="8"/>
      <c r="F36" s="8"/>
      <c r="G36" s="8"/>
      <c r="H36" s="8"/>
      <c r="I36" s="8"/>
      <c r="J36" s="8"/>
      <c r="K36" s="14"/>
      <c r="L36" s="14"/>
      <c r="M36" s="14"/>
      <c r="N36" s="14"/>
      <c r="O36" s="8"/>
      <c r="P36" s="8"/>
      <c r="Q36" s="8"/>
      <c r="R36" s="8"/>
      <c r="W36" s="17">
        <f>W21/V21-1</f>
        <v>-1.1556010404673578E-2</v>
      </c>
      <c r="X36" s="17">
        <f>X21/W21-1</f>
        <v>-0.11863675582398614</v>
      </c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O36" t="s">
        <v>40</v>
      </c>
      <c r="AP36" s="19">
        <f>Main!L6-Main!L7</f>
        <v>-31695</v>
      </c>
      <c r="AR36" t="s">
        <v>90</v>
      </c>
      <c r="AS36">
        <f>AS33/AS34</f>
        <v>12.994601355530746</v>
      </c>
    </row>
    <row r="37" spans="2:45" s="9" customFormat="1">
      <c r="B37" s="9" t="s">
        <v>47</v>
      </c>
      <c r="C37" s="8"/>
      <c r="D37" s="8"/>
      <c r="E37" s="8"/>
      <c r="F37" s="8"/>
      <c r="G37" s="8"/>
      <c r="H37" s="8"/>
      <c r="I37" s="8"/>
      <c r="J37" s="8"/>
      <c r="K37" s="14"/>
      <c r="L37" s="14"/>
      <c r="M37" s="14"/>
      <c r="N37" s="14"/>
      <c r="O37" s="8"/>
      <c r="P37" s="8"/>
      <c r="Q37" s="8"/>
      <c r="R37" s="8"/>
      <c r="W37" s="17">
        <f>W22/V22-1</f>
        <v>-5.3282256660282079E-2</v>
      </c>
      <c r="X37" s="17">
        <f>X22/W22-1</f>
        <v>-3.4945742137208025E-2</v>
      </c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O37" s="9" t="s">
        <v>53</v>
      </c>
      <c r="AP37" s="19">
        <f>AP34+AP36</f>
        <v>242555.44947092241</v>
      </c>
      <c r="AR37" t="s">
        <v>91</v>
      </c>
      <c r="AS37" s="18">
        <f>1/AS36</f>
        <v>7.6955034836400066E-2</v>
      </c>
    </row>
    <row r="38" spans="2:45" s="9" customFormat="1">
      <c r="B38" s="9" t="s">
        <v>48</v>
      </c>
      <c r="C38" s="8"/>
      <c r="D38" s="8"/>
      <c r="E38" s="8"/>
      <c r="F38" s="8"/>
      <c r="G38" s="8"/>
      <c r="H38" s="8"/>
      <c r="I38" s="8"/>
      <c r="J38" s="8"/>
      <c r="K38" s="14"/>
      <c r="L38" s="14"/>
      <c r="M38" s="14"/>
      <c r="N38" s="14"/>
      <c r="O38" s="8"/>
      <c r="P38" s="8"/>
      <c r="Q38" s="8"/>
      <c r="R38" s="8"/>
      <c r="W38" s="17">
        <f>W28/V28-1</f>
        <v>-6.687992417510813E-2</v>
      </c>
      <c r="X38" s="17">
        <f>X28/W28-1</f>
        <v>-0.15153631284916202</v>
      </c>
      <c r="Y38" s="17"/>
      <c r="Z38" s="17"/>
      <c r="AA38" s="17"/>
      <c r="AB38" s="17"/>
      <c r="AC38" s="17"/>
      <c r="AD38" s="17"/>
      <c r="AE38" s="17" t="s">
        <v>82</v>
      </c>
      <c r="AF38" s="17"/>
      <c r="AG38" s="17"/>
      <c r="AH38" s="17"/>
      <c r="AI38" s="17"/>
      <c r="AJ38" s="17"/>
      <c r="AK38" s="17"/>
      <c r="AL38" s="17"/>
      <c r="AM38" s="17"/>
      <c r="AO38" s="9" t="s">
        <v>54</v>
      </c>
      <c r="AP38" s="16">
        <f>AP37/Main!L4</f>
        <v>250.02881062036508</v>
      </c>
      <c r="AR38"/>
      <c r="AS38"/>
    </row>
    <row r="39" spans="2:45">
      <c r="B39" t="s">
        <v>24</v>
      </c>
      <c r="G39" s="11">
        <f t="shared" ref="G39:J39" si="48">G20/G12</f>
        <v>0.47794018439397346</v>
      </c>
      <c r="H39" s="11">
        <f t="shared" si="48"/>
        <v>0.50081091196407035</v>
      </c>
      <c r="I39" s="11">
        <f t="shared" si="48"/>
        <v>0.48551145242666427</v>
      </c>
      <c r="J39" s="11">
        <f t="shared" si="48"/>
        <v>0.53342456664178484</v>
      </c>
      <c r="K39" s="11">
        <f t="shared" ref="K39:L39" si="49">K20/K12</f>
        <v>0.48249106687085247</v>
      </c>
      <c r="L39" s="11">
        <f t="shared" si="49"/>
        <v>0.49923128663399635</v>
      </c>
      <c r="M39" s="11">
        <f>M20/M12</f>
        <v>0.48941908713692944</v>
      </c>
      <c r="N39" s="11">
        <f t="shared" ref="N39" si="50">N20/N12</f>
        <v>0.51709130474204368</v>
      </c>
      <c r="W39" s="17">
        <v>0.5</v>
      </c>
      <c r="X39" s="17">
        <v>0.5</v>
      </c>
      <c r="Y39" s="17">
        <v>0.5</v>
      </c>
      <c r="Z39" s="17">
        <v>0.5</v>
      </c>
      <c r="AA39" s="17">
        <v>0.5</v>
      </c>
      <c r="AB39" s="17">
        <v>0.5</v>
      </c>
      <c r="AC39" s="17">
        <v>0.5</v>
      </c>
      <c r="AD39" s="17">
        <v>0.5</v>
      </c>
      <c r="AE39" s="17">
        <v>0.5</v>
      </c>
      <c r="AF39" s="17">
        <v>0.5</v>
      </c>
      <c r="AG39" s="17">
        <v>0.5</v>
      </c>
      <c r="AH39" s="17">
        <v>0.5</v>
      </c>
      <c r="AI39" s="17">
        <v>0.5</v>
      </c>
      <c r="AJ39" s="17">
        <v>0.5</v>
      </c>
      <c r="AK39" s="17">
        <v>0.5</v>
      </c>
      <c r="AL39" s="17">
        <v>0.5</v>
      </c>
      <c r="AM39" s="17">
        <v>0.5</v>
      </c>
      <c r="AO39" t="s">
        <v>55</v>
      </c>
      <c r="AP39" s="7">
        <f>Main!L3</f>
        <v>137.80000000000001</v>
      </c>
      <c r="AR39" t="s">
        <v>92</v>
      </c>
      <c r="AS39" s="18">
        <v>0.03</v>
      </c>
    </row>
    <row r="40" spans="2:45">
      <c r="B40" s="9" t="s">
        <v>49</v>
      </c>
      <c r="G40" s="11">
        <f>G27/G26</f>
        <v>0.20521684475172847</v>
      </c>
      <c r="H40" s="11">
        <f t="shared" ref="H40:N40" si="51">H27/H26</f>
        <v>0.2050130939019828</v>
      </c>
      <c r="I40" s="11">
        <f t="shared" si="51"/>
        <v>0.20775051593671176</v>
      </c>
      <c r="J40" s="11">
        <f t="shared" si="51"/>
        <v>0.22248837536987459</v>
      </c>
      <c r="K40" s="11">
        <f t="shared" si="51"/>
        <v>0.19500000000000001</v>
      </c>
      <c r="L40" s="11">
        <f t="shared" si="51"/>
        <v>0.16516800757217226</v>
      </c>
      <c r="M40" s="11">
        <f t="shared" si="51"/>
        <v>0.18194367752622861</v>
      </c>
      <c r="N40" s="11">
        <f t="shared" si="51"/>
        <v>0.12534327187132208</v>
      </c>
      <c r="X40" s="11">
        <f t="shared" ref="X40:Y40" si="52">W27/W26</f>
        <v>0.21184829380566397</v>
      </c>
      <c r="Y40" s="11">
        <f t="shared" si="52"/>
        <v>0.1618587733600903</v>
      </c>
      <c r="AP40" s="18">
        <f>AP38/AP39-1</f>
        <v>0.8144325879562051</v>
      </c>
    </row>
    <row r="42" spans="2:45">
      <c r="B42" s="9" t="s">
        <v>95</v>
      </c>
      <c r="N42" s="15">
        <v>121000</v>
      </c>
    </row>
    <row r="43" spans="2:45">
      <c r="B43" t="s">
        <v>96</v>
      </c>
      <c r="N43" s="11">
        <v>0.01</v>
      </c>
    </row>
    <row r="44" spans="2:45">
      <c r="N44" s="11"/>
    </row>
    <row r="45" spans="2:45">
      <c r="N45" s="11"/>
    </row>
    <row r="46" spans="2:45">
      <c r="B46" t="s">
        <v>91</v>
      </c>
      <c r="N46" s="11"/>
      <c r="Y46" s="18">
        <f t="shared" ref="Y46:AM46" si="53">Y25/Y49</f>
        <v>-4.5659977250671543E-2</v>
      </c>
      <c r="Z46" s="18">
        <f t="shared" si="53"/>
        <v>-0.18196024492637231</v>
      </c>
      <c r="AA46" s="18">
        <f t="shared" si="53"/>
        <v>0.20436843914767025</v>
      </c>
      <c r="AB46" s="18">
        <f t="shared" si="53"/>
        <v>8.2893294609284671E-2</v>
      </c>
      <c r="AC46" s="18">
        <f t="shared" si="53"/>
        <v>5.7763719177806622E-2</v>
      </c>
      <c r="AD46" s="18">
        <f t="shared" si="53"/>
        <v>4.6903892233704343E-2</v>
      </c>
      <c r="AE46" s="18">
        <f t="shared" si="53"/>
        <v>4.0846068596456786E-2</v>
      </c>
      <c r="AF46" s="18">
        <f t="shared" si="53"/>
        <v>3.6981223965278802E-2</v>
      </c>
      <c r="AG46" s="18">
        <f t="shared" si="53"/>
        <v>3.4300574621032781E-2</v>
      </c>
      <c r="AH46" s="18">
        <f t="shared" si="53"/>
        <v>3.2331811298635466E-2</v>
      </c>
      <c r="AI46" s="18">
        <f t="shared" si="53"/>
        <v>3.0824325162609838E-2</v>
      </c>
      <c r="AJ46" s="18">
        <f t="shared" si="53"/>
        <v>2.9632787834915582E-2</v>
      </c>
      <c r="AK46" s="18">
        <f t="shared" si="53"/>
        <v>2.866712067002132E-2</v>
      </c>
      <c r="AL46" s="18">
        <f t="shared" si="53"/>
        <v>2.7868518123856989E-2</v>
      </c>
      <c r="AM46" s="18">
        <f t="shared" si="53"/>
        <v>2.719696007033769E-2</v>
      </c>
    </row>
    <row r="47" spans="2:45">
      <c r="N47" s="11"/>
    </row>
    <row r="48" spans="2:45">
      <c r="B48" t="s">
        <v>94</v>
      </c>
      <c r="G48" s="1">
        <v>1.3704000000000001</v>
      </c>
      <c r="H48" s="1">
        <v>1.3715999999999999</v>
      </c>
      <c r="I48" s="1">
        <v>1.3251999999999999</v>
      </c>
      <c r="J48" s="1">
        <v>1.2487999999999999</v>
      </c>
      <c r="K48" s="1">
        <v>1.1268</v>
      </c>
      <c r="L48" s="1">
        <v>1.1069</v>
      </c>
      <c r="M48" s="1">
        <v>1.1125</v>
      </c>
      <c r="N48" s="1">
        <v>1.0952</v>
      </c>
      <c r="O48" s="1">
        <v>1.1000000000000001</v>
      </c>
    </row>
    <row r="49" spans="2:39">
      <c r="B49" t="s">
        <v>109</v>
      </c>
      <c r="K49" s="11">
        <f>K48/G48-1</f>
        <v>-0.17775831873905434</v>
      </c>
      <c r="L49" s="11">
        <f t="shared" ref="L49:M49" si="54">L48/H48-1</f>
        <v>-0.19298629337999418</v>
      </c>
      <c r="M49" s="11">
        <f t="shared" si="54"/>
        <v>-0.16050407485662532</v>
      </c>
      <c r="N49" s="11">
        <f>N48/J48-1</f>
        <v>-0.12299807815502883</v>
      </c>
      <c r="O49" s="11">
        <f>O48/K48-1</f>
        <v>-2.3784167554135593E-2</v>
      </c>
      <c r="X49" s="9">
        <f>N50</f>
        <v>-31695</v>
      </c>
      <c r="Y49" s="7">
        <f t="shared" ref="Y49:AM49" si="55">X49+Y28</f>
        <v>-18968.471999999998</v>
      </c>
      <c r="Z49" s="7">
        <f t="shared" si="55"/>
        <v>-6158.656031999999</v>
      </c>
      <c r="AA49" s="7">
        <f t="shared" si="55"/>
        <v>6736.9838762880008</v>
      </c>
      <c r="AB49" s="7">
        <f t="shared" si="55"/>
        <v>19721.012239060612</v>
      </c>
      <c r="AC49" s="7">
        <f t="shared" si="55"/>
        <v>32796.022689430058</v>
      </c>
      <c r="AD49" s="7">
        <f t="shared" si="55"/>
        <v>45964.638564459972</v>
      </c>
      <c r="AE49" s="7">
        <f t="shared" si="55"/>
        <v>59229.513498370376</v>
      </c>
      <c r="AF49" s="7">
        <f t="shared" si="55"/>
        <v>72593.332024054558</v>
      </c>
      <c r="AG49" s="7">
        <f t="shared" si="55"/>
        <v>86058.810183052585</v>
      </c>
      <c r="AH49" s="7">
        <f t="shared" si="55"/>
        <v>99628.696144128451</v>
      </c>
      <c r="AI49" s="7">
        <f t="shared" si="55"/>
        <v>113305.77083060006</v>
      </c>
      <c r="AJ49" s="7">
        <f t="shared" si="55"/>
        <v>127092.84855657356</v>
      </c>
      <c r="AK49" s="7">
        <f t="shared" si="55"/>
        <v>140992.7776722358</v>
      </c>
      <c r="AL49" s="7">
        <f t="shared" si="55"/>
        <v>155008.44121836105</v>
      </c>
      <c r="AM49" s="7">
        <f t="shared" si="55"/>
        <v>169142.75759019062</v>
      </c>
    </row>
    <row r="50" spans="2:39">
      <c r="B50" s="9" t="s">
        <v>40</v>
      </c>
      <c r="N50" s="9">
        <f>N51-N66</f>
        <v>-31695</v>
      </c>
    </row>
    <row r="51" spans="2:39">
      <c r="B51" t="s">
        <v>108</v>
      </c>
      <c r="N51">
        <f>7686+508</f>
        <v>8194</v>
      </c>
    </row>
    <row r="52" spans="2:39">
      <c r="B52" t="s">
        <v>107</v>
      </c>
      <c r="N52">
        <v>8333</v>
      </c>
    </row>
    <row r="53" spans="2:39">
      <c r="B53" t="s">
        <v>106</v>
      </c>
      <c r="N53">
        <v>19020</v>
      </c>
    </row>
    <row r="54" spans="2:39">
      <c r="B54" t="s">
        <v>105</v>
      </c>
      <c r="N54">
        <v>1201</v>
      </c>
    </row>
    <row r="55" spans="2:39">
      <c r="B55" t="s">
        <v>104</v>
      </c>
      <c r="N55">
        <v>1551</v>
      </c>
    </row>
    <row r="56" spans="2:39">
      <c r="B56" t="s">
        <v>103</v>
      </c>
      <c r="N56">
        <v>4205</v>
      </c>
    </row>
    <row r="57" spans="2:39">
      <c r="B57" t="s">
        <v>102</v>
      </c>
      <c r="N57">
        <v>10727</v>
      </c>
    </row>
    <row r="58" spans="2:39">
      <c r="B58" t="s">
        <v>100</v>
      </c>
      <c r="N58">
        <v>10013</v>
      </c>
    </row>
    <row r="59" spans="2:39">
      <c r="B59" t="s">
        <v>101</v>
      </c>
      <c r="N59">
        <v>1734</v>
      </c>
    </row>
    <row r="60" spans="2:39">
      <c r="B60" t="s">
        <v>99</v>
      </c>
      <c r="N60">
        <v>4822</v>
      </c>
    </row>
    <row r="61" spans="2:39">
      <c r="B61" t="s">
        <v>98</v>
      </c>
      <c r="N61">
        <f>32021+3487</f>
        <v>35508</v>
      </c>
    </row>
    <row r="62" spans="2:39">
      <c r="B62" t="s">
        <v>97</v>
      </c>
      <c r="N62">
        <v>5187</v>
      </c>
    </row>
    <row r="63" spans="2:39">
      <c r="N63">
        <f>SUM(N51:N62)</f>
        <v>110495</v>
      </c>
    </row>
    <row r="64" spans="2:39">
      <c r="B64" t="s">
        <v>35</v>
      </c>
      <c r="N64"/>
    </row>
    <row r="65" spans="2:18" s="9" customFormat="1">
      <c r="B65" s="9" t="s">
        <v>41</v>
      </c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>
        <v>2847</v>
      </c>
      <c r="O65" s="8"/>
      <c r="P65" s="8"/>
      <c r="Q65" s="8"/>
      <c r="R65" s="8"/>
    </row>
    <row r="66" spans="2:18">
      <c r="B66" t="s">
        <v>112</v>
      </c>
      <c r="N66" s="9">
        <f>6461+33428</f>
        <v>39889</v>
      </c>
    </row>
    <row r="67" spans="2:18">
      <c r="B67" t="s">
        <v>110</v>
      </c>
      <c r="N67">
        <v>6028</v>
      </c>
    </row>
    <row r="68" spans="2:18">
      <c r="B68" t="s">
        <v>111</v>
      </c>
      <c r="N68">
        <v>3560</v>
      </c>
    </row>
    <row r="69" spans="2:18">
      <c r="B69" t="s">
        <v>98</v>
      </c>
      <c r="N69">
        <f>11021+3771</f>
        <v>14792</v>
      </c>
    </row>
    <row r="70" spans="2:18">
      <c r="B70" t="s">
        <v>113</v>
      </c>
      <c r="N70">
        <v>4353</v>
      </c>
    </row>
    <row r="71" spans="2:18">
      <c r="B71" t="s">
        <v>114</v>
      </c>
      <c r="N71">
        <v>16504</v>
      </c>
    </row>
    <row r="72" spans="2:18">
      <c r="B72" t="s">
        <v>115</v>
      </c>
      <c r="N72">
        <v>8099</v>
      </c>
    </row>
    <row r="73" spans="2:18">
      <c r="B73" t="s">
        <v>116</v>
      </c>
      <c r="N73">
        <v>14424</v>
      </c>
    </row>
    <row r="74" spans="2:18">
      <c r="N74">
        <f>SUM(N65:N73)</f>
        <v>110496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FA05F-1075-114E-83C5-C066BF2EDF66}">
  <dimension ref="A1"/>
  <sheetViews>
    <sheetView workbookViewId="0"/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GTS</vt:lpstr>
      <vt:lpstr>Model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Wong</dc:creator>
  <cp:lastModifiedBy>Bobby S</cp:lastModifiedBy>
  <dcterms:created xsi:type="dcterms:W3CDTF">2025-01-03T14:53:48Z</dcterms:created>
  <dcterms:modified xsi:type="dcterms:W3CDTF">2025-02-06T16:04:39Z</dcterms:modified>
</cp:coreProperties>
</file>