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gelowong/Library/CloudStorage/OneDrive-Personal/Value Investing/"/>
    </mc:Choice>
  </mc:AlternateContent>
  <xr:revisionPtr revIDLastSave="0" documentId="13_ncr:1_{2AAA5838-1D7A-6E46-AE6E-8E27EFD93E1A}" xr6:coauthVersionLast="47" xr6:coauthVersionMax="47" xr10:uidLastSave="{00000000-0000-0000-0000-000000000000}"/>
  <bookViews>
    <workbookView xWindow="-44240" yWindow="-11860" windowWidth="44240" windowHeight="30020" xr2:uid="{22360181-C303-A440-A710-955DF78DC91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4" i="2" l="1"/>
  <c r="AM24" i="2"/>
  <c r="AM26" i="2"/>
  <c r="AL26" i="2"/>
  <c r="AK26" i="2"/>
  <c r="AJ26" i="2"/>
  <c r="AI26" i="2"/>
  <c r="AH26" i="2"/>
  <c r="AG26" i="2"/>
  <c r="AF26" i="2"/>
  <c r="AE26" i="2"/>
  <c r="AE25" i="2"/>
  <c r="AD25" i="2"/>
  <c r="AC25" i="2"/>
  <c r="AB25" i="2"/>
  <c r="AJ25" i="2" s="1"/>
  <c r="AA25" i="2"/>
  <c r="AI25" i="2" s="1"/>
  <c r="Z25" i="2"/>
  <c r="Y25" i="2"/>
  <c r="AL28" i="2"/>
  <c r="AK28" i="2"/>
  <c r="AL27" i="2"/>
  <c r="AK27" i="2"/>
  <c r="AF28" i="2"/>
  <c r="AG28" i="2" s="1"/>
  <c r="AE28" i="2"/>
  <c r="AF27" i="2"/>
  <c r="AG27" i="2" s="1"/>
  <c r="AE27" i="2"/>
  <c r="AF24" i="2"/>
  <c r="AG24" i="2" s="1"/>
  <c r="AE24" i="2"/>
  <c r="AC28" i="2"/>
  <c r="AD28" i="2" s="1"/>
  <c r="AB28" i="2"/>
  <c r="AC27" i="2"/>
  <c r="AD27" i="2" s="1"/>
  <c r="AB27" i="2"/>
  <c r="AA24" i="2"/>
  <c r="AB24" i="2" s="1"/>
  <c r="Y31" i="2"/>
  <c r="AB30" i="2"/>
  <c r="AA30" i="2"/>
  <c r="Z30" i="2"/>
  <c r="Y30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B47" i="2"/>
  <c r="AA28" i="2"/>
  <c r="Z28" i="2"/>
  <c r="Y28" i="2"/>
  <c r="Z47" i="2" s="1"/>
  <c r="Z27" i="2"/>
  <c r="AA27" i="2" s="1"/>
  <c r="Y27" i="2"/>
  <c r="AA26" i="2"/>
  <c r="AA50" i="2" s="1"/>
  <c r="Z26" i="2"/>
  <c r="Z50" i="2" s="1"/>
  <c r="Y26" i="2"/>
  <c r="Z24" i="2"/>
  <c r="Y24" i="2"/>
  <c r="V47" i="2"/>
  <c r="V46" i="2"/>
  <c r="AA47" i="2"/>
  <c r="X47" i="2"/>
  <c r="Y46" i="2"/>
  <c r="X46" i="2"/>
  <c r="W47" i="2"/>
  <c r="W46" i="2"/>
  <c r="X52" i="2"/>
  <c r="Y50" i="2"/>
  <c r="X50" i="2"/>
  <c r="X32" i="2"/>
  <c r="X30" i="2"/>
  <c r="X31" i="2" s="1"/>
  <c r="X33" i="2" s="1"/>
  <c r="X35" i="2" s="1"/>
  <c r="X55" i="2" s="1"/>
  <c r="Y32" i="2" s="1"/>
  <c r="X34" i="2"/>
  <c r="X29" i="2"/>
  <c r="X28" i="2"/>
  <c r="X27" i="2"/>
  <c r="X26" i="2"/>
  <c r="X25" i="2"/>
  <c r="X24" i="2"/>
  <c r="W55" i="2"/>
  <c r="P55" i="2"/>
  <c r="Q32" i="2"/>
  <c r="P32" i="2"/>
  <c r="O55" i="2"/>
  <c r="S36" i="2"/>
  <c r="R36" i="2"/>
  <c r="Q36" i="2"/>
  <c r="P36" i="2"/>
  <c r="S27" i="2"/>
  <c r="R27" i="2"/>
  <c r="Q27" i="2"/>
  <c r="P27" i="2"/>
  <c r="S28" i="2"/>
  <c r="S47" i="2" s="1"/>
  <c r="R28" i="2"/>
  <c r="R47" i="2" s="1"/>
  <c r="Q28" i="2"/>
  <c r="Q47" i="2" s="1"/>
  <c r="P28" i="2"/>
  <c r="P47" i="2" s="1"/>
  <c r="Q30" i="2"/>
  <c r="S8" i="2"/>
  <c r="R8" i="2"/>
  <c r="Q8" i="2"/>
  <c r="P8" i="2"/>
  <c r="O47" i="2"/>
  <c r="N47" i="2"/>
  <c r="M47" i="2"/>
  <c r="L47" i="2"/>
  <c r="K47" i="2"/>
  <c r="J47" i="2"/>
  <c r="I47" i="2"/>
  <c r="H47" i="2"/>
  <c r="N46" i="2"/>
  <c r="M46" i="2"/>
  <c r="L46" i="2"/>
  <c r="K46" i="2"/>
  <c r="J46" i="2"/>
  <c r="I46" i="2"/>
  <c r="H46" i="2"/>
  <c r="O46" i="2"/>
  <c r="S9" i="2"/>
  <c r="R9" i="2"/>
  <c r="Q9" i="2"/>
  <c r="P9" i="2"/>
  <c r="S7" i="2"/>
  <c r="AA43" i="2"/>
  <c r="Z43" i="2"/>
  <c r="Y43" i="2"/>
  <c r="W36" i="2"/>
  <c r="W29" i="2"/>
  <c r="W30" i="2" s="1"/>
  <c r="W28" i="2"/>
  <c r="W27" i="2"/>
  <c r="W25" i="2"/>
  <c r="W24" i="2"/>
  <c r="X43" i="2" s="1"/>
  <c r="W26" i="2"/>
  <c r="V36" i="2"/>
  <c r="V29" i="2"/>
  <c r="V28" i="2"/>
  <c r="V27" i="2"/>
  <c r="V30" i="2" s="1"/>
  <c r="V25" i="2"/>
  <c r="V24" i="2"/>
  <c r="U36" i="2"/>
  <c r="U29" i="2"/>
  <c r="U28" i="2"/>
  <c r="U27" i="2"/>
  <c r="U25" i="2"/>
  <c r="U24" i="2"/>
  <c r="U26" i="2" s="1"/>
  <c r="U9" i="2"/>
  <c r="U8" i="2"/>
  <c r="V9" i="2"/>
  <c r="V8" i="2"/>
  <c r="W9" i="2"/>
  <c r="W8" i="2"/>
  <c r="I43" i="2"/>
  <c r="D15" i="2"/>
  <c r="D17" i="2" s="1"/>
  <c r="D7" i="2"/>
  <c r="D10" i="2" s="1"/>
  <c r="D32" i="2"/>
  <c r="E52" i="2" s="1"/>
  <c r="D30" i="2"/>
  <c r="D26" i="2"/>
  <c r="D50" i="2" s="1"/>
  <c r="F15" i="2"/>
  <c r="F17" i="2" s="1"/>
  <c r="F7" i="2"/>
  <c r="F10" i="2" s="1"/>
  <c r="F32" i="2"/>
  <c r="F30" i="2"/>
  <c r="F26" i="2"/>
  <c r="F31" i="2" s="1"/>
  <c r="E15" i="2"/>
  <c r="E17" i="2" s="1"/>
  <c r="E7" i="2"/>
  <c r="E10" i="2" s="1"/>
  <c r="E32" i="2"/>
  <c r="F52" i="2" s="1"/>
  <c r="E30" i="2"/>
  <c r="E26" i="2"/>
  <c r="O79" i="2"/>
  <c r="K79" i="2"/>
  <c r="K74" i="2"/>
  <c r="K76" i="2" s="1"/>
  <c r="G75" i="2"/>
  <c r="G65" i="2"/>
  <c r="G74" i="2" s="1"/>
  <c r="G34" i="2"/>
  <c r="U34" i="2" s="1"/>
  <c r="G32" i="2"/>
  <c r="G30" i="2"/>
  <c r="G26" i="2"/>
  <c r="G31" i="2" s="1"/>
  <c r="G15" i="2"/>
  <c r="G17" i="2" s="1"/>
  <c r="G10" i="2"/>
  <c r="O66" i="2"/>
  <c r="O74" i="2" s="1"/>
  <c r="O43" i="2"/>
  <c r="K34" i="2"/>
  <c r="K32" i="2"/>
  <c r="K52" i="2" s="1"/>
  <c r="K30" i="2"/>
  <c r="K26" i="2"/>
  <c r="O34" i="2"/>
  <c r="O32" i="2"/>
  <c r="O52" i="2" s="1"/>
  <c r="O30" i="2"/>
  <c r="O26" i="2"/>
  <c r="O15" i="2"/>
  <c r="O17" i="2" s="1"/>
  <c r="S17" i="2" s="1"/>
  <c r="M15" i="2"/>
  <c r="M17" i="2" s="1"/>
  <c r="Q17" i="2" s="1"/>
  <c r="L15" i="2"/>
  <c r="L17" i="2" s="1"/>
  <c r="P17" i="2" s="1"/>
  <c r="K15" i="2"/>
  <c r="K17" i="2" s="1"/>
  <c r="J15" i="2"/>
  <c r="J17" i="2" s="1"/>
  <c r="I15" i="2"/>
  <c r="I17" i="2" s="1"/>
  <c r="H15" i="2"/>
  <c r="H17" i="2" s="1"/>
  <c r="N15" i="2"/>
  <c r="N17" i="2"/>
  <c r="R17" i="2" s="1"/>
  <c r="O10" i="2"/>
  <c r="N7" i="2"/>
  <c r="N10" i="2" s="1"/>
  <c r="M7" i="2"/>
  <c r="M10" i="2" s="1"/>
  <c r="L7" i="2"/>
  <c r="L10" i="2" s="1"/>
  <c r="J7" i="2"/>
  <c r="J10" i="2" s="1"/>
  <c r="I7" i="2"/>
  <c r="I10" i="2" s="1"/>
  <c r="H7" i="2"/>
  <c r="H10" i="2" s="1"/>
  <c r="K10" i="2"/>
  <c r="H32" i="2"/>
  <c r="H52" i="2" s="1"/>
  <c r="H30" i="2"/>
  <c r="H26" i="2"/>
  <c r="H50" i="2" s="1"/>
  <c r="L34" i="2"/>
  <c r="L32" i="2"/>
  <c r="L52" i="2"/>
  <c r="L30" i="2"/>
  <c r="L26" i="2"/>
  <c r="L50" i="2" s="1"/>
  <c r="V3" i="2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M43" i="2"/>
  <c r="L43" i="2"/>
  <c r="K43" i="2"/>
  <c r="J43" i="2"/>
  <c r="H43" i="2"/>
  <c r="I34" i="2"/>
  <c r="I32" i="2"/>
  <c r="I52" i="2" s="1"/>
  <c r="I30" i="2"/>
  <c r="I26" i="2"/>
  <c r="M34" i="2"/>
  <c r="M32" i="2"/>
  <c r="M52" i="2" s="1"/>
  <c r="M26" i="2"/>
  <c r="M50" i="2" s="1"/>
  <c r="M30" i="2"/>
  <c r="N9" i="1"/>
  <c r="N43" i="2"/>
  <c r="J32" i="2"/>
  <c r="J52" i="2" s="1"/>
  <c r="J30" i="2"/>
  <c r="J26" i="2"/>
  <c r="J50" i="2" s="1"/>
  <c r="N32" i="2"/>
  <c r="N52" i="2" s="1"/>
  <c r="N30" i="2"/>
  <c r="N26" i="2"/>
  <c r="N50" i="2" s="1"/>
  <c r="N6" i="1"/>
  <c r="N5" i="1"/>
  <c r="N4" i="1"/>
  <c r="N7" i="1" s="1"/>
  <c r="Y52" i="2" l="1"/>
  <c r="Y33" i="2"/>
  <c r="AF25" i="2"/>
  <c r="AG25" i="2"/>
  <c r="AH25" i="2"/>
  <c r="AB43" i="2"/>
  <c r="AC24" i="2"/>
  <c r="AD24" i="2" s="1"/>
  <c r="AA31" i="2"/>
  <c r="Z31" i="2"/>
  <c r="Y34" i="2"/>
  <c r="Y51" i="2" s="1"/>
  <c r="X51" i="2"/>
  <c r="AB26" i="2"/>
  <c r="AB31" i="2" s="1"/>
  <c r="AD46" i="2"/>
  <c r="AC30" i="2"/>
  <c r="Y47" i="2"/>
  <c r="AA46" i="2"/>
  <c r="Z46" i="2"/>
  <c r="V34" i="2"/>
  <c r="W31" i="2"/>
  <c r="P30" i="2"/>
  <c r="Q7" i="2"/>
  <c r="Q10" i="2" s="1"/>
  <c r="Q24" i="2" s="1"/>
  <c r="V26" i="2"/>
  <c r="V31" i="2" s="1"/>
  <c r="P7" i="2"/>
  <c r="P10" i="2" s="1"/>
  <c r="P24" i="2" s="1"/>
  <c r="P52" i="2" s="1"/>
  <c r="F33" i="2"/>
  <c r="F35" i="2" s="1"/>
  <c r="F37" i="2" s="1"/>
  <c r="S10" i="2"/>
  <c r="S24" i="2" s="1"/>
  <c r="P46" i="2"/>
  <c r="S30" i="2"/>
  <c r="R30" i="2"/>
  <c r="R46" i="2"/>
  <c r="S46" i="2"/>
  <c r="Q46" i="2"/>
  <c r="W32" i="2"/>
  <c r="W52" i="2" s="1"/>
  <c r="V43" i="2"/>
  <c r="U30" i="2"/>
  <c r="U31" i="2" s="1"/>
  <c r="R7" i="2"/>
  <c r="R10" i="2" s="1"/>
  <c r="R24" i="2" s="1"/>
  <c r="U32" i="2"/>
  <c r="U52" i="2" s="1"/>
  <c r="W22" i="2"/>
  <c r="W34" i="2"/>
  <c r="W43" i="2"/>
  <c r="U50" i="2"/>
  <c r="R26" i="2"/>
  <c r="R50" i="2" s="1"/>
  <c r="J18" i="2"/>
  <c r="V32" i="2"/>
  <c r="V52" i="2" s="1"/>
  <c r="L19" i="2"/>
  <c r="V22" i="2"/>
  <c r="W50" i="2"/>
  <c r="W7" i="2"/>
  <c r="I18" i="2"/>
  <c r="U7" i="2"/>
  <c r="U10" i="2" s="1"/>
  <c r="V7" i="2"/>
  <c r="L18" i="2"/>
  <c r="M18" i="2"/>
  <c r="O18" i="2"/>
  <c r="M31" i="2"/>
  <c r="M33" i="2" s="1"/>
  <c r="M35" i="2" s="1"/>
  <c r="M37" i="2" s="1"/>
  <c r="N18" i="2"/>
  <c r="H18" i="2"/>
  <c r="H19" i="2"/>
  <c r="I31" i="2"/>
  <c r="I33" i="2" s="1"/>
  <c r="I35" i="2" s="1"/>
  <c r="I37" i="2" s="1"/>
  <c r="K18" i="2"/>
  <c r="M19" i="2"/>
  <c r="I19" i="2"/>
  <c r="O19" i="2"/>
  <c r="G50" i="2"/>
  <c r="K19" i="2"/>
  <c r="D52" i="2"/>
  <c r="E31" i="2"/>
  <c r="E33" i="2" s="1"/>
  <c r="E35" i="2" s="1"/>
  <c r="E37" i="2" s="1"/>
  <c r="E50" i="2"/>
  <c r="N19" i="2"/>
  <c r="H31" i="2"/>
  <c r="H33" i="2" s="1"/>
  <c r="H51" i="2" s="1"/>
  <c r="D31" i="2"/>
  <c r="D33" i="2" s="1"/>
  <c r="E51" i="2" s="1"/>
  <c r="F50" i="2"/>
  <c r="J19" i="2"/>
  <c r="G79" i="2"/>
  <c r="G76" i="2"/>
  <c r="O76" i="2"/>
  <c r="G33" i="2"/>
  <c r="G35" i="2" s="1"/>
  <c r="G37" i="2" s="1"/>
  <c r="O31" i="2"/>
  <c r="O33" i="2" s="1"/>
  <c r="O35" i="2" s="1"/>
  <c r="O37" i="2" s="1"/>
  <c r="I50" i="2"/>
  <c r="O50" i="2"/>
  <c r="G52" i="2"/>
  <c r="K31" i="2"/>
  <c r="K33" i="2" s="1"/>
  <c r="K35" i="2" s="1"/>
  <c r="K37" i="2" s="1"/>
  <c r="K50" i="2"/>
  <c r="L31" i="2"/>
  <c r="L33" i="2" s="1"/>
  <c r="J31" i="2"/>
  <c r="N31" i="2"/>
  <c r="N33" i="2" s="1"/>
  <c r="J33" i="2"/>
  <c r="J51" i="2" s="1"/>
  <c r="AN25" i="2" l="1"/>
  <c r="AM25" i="2"/>
  <c r="AL25" i="2"/>
  <c r="AK25" i="2"/>
  <c r="AB50" i="2"/>
  <c r="Y35" i="2"/>
  <c r="Y55" i="2" s="1"/>
  <c r="AC26" i="2"/>
  <c r="AC31" i="2" s="1"/>
  <c r="AE46" i="2"/>
  <c r="AC47" i="2"/>
  <c r="AD30" i="2"/>
  <c r="AC46" i="2"/>
  <c r="AB46" i="2"/>
  <c r="AC43" i="2"/>
  <c r="AC50" i="2"/>
  <c r="V33" i="2"/>
  <c r="V35" i="2" s="1"/>
  <c r="V37" i="2" s="1"/>
  <c r="V50" i="2"/>
  <c r="Q52" i="2"/>
  <c r="Q26" i="2"/>
  <c r="Q50" i="2" s="1"/>
  <c r="Q43" i="2"/>
  <c r="R25" i="2"/>
  <c r="R43" i="2"/>
  <c r="Q25" i="2"/>
  <c r="P26" i="2"/>
  <c r="P31" i="2" s="1"/>
  <c r="P33" i="2" s="1"/>
  <c r="S26" i="2"/>
  <c r="R31" i="2"/>
  <c r="S43" i="2"/>
  <c r="Q31" i="2"/>
  <c r="Q33" i="2" s="1"/>
  <c r="P43" i="2"/>
  <c r="W33" i="2"/>
  <c r="W35" i="2" s="1"/>
  <c r="W37" i="2" s="1"/>
  <c r="V51" i="2"/>
  <c r="U33" i="2"/>
  <c r="U35" i="2" s="1"/>
  <c r="U37" i="2" s="1"/>
  <c r="W10" i="2"/>
  <c r="W21" i="2"/>
  <c r="U51" i="2"/>
  <c r="V10" i="2"/>
  <c r="V21" i="2"/>
  <c r="F51" i="2"/>
  <c r="D35" i="2"/>
  <c r="D37" i="2" s="1"/>
  <c r="D51" i="2"/>
  <c r="O51" i="2"/>
  <c r="H35" i="2"/>
  <c r="H37" i="2" s="1"/>
  <c r="M51" i="2"/>
  <c r="G51" i="2"/>
  <c r="K51" i="2"/>
  <c r="I51" i="2"/>
  <c r="L35" i="2"/>
  <c r="L51" i="2"/>
  <c r="N35" i="2"/>
  <c r="N37" i="2" s="1"/>
  <c r="N51" i="2"/>
  <c r="J35" i="2"/>
  <c r="J37" i="2" s="1"/>
  <c r="Z32" i="2" l="1"/>
  <c r="AD26" i="2"/>
  <c r="AD31" i="2" s="1"/>
  <c r="AF46" i="2"/>
  <c r="AD47" i="2"/>
  <c r="AE30" i="2"/>
  <c r="AD50" i="2"/>
  <c r="AD43" i="2"/>
  <c r="P34" i="2"/>
  <c r="P51" i="2" s="1"/>
  <c r="Q34" i="2"/>
  <c r="Q51" i="2" s="1"/>
  <c r="W51" i="2"/>
  <c r="S25" i="2"/>
  <c r="S50" i="2"/>
  <c r="S31" i="2"/>
  <c r="P50" i="2"/>
  <c r="P25" i="2"/>
  <c r="G59" i="2"/>
  <c r="K59" i="2"/>
  <c r="L37" i="2"/>
  <c r="O59" i="2"/>
  <c r="Z33" i="2" l="1"/>
  <c r="Z52" i="2"/>
  <c r="AE31" i="2"/>
  <c r="AH27" i="2"/>
  <c r="AG46" i="2"/>
  <c r="AE47" i="2"/>
  <c r="AF30" i="2"/>
  <c r="AE43" i="2"/>
  <c r="Q35" i="2"/>
  <c r="P35" i="2"/>
  <c r="P37" i="2" s="1"/>
  <c r="AE50" i="2" l="1"/>
  <c r="Z34" i="2"/>
  <c r="Z51" i="2" s="1"/>
  <c r="AF31" i="2"/>
  <c r="AI27" i="2"/>
  <c r="AH46" i="2"/>
  <c r="AF47" i="2"/>
  <c r="AG30" i="2"/>
  <c r="AF43" i="2"/>
  <c r="AF50" i="2"/>
  <c r="Q37" i="2"/>
  <c r="Q55" i="2"/>
  <c r="Z35" i="2" l="1"/>
  <c r="AH24" i="2"/>
  <c r="AG31" i="2"/>
  <c r="AJ27" i="2"/>
  <c r="AI46" i="2"/>
  <c r="AG47" i="2"/>
  <c r="AH28" i="2"/>
  <c r="AH30" i="2" s="1"/>
  <c r="AG43" i="2"/>
  <c r="AG50" i="2"/>
  <c r="R32" i="2"/>
  <c r="Z55" i="2" l="1"/>
  <c r="AA32" i="2"/>
  <c r="AI24" i="2"/>
  <c r="AH31" i="2"/>
  <c r="AJ46" i="2"/>
  <c r="AH47" i="2"/>
  <c r="AI28" i="2"/>
  <c r="AI30" i="2" s="1"/>
  <c r="AH43" i="2"/>
  <c r="AH50" i="2"/>
  <c r="R52" i="2"/>
  <c r="R33" i="2"/>
  <c r="AA33" i="2" l="1"/>
  <c r="AA52" i="2"/>
  <c r="AJ24" i="2"/>
  <c r="AI31" i="2"/>
  <c r="AK46" i="2"/>
  <c r="AI47" i="2"/>
  <c r="AJ28" i="2"/>
  <c r="AJ30" i="2" s="1"/>
  <c r="AI50" i="2"/>
  <c r="AI43" i="2"/>
  <c r="R34" i="2"/>
  <c r="R51" i="2" s="1"/>
  <c r="AA34" i="2" l="1"/>
  <c r="AA51" i="2" s="1"/>
  <c r="AK24" i="2"/>
  <c r="AJ31" i="2"/>
  <c r="AM27" i="2"/>
  <c r="AL46" i="2"/>
  <c r="AJ47" i="2"/>
  <c r="AK30" i="2"/>
  <c r="AJ43" i="2"/>
  <c r="AJ50" i="2"/>
  <c r="R35" i="2"/>
  <c r="AA35" i="2" l="1"/>
  <c r="AL24" i="2"/>
  <c r="AK31" i="2"/>
  <c r="AN27" i="2"/>
  <c r="AM46" i="2"/>
  <c r="AK47" i="2"/>
  <c r="AL30" i="2"/>
  <c r="AK43" i="2"/>
  <c r="AK50" i="2"/>
  <c r="R37" i="2"/>
  <c r="R55" i="2"/>
  <c r="AN46" i="2" l="1"/>
  <c r="AA55" i="2"/>
  <c r="AB32" i="2"/>
  <c r="AL31" i="2"/>
  <c r="AL47" i="2"/>
  <c r="AM28" i="2"/>
  <c r="AM30" i="2" s="1"/>
  <c r="AL43" i="2"/>
  <c r="AL50" i="2"/>
  <c r="S32" i="2"/>
  <c r="AB33" i="2" l="1"/>
  <c r="AB52" i="2"/>
  <c r="AN26" i="2"/>
  <c r="AM31" i="2"/>
  <c r="AN28" i="2"/>
  <c r="AM47" i="2"/>
  <c r="AM43" i="2"/>
  <c r="AM50" i="2"/>
  <c r="S52" i="2"/>
  <c r="S33" i="2"/>
  <c r="AN47" i="2" l="1"/>
  <c r="AN30" i="2"/>
  <c r="AN31" i="2" s="1"/>
  <c r="AB34" i="2"/>
  <c r="AB51" i="2" s="1"/>
  <c r="AN43" i="2"/>
  <c r="AN50" i="2"/>
  <c r="S34" i="2"/>
  <c r="S51" i="2" s="1"/>
  <c r="S35" i="2"/>
  <c r="AB35" i="2" l="1"/>
  <c r="S37" i="2"/>
  <c r="S55" i="2"/>
  <c r="AB55" i="2" l="1"/>
  <c r="AC32" i="2"/>
  <c r="AC33" i="2" l="1"/>
  <c r="AC52" i="2"/>
  <c r="AC34" i="2" l="1"/>
  <c r="AC51" i="2" s="1"/>
  <c r="AC35" i="2" l="1"/>
  <c r="AC55" i="2" l="1"/>
  <c r="AD32" i="2"/>
  <c r="AD33" i="2" l="1"/>
  <c r="AD52" i="2"/>
  <c r="AD34" i="2" l="1"/>
  <c r="AD51" i="2" s="1"/>
  <c r="AD35" i="2"/>
  <c r="AD55" i="2" l="1"/>
  <c r="AE32" i="2"/>
  <c r="AE33" i="2" l="1"/>
  <c r="AE52" i="2"/>
  <c r="AE34" i="2" l="1"/>
  <c r="AE51" i="2" s="1"/>
  <c r="AE35" i="2" l="1"/>
  <c r="AE55" i="2" s="1"/>
  <c r="AF32" i="2" l="1"/>
  <c r="AF33" i="2" l="1"/>
  <c r="AF52" i="2"/>
  <c r="AF34" i="2" l="1"/>
  <c r="AF51" i="2" s="1"/>
  <c r="AF35" i="2" l="1"/>
  <c r="AF55" i="2" s="1"/>
  <c r="AG32" i="2" s="1"/>
  <c r="AG33" i="2" l="1"/>
  <c r="AG52" i="2"/>
  <c r="AG34" i="2" l="1"/>
  <c r="AG51" i="2" s="1"/>
  <c r="AG35" i="2" l="1"/>
  <c r="AG55" i="2" s="1"/>
  <c r="AH32" i="2" l="1"/>
  <c r="AH33" i="2" l="1"/>
  <c r="AH52" i="2"/>
  <c r="AH34" i="2" l="1"/>
  <c r="AH51" i="2" s="1"/>
  <c r="AH35" i="2" l="1"/>
  <c r="AH55" i="2" s="1"/>
  <c r="AI32" i="2" l="1"/>
  <c r="AI33" i="2" l="1"/>
  <c r="AI52" i="2"/>
  <c r="AI34" i="2" l="1"/>
  <c r="AI51" i="2" s="1"/>
  <c r="AI35" i="2" l="1"/>
  <c r="AI55" i="2" s="1"/>
  <c r="AJ32" i="2" l="1"/>
  <c r="AJ33" i="2" l="1"/>
  <c r="AJ52" i="2"/>
  <c r="AJ34" i="2" l="1"/>
  <c r="AJ51" i="2" s="1"/>
  <c r="AJ35" i="2" l="1"/>
  <c r="AJ55" i="2" s="1"/>
  <c r="AK32" i="2" s="1"/>
  <c r="AK33" i="2" l="1"/>
  <c r="AK52" i="2"/>
  <c r="AK34" i="2" l="1"/>
  <c r="AK51" i="2" s="1"/>
  <c r="AK35" i="2" l="1"/>
  <c r="AK55" i="2" s="1"/>
  <c r="AL32" i="2" l="1"/>
  <c r="AL33" i="2" l="1"/>
  <c r="AL52" i="2"/>
  <c r="AL34" i="2" l="1"/>
  <c r="AL51" i="2" s="1"/>
  <c r="AL35" i="2" l="1"/>
  <c r="AL55" i="2" s="1"/>
  <c r="AM32" i="2" l="1"/>
  <c r="AM33" i="2" l="1"/>
  <c r="AM52" i="2"/>
  <c r="AM34" i="2" l="1"/>
  <c r="AM51" i="2" s="1"/>
  <c r="AM35" i="2" l="1"/>
  <c r="AM55" i="2" s="1"/>
  <c r="AN32" i="2" l="1"/>
  <c r="AN33" i="2" l="1"/>
  <c r="AN52" i="2"/>
  <c r="AN34" i="2" l="1"/>
  <c r="AN51" i="2" s="1"/>
  <c r="AN35" i="2" l="1"/>
  <c r="AN55" i="2" l="1"/>
  <c r="AO35" i="2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BN35" i="2" s="1"/>
  <c r="BO35" i="2" s="1"/>
  <c r="BP35" i="2" s="1"/>
  <c r="BQ35" i="2" s="1"/>
  <c r="BR35" i="2" s="1"/>
  <c r="BS35" i="2" s="1"/>
  <c r="BT35" i="2" s="1"/>
  <c r="BU35" i="2" s="1"/>
  <c r="BV35" i="2" s="1"/>
  <c r="BW35" i="2" s="1"/>
  <c r="BX35" i="2" s="1"/>
  <c r="BY35" i="2" s="1"/>
  <c r="BZ35" i="2" s="1"/>
  <c r="CA35" i="2" s="1"/>
  <c r="CB35" i="2" s="1"/>
  <c r="CC35" i="2" s="1"/>
  <c r="CD35" i="2" s="1"/>
  <c r="CE35" i="2" s="1"/>
  <c r="CF35" i="2" s="1"/>
  <c r="CG35" i="2" s="1"/>
  <c r="CH35" i="2" s="1"/>
  <c r="CI35" i="2" s="1"/>
  <c r="CJ35" i="2" s="1"/>
  <c r="CK35" i="2" s="1"/>
  <c r="CL35" i="2" s="1"/>
  <c r="CM35" i="2" s="1"/>
  <c r="CN35" i="2" s="1"/>
  <c r="CO35" i="2" s="1"/>
  <c r="CP35" i="2" s="1"/>
  <c r="CQ35" i="2" s="1"/>
  <c r="CR35" i="2" s="1"/>
  <c r="CS35" i="2" s="1"/>
  <c r="CT35" i="2" s="1"/>
  <c r="CU35" i="2" s="1"/>
  <c r="CV35" i="2" s="1"/>
  <c r="CW35" i="2" s="1"/>
  <c r="CX35" i="2" s="1"/>
  <c r="CY35" i="2" s="1"/>
  <c r="CZ35" i="2" s="1"/>
  <c r="DA35" i="2" s="1"/>
  <c r="DB35" i="2" s="1"/>
  <c r="DC35" i="2" s="1"/>
  <c r="DD35" i="2" s="1"/>
  <c r="DE35" i="2" s="1"/>
  <c r="DF35" i="2" s="1"/>
  <c r="DG35" i="2" s="1"/>
  <c r="DH35" i="2" s="1"/>
  <c r="DI35" i="2" s="1"/>
  <c r="DJ35" i="2" s="1"/>
  <c r="DK35" i="2" s="1"/>
  <c r="DL35" i="2" s="1"/>
  <c r="DM35" i="2" s="1"/>
  <c r="DN35" i="2" s="1"/>
  <c r="AR47" i="2" s="1"/>
  <c r="AR49" i="2" s="1"/>
  <c r="AR5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Angelo Wong</author>
  </authors>
  <commentList>
    <comment ref="Z3" authorId="0" shapeId="0" xr:uid="{8F7B9F07-AB8D-B049-B06F-14B2D3462D7B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Slower pipeline</t>
        </r>
      </text>
    </comment>
    <comment ref="S28" authorId="0" shapeId="0" xr:uid="{ACF224C5-EC97-CA48-BE28-27898E29E8E1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pipeline post 2026 will slow</t>
        </r>
      </text>
    </comment>
    <comment ref="S30" authorId="0" shapeId="0" xr:uid="{9F7F1BC4-8307-4B41-980E-47C3521DC40A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Cut 10bn in cost 2025
</t>
        </r>
      </text>
    </comment>
    <comment ref="O78" authorId="0" shapeId="0" xr:uid="{E4236B43-4318-C247-8B3C-2172A3115918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They are pausing dividend until cash flow improves</t>
        </r>
      </text>
    </comment>
  </commentList>
</comments>
</file>

<file path=xl/sharedStrings.xml><?xml version="1.0" encoding="utf-8"?>
<sst xmlns="http://schemas.openxmlformats.org/spreadsheetml/2006/main" count="129" uniqueCount="117">
  <si>
    <t>Price</t>
  </si>
  <si>
    <t>Shares</t>
  </si>
  <si>
    <t>MC</t>
  </si>
  <si>
    <t>Cash</t>
  </si>
  <si>
    <t>Debt</t>
  </si>
  <si>
    <t>EV</t>
  </si>
  <si>
    <t>Q324</t>
  </si>
  <si>
    <t>Revenue</t>
  </si>
  <si>
    <t>Q123</t>
  </si>
  <si>
    <t>Q223</t>
  </si>
  <si>
    <t>Q323</t>
  </si>
  <si>
    <t>Q423</t>
  </si>
  <si>
    <t>Q124</t>
  </si>
  <si>
    <t>Q224</t>
  </si>
  <si>
    <t>Q424</t>
  </si>
  <si>
    <t>Q125</t>
  </si>
  <si>
    <t>COGs</t>
  </si>
  <si>
    <t>GP</t>
  </si>
  <si>
    <t>R&amp;D</t>
  </si>
  <si>
    <t>Restructuring</t>
  </si>
  <si>
    <t>OpEx</t>
  </si>
  <si>
    <t>Op Income</t>
  </si>
  <si>
    <t>Interest Income</t>
  </si>
  <si>
    <t>Pretax Income</t>
  </si>
  <si>
    <t>Taxes</t>
  </si>
  <si>
    <t>Net Income</t>
  </si>
  <si>
    <t>EPS</t>
  </si>
  <si>
    <t>Rev yy</t>
  </si>
  <si>
    <t>GM %</t>
  </si>
  <si>
    <t>OM %</t>
  </si>
  <si>
    <t>Desktop</t>
  </si>
  <si>
    <t>Notebook</t>
  </si>
  <si>
    <t>Other</t>
  </si>
  <si>
    <t>Data Center &amp; AI</t>
  </si>
  <si>
    <t>Network &amp; Edge</t>
  </si>
  <si>
    <t>Altera</t>
  </si>
  <si>
    <t>Mobileeye</t>
  </si>
  <si>
    <t>Intersegment elimination</t>
  </si>
  <si>
    <t>Foundry</t>
  </si>
  <si>
    <t>Net Cash</t>
  </si>
  <si>
    <t>Q122</t>
  </si>
  <si>
    <t>Q222</t>
  </si>
  <si>
    <t>Q322</t>
  </si>
  <si>
    <t>Q422</t>
  </si>
  <si>
    <t>Product Rev</t>
  </si>
  <si>
    <t>Annual</t>
  </si>
  <si>
    <t>Model NI</t>
  </si>
  <si>
    <t>Reported NI</t>
  </si>
  <si>
    <t>Client Computing Group</t>
  </si>
  <si>
    <t>All Other In Foundry</t>
  </si>
  <si>
    <t>Depreciation</t>
  </si>
  <si>
    <t>SBC</t>
  </si>
  <si>
    <t>Restructure</t>
  </si>
  <si>
    <t>Amortization</t>
  </si>
  <si>
    <t>Investments</t>
  </si>
  <si>
    <t>D/T</t>
  </si>
  <si>
    <t>Impairments PPE</t>
  </si>
  <si>
    <t>A/R</t>
  </si>
  <si>
    <t>Inventories</t>
  </si>
  <si>
    <t>A/P</t>
  </si>
  <si>
    <t>Compensation</t>
  </si>
  <si>
    <t>CFFO</t>
  </si>
  <si>
    <t>Capex</t>
  </si>
  <si>
    <t>FCF</t>
  </si>
  <si>
    <t>Prepaids</t>
  </si>
  <si>
    <t>CFFI</t>
  </si>
  <si>
    <t>CFFF</t>
  </si>
  <si>
    <t>Cash Flow</t>
  </si>
  <si>
    <t>Product Growth</t>
  </si>
  <si>
    <t>Foundry Growth</t>
  </si>
  <si>
    <t>Foundry Rev</t>
  </si>
  <si>
    <t>Processes</t>
  </si>
  <si>
    <t>Intel 7</t>
  </si>
  <si>
    <t>Size</t>
  </si>
  <si>
    <t>7nm</t>
  </si>
  <si>
    <t>Intel 4</t>
  </si>
  <si>
    <t>Intel 3</t>
  </si>
  <si>
    <t>3nm</t>
  </si>
  <si>
    <t>7nm, but more dense vias</t>
  </si>
  <si>
    <t>Significant portion of products in 2025</t>
  </si>
  <si>
    <t>High volume manufacturing in 2024, increasing portion of production in 2025</t>
  </si>
  <si>
    <t>Fab lab</t>
  </si>
  <si>
    <t>Fab 34, INTC only 49% stake</t>
  </si>
  <si>
    <t>Data center products. Xeon/server offerings built on this technology, was in Oregon 2024, shift to Ireland for high production manufacturing in 2025.</t>
  </si>
  <si>
    <t>18A</t>
  </si>
  <si>
    <t>Equiv 1.8nm, compete with TSMC 2nm. PowerVia (backside power to have more space for dataflow) + RibbonFET (instead of a channel in a transistor, broken down into many nano bridge channels for better drive/power)</t>
  </si>
  <si>
    <t>14A</t>
  </si>
  <si>
    <t>In R&amp;D</t>
  </si>
  <si>
    <t>Schedule/Plan</t>
  </si>
  <si>
    <t>High volume manufacturing of panther lake in 2025</t>
  </si>
  <si>
    <t>Better perf-per-watt than 18A</t>
  </si>
  <si>
    <t>Segment</t>
  </si>
  <si>
    <t>Consumer</t>
  </si>
  <si>
    <t>Intel Core Ultra consumer</t>
  </si>
  <si>
    <t>Data Center</t>
  </si>
  <si>
    <t>?</t>
  </si>
  <si>
    <t>Consumer, Panther Lake</t>
  </si>
  <si>
    <t>2025 consumer bump</t>
  </si>
  <si>
    <t>2025 same consumer</t>
  </si>
  <si>
    <t>H2 2025 consumer bump</t>
  </si>
  <si>
    <t>Client Compute Growth</t>
  </si>
  <si>
    <t>Data Center  Growth</t>
  </si>
  <si>
    <t>Q225</t>
  </si>
  <si>
    <t>Q325</t>
  </si>
  <si>
    <t>Q425</t>
  </si>
  <si>
    <t>2025 data center bump / mass ramp</t>
  </si>
  <si>
    <t>R&amp;D Growth</t>
  </si>
  <si>
    <t>S&amp;M&amp;G&amp;A</t>
  </si>
  <si>
    <t>S&amp;M&amp;G&amp;A Growth</t>
  </si>
  <si>
    <t>Discount Rate</t>
  </si>
  <si>
    <t>NPV</t>
  </si>
  <si>
    <t>ROIC</t>
  </si>
  <si>
    <t>Maturity</t>
  </si>
  <si>
    <t>Value</t>
  </si>
  <si>
    <t>Difference</t>
  </si>
  <si>
    <t>Main</t>
  </si>
  <si>
    <t>2/23/25 Pricing at 24.87 implies a DR of 8 with some optimism for 2025-2027 but assumes they won't do anything, ever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</si>
</sst>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2" fontId="0" fillId="0" borderId="0" xfId="0" applyNumberFormat="1"/>
    <xf numFmtId="4" fontId="0" fillId="0" borderId="0" xfId="0" applyNumberFormat="1"/>
    <xf numFmtId="9" fontId="0" fillId="0" borderId="0" xfId="0" applyNumberFormat="1"/>
    <xf numFmtId="0" fontId="2" fillId="0" borderId="0" xfId="0" applyFont="1"/>
    <xf numFmtId="3" fontId="1" fillId="0" borderId="0" xfId="0" applyNumberFormat="1" applyFont="1"/>
    <xf numFmtId="3" fontId="2" fillId="0" borderId="0" xfId="0" applyNumberFormat="1" applyFont="1"/>
    <xf numFmtId="38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88900</xdr:rowOff>
    </xdr:from>
    <xdr:to>
      <xdr:col>15</xdr:col>
      <xdr:colOff>0</xdr:colOff>
      <xdr:row>71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BBFEB82-C0DB-C059-4857-37AB28AB4172}"/>
            </a:ext>
          </a:extLst>
        </xdr:cNvPr>
        <xdr:cNvCxnSpPr/>
      </xdr:nvCxnSpPr>
      <xdr:spPr>
        <a:xfrm>
          <a:off x="12382500" y="292100"/>
          <a:ext cx="0" cy="12827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12700</xdr:colOff>
      <xdr:row>0</xdr:row>
      <xdr:rowOff>114300</xdr:rowOff>
    </xdr:from>
    <xdr:to>
      <xdr:col>23</xdr:col>
      <xdr:colOff>12700</xdr:colOff>
      <xdr:row>70</xdr:row>
      <xdr:rowOff>139700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4D03661-5397-C848-93ED-314035709176}"/>
            </a:ext>
          </a:extLst>
        </xdr:cNvPr>
        <xdr:cNvCxnSpPr/>
      </xdr:nvCxnSpPr>
      <xdr:spPr>
        <a:xfrm>
          <a:off x="17348200" y="114300"/>
          <a:ext cx="0" cy="11201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SaaS_Semi_Main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45B5-F837-2249-96E1-6EAEF78B643A}">
  <dimension ref="A1:O24"/>
  <sheetViews>
    <sheetView tabSelected="1" workbookViewId="0">
      <selection activeCell="E31" sqref="E31"/>
    </sheetView>
  </sheetViews>
  <sheetFormatPr baseColWidth="10" defaultRowHeight="16" x14ac:dyDescent="0.2"/>
  <cols>
    <col min="3" max="3" width="12.1640625" bestFit="1" customWidth="1"/>
    <col min="4" max="4" width="31.1640625" customWidth="1"/>
    <col min="5" max="5" width="15" customWidth="1"/>
  </cols>
  <sheetData>
    <row r="1" spans="1:15" x14ac:dyDescent="0.2">
      <c r="A1" s="10" t="s">
        <v>115</v>
      </c>
    </row>
    <row r="2" spans="1:15" x14ac:dyDescent="0.2">
      <c r="M2" s="1" t="s">
        <v>0</v>
      </c>
      <c r="N2">
        <v>25.71</v>
      </c>
    </row>
    <row r="3" spans="1:15" x14ac:dyDescent="0.2">
      <c r="M3" s="1" t="s">
        <v>1</v>
      </c>
      <c r="N3" s="2">
        <v>4313</v>
      </c>
      <c r="O3" t="s">
        <v>6</v>
      </c>
    </row>
    <row r="4" spans="1:15" x14ac:dyDescent="0.2">
      <c r="M4" s="1" t="s">
        <v>2</v>
      </c>
      <c r="N4" s="2">
        <f>N2*N3</f>
        <v>110887.23000000001</v>
      </c>
    </row>
    <row r="5" spans="1:15" x14ac:dyDescent="0.2">
      <c r="M5" s="1" t="s">
        <v>3</v>
      </c>
      <c r="N5" s="2">
        <f>8785+15301</f>
        <v>24086</v>
      </c>
      <c r="O5" t="s">
        <v>6</v>
      </c>
    </row>
    <row r="6" spans="1:15" x14ac:dyDescent="0.2">
      <c r="M6" s="1" t="s">
        <v>4</v>
      </c>
      <c r="N6" s="2">
        <f>3765+46471</f>
        <v>50236</v>
      </c>
      <c r="O6" t="s">
        <v>6</v>
      </c>
    </row>
    <row r="7" spans="1:15" x14ac:dyDescent="0.2">
      <c r="M7" s="1" t="s">
        <v>5</v>
      </c>
      <c r="N7" s="2">
        <f>N4-N5+N6</f>
        <v>137037.23000000001</v>
      </c>
    </row>
    <row r="9" spans="1:15" x14ac:dyDescent="0.2">
      <c r="M9" s="1" t="s">
        <v>39</v>
      </c>
      <c r="N9" s="2">
        <f>N5-N6</f>
        <v>-26150</v>
      </c>
    </row>
    <row r="14" spans="1:15" x14ac:dyDescent="0.2">
      <c r="B14" s="6" t="s">
        <v>71</v>
      </c>
      <c r="C14" s="6" t="s">
        <v>73</v>
      </c>
      <c r="D14" s="6" t="s">
        <v>88</v>
      </c>
      <c r="E14" s="6" t="s">
        <v>91</v>
      </c>
      <c r="F14" s="6" t="s">
        <v>81</v>
      </c>
    </row>
    <row r="15" spans="1:15" x14ac:dyDescent="0.2">
      <c r="B15" t="s">
        <v>72</v>
      </c>
      <c r="C15" t="s">
        <v>74</v>
      </c>
      <c r="D15" t="s">
        <v>79</v>
      </c>
      <c r="E15" t="s">
        <v>92</v>
      </c>
      <c r="G15" t="s">
        <v>98</v>
      </c>
    </row>
    <row r="16" spans="1:15" x14ac:dyDescent="0.2">
      <c r="B16" t="s">
        <v>75</v>
      </c>
      <c r="C16" t="s">
        <v>78</v>
      </c>
      <c r="D16" t="s">
        <v>80</v>
      </c>
      <c r="E16" t="s">
        <v>93</v>
      </c>
      <c r="F16" t="s">
        <v>82</v>
      </c>
      <c r="G16" t="s">
        <v>97</v>
      </c>
    </row>
    <row r="17" spans="2:7" x14ac:dyDescent="0.2">
      <c r="B17" t="s">
        <v>76</v>
      </c>
      <c r="C17" t="s">
        <v>77</v>
      </c>
      <c r="D17" t="s">
        <v>83</v>
      </c>
      <c r="E17" t="s">
        <v>94</v>
      </c>
      <c r="G17" t="s">
        <v>105</v>
      </c>
    </row>
    <row r="18" spans="2:7" x14ac:dyDescent="0.2">
      <c r="B18" t="s">
        <v>84</v>
      </c>
      <c r="C18" t="s">
        <v>85</v>
      </c>
      <c r="D18" t="s">
        <v>89</v>
      </c>
      <c r="E18" t="s">
        <v>96</v>
      </c>
      <c r="G18" t="s">
        <v>99</v>
      </c>
    </row>
    <row r="19" spans="2:7" x14ac:dyDescent="0.2">
      <c r="B19" t="s">
        <v>86</v>
      </c>
      <c r="C19" t="s">
        <v>90</v>
      </c>
      <c r="D19" t="s">
        <v>87</v>
      </c>
      <c r="E19" t="s">
        <v>95</v>
      </c>
    </row>
    <row r="24" spans="2:7" x14ac:dyDescent="0.2">
      <c r="B24" t="s">
        <v>116</v>
      </c>
    </row>
  </sheetData>
  <hyperlinks>
    <hyperlink ref="A1" r:id="rId1" xr:uid="{CB28D4C7-CC4D-FB43-AD1E-861AF83627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415DA-6686-1C4D-96FC-F3997712CAB0}">
  <dimension ref="C3:DN84"/>
  <sheetViews>
    <sheetView workbookViewId="0">
      <pane xSplit="3" ySplit="3" topLeftCell="Q15" activePane="bottomRight" state="frozen"/>
      <selection pane="topRight" activeCell="D1" sqref="D1"/>
      <selection pane="bottomLeft" activeCell="A4" sqref="A4"/>
      <selection pane="bottomRight" activeCell="D43" sqref="D43"/>
    </sheetView>
  </sheetViews>
  <sheetFormatPr baseColWidth="10" defaultRowHeight="16" x14ac:dyDescent="0.2"/>
  <cols>
    <col min="44" max="44" width="11.83203125" bestFit="1" customWidth="1"/>
  </cols>
  <sheetData>
    <row r="3" spans="3:40" x14ac:dyDescent="0.2">
      <c r="D3" t="s">
        <v>40</v>
      </c>
      <c r="E3" t="s">
        <v>41</v>
      </c>
      <c r="F3" t="s">
        <v>42</v>
      </c>
      <c r="G3" t="s">
        <v>43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6</v>
      </c>
      <c r="O3" t="s">
        <v>14</v>
      </c>
      <c r="P3" t="s">
        <v>15</v>
      </c>
      <c r="Q3" t="s">
        <v>102</v>
      </c>
      <c r="R3" t="s">
        <v>103</v>
      </c>
      <c r="S3" t="s">
        <v>104</v>
      </c>
      <c r="U3">
        <v>2022</v>
      </c>
      <c r="V3">
        <f>+U3+1</f>
        <v>2023</v>
      </c>
      <c r="W3">
        <f t="shared" ref="W3:AN3" si="0">+V3+1</f>
        <v>2024</v>
      </c>
      <c r="X3">
        <f t="shared" si="0"/>
        <v>2025</v>
      </c>
      <c r="Y3">
        <f t="shared" si="0"/>
        <v>2026</v>
      </c>
      <c r="Z3">
        <f t="shared" si="0"/>
        <v>2027</v>
      </c>
      <c r="AA3">
        <f t="shared" si="0"/>
        <v>2028</v>
      </c>
      <c r="AB3">
        <f t="shared" si="0"/>
        <v>2029</v>
      </c>
      <c r="AC3">
        <f t="shared" si="0"/>
        <v>2030</v>
      </c>
      <c r="AD3">
        <f t="shared" si="0"/>
        <v>2031</v>
      </c>
      <c r="AE3">
        <f t="shared" si="0"/>
        <v>2032</v>
      </c>
      <c r="AF3">
        <f t="shared" si="0"/>
        <v>2033</v>
      </c>
      <c r="AG3">
        <f t="shared" si="0"/>
        <v>2034</v>
      </c>
      <c r="AH3">
        <f t="shared" si="0"/>
        <v>2035</v>
      </c>
      <c r="AI3">
        <f t="shared" si="0"/>
        <v>2036</v>
      </c>
      <c r="AJ3">
        <f t="shared" si="0"/>
        <v>2037</v>
      </c>
      <c r="AK3">
        <f t="shared" si="0"/>
        <v>2038</v>
      </c>
      <c r="AL3">
        <f t="shared" si="0"/>
        <v>2039</v>
      </c>
      <c r="AM3">
        <f t="shared" si="0"/>
        <v>2040</v>
      </c>
      <c r="AN3">
        <f t="shared" si="0"/>
        <v>2041</v>
      </c>
    </row>
    <row r="4" spans="3:40" s="2" customFormat="1" x14ac:dyDescent="0.2">
      <c r="C4" s="2" t="s">
        <v>30</v>
      </c>
      <c r="D4" s="2">
        <v>2641</v>
      </c>
      <c r="E4" s="2">
        <v>2289</v>
      </c>
      <c r="F4" s="2">
        <v>3222</v>
      </c>
      <c r="H4" s="2">
        <v>1879</v>
      </c>
      <c r="I4" s="2">
        <v>2370</v>
      </c>
      <c r="J4" s="2">
        <v>2753</v>
      </c>
      <c r="L4" s="2">
        <v>2461</v>
      </c>
      <c r="M4" s="2">
        <v>2527</v>
      </c>
      <c r="N4" s="2">
        <v>2070</v>
      </c>
    </row>
    <row r="5" spans="3:40" s="2" customFormat="1" x14ac:dyDescent="0.2">
      <c r="C5" s="2" t="s">
        <v>31</v>
      </c>
      <c r="D5" s="2">
        <v>5959</v>
      </c>
      <c r="E5" s="2">
        <v>4751</v>
      </c>
      <c r="F5" s="2">
        <v>4410</v>
      </c>
      <c r="H5" s="2">
        <v>3407</v>
      </c>
      <c r="I5" s="2">
        <v>3896</v>
      </c>
      <c r="J5" s="2">
        <v>4503</v>
      </c>
      <c r="L5" s="2">
        <v>4681</v>
      </c>
      <c r="M5" s="2">
        <v>4480</v>
      </c>
      <c r="N5" s="2">
        <v>4888</v>
      </c>
    </row>
    <row r="6" spans="3:40" s="2" customFormat="1" x14ac:dyDescent="0.2">
      <c r="C6" s="2" t="s">
        <v>32</v>
      </c>
      <c r="D6" s="2">
        <v>694</v>
      </c>
      <c r="E6" s="2">
        <v>625</v>
      </c>
      <c r="F6" s="2">
        <v>492</v>
      </c>
      <c r="H6" s="2">
        <v>481</v>
      </c>
      <c r="I6" s="2">
        <v>514</v>
      </c>
      <c r="J6" s="2">
        <v>611</v>
      </c>
      <c r="L6" s="2">
        <v>391</v>
      </c>
      <c r="M6" s="2">
        <v>403</v>
      </c>
      <c r="N6" s="2">
        <v>372</v>
      </c>
    </row>
    <row r="7" spans="3:40" s="2" customFormat="1" x14ac:dyDescent="0.2">
      <c r="C7" s="2" t="s">
        <v>48</v>
      </c>
      <c r="D7" s="2">
        <f>SUM(D4:D6)</f>
        <v>9294</v>
      </c>
      <c r="E7" s="2">
        <f>SUM(E4:E6)</f>
        <v>7665</v>
      </c>
      <c r="F7" s="2">
        <f>SUM(F4:F6)</f>
        <v>8124</v>
      </c>
      <c r="G7" s="2">
        <v>6625</v>
      </c>
      <c r="H7" s="2">
        <f>SUM(H4:H6)</f>
        <v>5767</v>
      </c>
      <c r="I7" s="2">
        <f t="shared" ref="I7:N7" si="1">SUM(I4:I6)</f>
        <v>6780</v>
      </c>
      <c r="J7" s="2">
        <f t="shared" si="1"/>
        <v>7867</v>
      </c>
      <c r="K7" s="2">
        <v>8844</v>
      </c>
      <c r="L7" s="2">
        <f t="shared" si="1"/>
        <v>7533</v>
      </c>
      <c r="M7" s="2">
        <f t="shared" si="1"/>
        <v>7410</v>
      </c>
      <c r="N7" s="2">
        <f t="shared" si="1"/>
        <v>7330</v>
      </c>
      <c r="O7" s="2">
        <v>8017</v>
      </c>
      <c r="P7" s="2">
        <f>L7*1.1</f>
        <v>8286.3000000000011</v>
      </c>
      <c r="Q7" s="2">
        <f t="shared" ref="Q7" si="2">M7*1.1</f>
        <v>8151.0000000000009</v>
      </c>
      <c r="R7" s="2">
        <f>N7*1.2</f>
        <v>8796</v>
      </c>
      <c r="S7" s="2">
        <f>O7*1.2</f>
        <v>9620.4</v>
      </c>
      <c r="U7" s="2">
        <f>SUM(D7:G7)</f>
        <v>31708</v>
      </c>
      <c r="V7" s="2">
        <f>SUM(H7:K7)</f>
        <v>29258</v>
      </c>
      <c r="W7" s="2">
        <f>SUM(L7:O7)</f>
        <v>30290</v>
      </c>
    </row>
    <row r="8" spans="3:40" s="2" customFormat="1" x14ac:dyDescent="0.2">
      <c r="C8" s="2" t="s">
        <v>33</v>
      </c>
      <c r="D8" s="2">
        <v>6034</v>
      </c>
      <c r="E8" s="2">
        <v>4649</v>
      </c>
      <c r="F8" s="2">
        <v>4209</v>
      </c>
      <c r="G8" s="2">
        <v>4304</v>
      </c>
      <c r="H8" s="2">
        <v>2901</v>
      </c>
      <c r="I8" s="2">
        <v>3155</v>
      </c>
      <c r="J8" s="2">
        <v>3076</v>
      </c>
      <c r="K8" s="2">
        <v>3503</v>
      </c>
      <c r="L8" s="2">
        <v>3036</v>
      </c>
      <c r="M8" s="2">
        <v>3045</v>
      </c>
      <c r="N8" s="2">
        <v>3349</v>
      </c>
      <c r="O8" s="2">
        <v>3387</v>
      </c>
      <c r="P8" s="2">
        <f>L8*1.2</f>
        <v>3643.2</v>
      </c>
      <c r="Q8" s="2">
        <f t="shared" ref="Q8:S8" si="3">M8*1.2</f>
        <v>3654</v>
      </c>
      <c r="R8" s="2">
        <f t="shared" si="3"/>
        <v>4018.7999999999997</v>
      </c>
      <c r="S8" s="2">
        <f t="shared" si="3"/>
        <v>4064.3999999999996</v>
      </c>
      <c r="U8" s="2">
        <f>SUM(D8:G8)</f>
        <v>19196</v>
      </c>
      <c r="V8" s="2">
        <f>SUM(H8:K8)</f>
        <v>12635</v>
      </c>
      <c r="W8" s="2">
        <f>SUM(L8:O8)</f>
        <v>12817</v>
      </c>
    </row>
    <row r="9" spans="3:40" s="2" customFormat="1" x14ac:dyDescent="0.2">
      <c r="C9" s="2" t="s">
        <v>34</v>
      </c>
      <c r="D9" s="2">
        <v>2213</v>
      </c>
      <c r="E9" s="2">
        <v>2333</v>
      </c>
      <c r="F9" s="2">
        <v>2266</v>
      </c>
      <c r="G9" s="2">
        <v>2061</v>
      </c>
      <c r="H9" s="2">
        <v>1489</v>
      </c>
      <c r="I9" s="2">
        <v>1364</v>
      </c>
      <c r="J9" s="2">
        <v>1450</v>
      </c>
      <c r="K9" s="2">
        <v>1471</v>
      </c>
      <c r="L9" s="2">
        <v>1364</v>
      </c>
      <c r="M9" s="2">
        <v>1344</v>
      </c>
      <c r="N9" s="2">
        <v>1511</v>
      </c>
      <c r="O9" s="2">
        <v>1623</v>
      </c>
      <c r="P9" s="2">
        <f>L9</f>
        <v>1364</v>
      </c>
      <c r="Q9" s="2">
        <f t="shared" ref="Q9:S9" si="4">M9</f>
        <v>1344</v>
      </c>
      <c r="R9" s="2">
        <f t="shared" si="4"/>
        <v>1511</v>
      </c>
      <c r="S9" s="2">
        <f t="shared" si="4"/>
        <v>1623</v>
      </c>
      <c r="U9" s="2">
        <f>SUM(D9:G9)</f>
        <v>8873</v>
      </c>
      <c r="V9" s="2">
        <f>SUM(H9:K9)</f>
        <v>5774</v>
      </c>
      <c r="W9" s="2">
        <f>SUM(L9:O9)</f>
        <v>5842</v>
      </c>
    </row>
    <row r="10" spans="3:40" s="8" customFormat="1" x14ac:dyDescent="0.2">
      <c r="C10" s="8" t="s">
        <v>44</v>
      </c>
      <c r="D10" s="8">
        <f>SUM(D7:D9)</f>
        <v>17541</v>
      </c>
      <c r="E10" s="8">
        <f>SUM(E7:E9)</f>
        <v>14647</v>
      </c>
      <c r="F10" s="8">
        <f>SUM(F7:F9)</f>
        <v>14599</v>
      </c>
      <c r="G10" s="8">
        <f>SUM(G7:G9)</f>
        <v>12990</v>
      </c>
      <c r="H10" s="8">
        <f>SUM(H7:H9)</f>
        <v>10157</v>
      </c>
      <c r="I10" s="8">
        <f t="shared" ref="I10:O10" si="5">SUM(I7:I9)</f>
        <v>11299</v>
      </c>
      <c r="J10" s="8">
        <f t="shared" si="5"/>
        <v>12393</v>
      </c>
      <c r="K10" s="8">
        <f t="shared" si="5"/>
        <v>13818</v>
      </c>
      <c r="L10" s="8">
        <f t="shared" si="5"/>
        <v>11933</v>
      </c>
      <c r="M10" s="8">
        <f t="shared" si="5"/>
        <v>11799</v>
      </c>
      <c r="N10" s="8">
        <f t="shared" si="5"/>
        <v>12190</v>
      </c>
      <c r="O10" s="8">
        <f t="shared" si="5"/>
        <v>13027</v>
      </c>
      <c r="P10" s="8">
        <f t="shared" ref="P10" si="6">SUM(P7:P9)</f>
        <v>13293.5</v>
      </c>
      <c r="Q10" s="8">
        <f t="shared" ref="Q10" si="7">SUM(Q7:Q9)</f>
        <v>13149</v>
      </c>
      <c r="R10" s="8">
        <f t="shared" ref="R10" si="8">SUM(R7:R9)</f>
        <v>14325.8</v>
      </c>
      <c r="S10" s="8">
        <f t="shared" ref="S10" si="9">SUM(S7:S9)</f>
        <v>15307.8</v>
      </c>
      <c r="U10" s="8">
        <f t="shared" ref="U10" si="10">SUM(U7:U9)</f>
        <v>59777</v>
      </c>
      <c r="V10" s="8">
        <f t="shared" ref="V10" si="11">SUM(V7:V9)</f>
        <v>47667</v>
      </c>
      <c r="W10" s="8">
        <f t="shared" ref="W10" si="12">SUM(W7:W9)</f>
        <v>48949</v>
      </c>
    </row>
    <row r="11" spans="3:40" s="2" customFormat="1" x14ac:dyDescent="0.2">
      <c r="C11" s="2" t="s">
        <v>38</v>
      </c>
      <c r="D11" s="2">
        <v>283</v>
      </c>
      <c r="E11" s="2">
        <v>122</v>
      </c>
      <c r="F11" s="2">
        <v>171</v>
      </c>
      <c r="G11" s="2">
        <v>319</v>
      </c>
      <c r="H11" s="2">
        <v>4831</v>
      </c>
      <c r="I11" s="2">
        <v>4172</v>
      </c>
      <c r="J11" s="2">
        <v>4732</v>
      </c>
      <c r="K11" s="2">
        <v>5175</v>
      </c>
      <c r="L11" s="2">
        <v>4369</v>
      </c>
      <c r="M11" s="2">
        <v>4320</v>
      </c>
      <c r="N11" s="2">
        <v>4352</v>
      </c>
      <c r="O11" s="2">
        <v>4502</v>
      </c>
    </row>
    <row r="12" spans="3:40" s="2" customFormat="1" x14ac:dyDescent="0.2">
      <c r="C12" s="2" t="s">
        <v>35</v>
      </c>
      <c r="D12" s="2">
        <v>219</v>
      </c>
      <c r="E12" s="2">
        <v>186</v>
      </c>
      <c r="F12" s="2">
        <v>185</v>
      </c>
      <c r="G12" s="2">
        <v>247</v>
      </c>
      <c r="H12" s="2">
        <v>816</v>
      </c>
      <c r="I12" s="2">
        <v>848</v>
      </c>
      <c r="J12" s="2">
        <v>735</v>
      </c>
      <c r="L12" s="2">
        <v>342</v>
      </c>
      <c r="M12" s="2">
        <v>361</v>
      </c>
      <c r="N12" s="2">
        <v>412</v>
      </c>
    </row>
    <row r="13" spans="3:40" s="2" customFormat="1" x14ac:dyDescent="0.2">
      <c r="C13" s="2" t="s">
        <v>36</v>
      </c>
      <c r="D13" s="2">
        <v>394</v>
      </c>
      <c r="E13" s="2">
        <v>460</v>
      </c>
      <c r="F13" s="2">
        <v>450</v>
      </c>
      <c r="G13" s="2">
        <v>565</v>
      </c>
      <c r="H13" s="2">
        <v>458</v>
      </c>
      <c r="I13" s="2">
        <v>454</v>
      </c>
      <c r="J13" s="2">
        <v>530</v>
      </c>
      <c r="L13" s="2">
        <v>239</v>
      </c>
      <c r="M13" s="2">
        <v>440</v>
      </c>
      <c r="N13" s="2">
        <v>485</v>
      </c>
    </row>
    <row r="14" spans="3:40" s="2" customFormat="1" x14ac:dyDescent="0.2">
      <c r="C14" s="2" t="s">
        <v>32</v>
      </c>
      <c r="D14" s="2">
        <v>67</v>
      </c>
      <c r="E14" s="2">
        <v>32</v>
      </c>
      <c r="F14" s="2">
        <v>67</v>
      </c>
      <c r="G14" s="2">
        <v>30</v>
      </c>
      <c r="H14" s="2">
        <v>166</v>
      </c>
      <c r="I14" s="2">
        <v>117</v>
      </c>
      <c r="J14" s="2">
        <v>187</v>
      </c>
      <c r="K14" s="2">
        <v>1297</v>
      </c>
      <c r="L14" s="2">
        <v>194</v>
      </c>
      <c r="M14" s="2">
        <v>167</v>
      </c>
      <c r="N14" s="2">
        <v>142</v>
      </c>
      <c r="O14" s="2">
        <v>1042</v>
      </c>
    </row>
    <row r="15" spans="3:40" s="2" customFormat="1" x14ac:dyDescent="0.2">
      <c r="C15" s="2" t="s">
        <v>49</v>
      </c>
      <c r="D15" s="2">
        <f>SUM(D12:D14)</f>
        <v>680</v>
      </c>
      <c r="E15" s="2">
        <f>SUM(E12:E14)</f>
        <v>678</v>
      </c>
      <c r="F15" s="2">
        <f>SUM(F12:F14)</f>
        <v>702</v>
      </c>
      <c r="G15" s="2">
        <f t="shared" ref="G15:M15" si="13">SUM(G12:G14)</f>
        <v>842</v>
      </c>
      <c r="H15" s="2">
        <f t="shared" si="13"/>
        <v>1440</v>
      </c>
      <c r="I15" s="2">
        <f t="shared" si="13"/>
        <v>1419</v>
      </c>
      <c r="J15" s="2">
        <f t="shared" si="13"/>
        <v>1452</v>
      </c>
      <c r="K15" s="2">
        <f t="shared" si="13"/>
        <v>1297</v>
      </c>
      <c r="L15" s="2">
        <f t="shared" si="13"/>
        <v>775</v>
      </c>
      <c r="M15" s="2">
        <f t="shared" si="13"/>
        <v>968</v>
      </c>
      <c r="N15" s="2">
        <f>SUM(N12:N14)</f>
        <v>1039</v>
      </c>
      <c r="O15" s="2">
        <f>SUM(O12:O14)</f>
        <v>1042</v>
      </c>
    </row>
    <row r="16" spans="3:40" s="2" customFormat="1" x14ac:dyDescent="0.2">
      <c r="C16" s="2" t="s">
        <v>37</v>
      </c>
      <c r="D16" s="2">
        <v>-151</v>
      </c>
      <c r="E16" s="2">
        <v>-126</v>
      </c>
      <c r="F16" s="2">
        <v>-134</v>
      </c>
      <c r="G16" s="2">
        <v>-109</v>
      </c>
      <c r="H16" s="2">
        <v>-4713</v>
      </c>
      <c r="I16" s="2">
        <v>-3941</v>
      </c>
      <c r="J16" s="2">
        <v>-4419</v>
      </c>
      <c r="K16" s="2">
        <v>-4884</v>
      </c>
      <c r="L16" s="2">
        <v>-4353</v>
      </c>
      <c r="M16" s="2">
        <v>-4254</v>
      </c>
      <c r="N16" s="2">
        <v>-4297</v>
      </c>
      <c r="O16" s="2">
        <v>-4311</v>
      </c>
    </row>
    <row r="17" spans="3:40" s="2" customFormat="1" x14ac:dyDescent="0.2">
      <c r="C17" s="8" t="s">
        <v>70</v>
      </c>
      <c r="D17" s="2">
        <f>+D16+D15+D11</f>
        <v>812</v>
      </c>
      <c r="E17" s="2">
        <f>+E16+E15+E11</f>
        <v>674</v>
      </c>
      <c r="F17" s="2">
        <f>+F16+F15+F11</f>
        <v>739</v>
      </c>
      <c r="G17" s="2">
        <f t="shared" ref="G17:N17" si="14">+G16+G15+G11</f>
        <v>1052</v>
      </c>
      <c r="H17" s="2">
        <f t="shared" si="14"/>
        <v>1558</v>
      </c>
      <c r="I17" s="2">
        <f t="shared" si="14"/>
        <v>1650</v>
      </c>
      <c r="J17" s="2">
        <f t="shared" si="14"/>
        <v>1765</v>
      </c>
      <c r="K17" s="2">
        <f t="shared" si="14"/>
        <v>1588</v>
      </c>
      <c r="L17" s="2">
        <f t="shared" si="14"/>
        <v>791</v>
      </c>
      <c r="M17" s="2">
        <f t="shared" si="14"/>
        <v>1034</v>
      </c>
      <c r="N17" s="2">
        <f t="shared" si="14"/>
        <v>1094</v>
      </c>
      <c r="O17" s="2">
        <f>+O16+O15+O11</f>
        <v>1233</v>
      </c>
      <c r="P17" s="2">
        <f>L17</f>
        <v>791</v>
      </c>
      <c r="Q17" s="2">
        <f t="shared" ref="Q17:S17" si="15">M17</f>
        <v>1034</v>
      </c>
      <c r="R17" s="2">
        <f t="shared" si="15"/>
        <v>1094</v>
      </c>
      <c r="S17" s="2">
        <f t="shared" si="15"/>
        <v>1233</v>
      </c>
    </row>
    <row r="18" spans="3:40" s="2" customFormat="1" x14ac:dyDescent="0.2">
      <c r="C18" s="2" t="s">
        <v>68</v>
      </c>
      <c r="H18" s="2">
        <f t="shared" ref="H18:N18" si="16">H10/D10-1</f>
        <v>-0.42095661592839628</v>
      </c>
      <c r="I18" s="2">
        <f>I10/D10-1</f>
        <v>-0.35585200387663185</v>
      </c>
      <c r="J18" s="2">
        <f>J10/E10-1</f>
        <v>-0.15388816822557516</v>
      </c>
      <c r="K18" s="2">
        <f t="shared" si="16"/>
        <v>6.3741339491916849E-2</v>
      </c>
      <c r="L18" s="2">
        <f t="shared" si="16"/>
        <v>0.1748547799547111</v>
      </c>
      <c r="M18" s="2">
        <f t="shared" si="16"/>
        <v>4.4251703690592059E-2</v>
      </c>
      <c r="N18" s="2">
        <f t="shared" si="16"/>
        <v>-1.6380214637295221E-2</v>
      </c>
      <c r="O18" s="2">
        <f>O10/K10-1</f>
        <v>-5.7244174265450809E-2</v>
      </c>
    </row>
    <row r="19" spans="3:40" s="2" customFormat="1" x14ac:dyDescent="0.2">
      <c r="C19" s="2" t="s">
        <v>69</v>
      </c>
      <c r="H19" s="2">
        <f t="shared" ref="H19:N19" si="17">H17/D17-1</f>
        <v>0.91871921182266014</v>
      </c>
      <c r="I19" s="2">
        <f>I17/D17-1</f>
        <v>1.0320197044334973</v>
      </c>
      <c r="J19" s="2">
        <f>J17/E17-1</f>
        <v>1.6186943620178043</v>
      </c>
      <c r="K19" s="2">
        <f t="shared" si="17"/>
        <v>0.50950570342205315</v>
      </c>
      <c r="L19" s="2">
        <f t="shared" si="17"/>
        <v>-0.49229781771501924</v>
      </c>
      <c r="M19" s="2">
        <f t="shared" si="17"/>
        <v>-0.37333333333333329</v>
      </c>
      <c r="N19" s="2">
        <f t="shared" si="17"/>
        <v>-0.38016997167138811</v>
      </c>
      <c r="O19" s="2">
        <f>O17/K17-1</f>
        <v>-0.22355163727959693</v>
      </c>
    </row>
    <row r="20" spans="3:40" s="2" customFormat="1" x14ac:dyDescent="0.2"/>
    <row r="21" spans="3:40" s="5" customFormat="1" x14ac:dyDescent="0.2">
      <c r="C21" s="5" t="s">
        <v>100</v>
      </c>
      <c r="V21" s="5">
        <f>V7/U7-1</f>
        <v>-7.7267566544720556E-2</v>
      </c>
      <c r="W21" s="5">
        <f>W7/V7-1</f>
        <v>3.5272404128785295E-2</v>
      </c>
    </row>
    <row r="22" spans="3:40" s="5" customFormat="1" x14ac:dyDescent="0.2">
      <c r="C22" s="5" t="s">
        <v>101</v>
      </c>
      <c r="V22" s="5">
        <f>V8/U8-1</f>
        <v>-0.34178995624088349</v>
      </c>
      <c r="W22" s="5">
        <f>W8/V8-1</f>
        <v>1.440443213296394E-2</v>
      </c>
    </row>
    <row r="23" spans="3:40" s="2" customFormat="1" x14ac:dyDescent="0.2"/>
    <row r="24" spans="3:40" s="2" customFormat="1" x14ac:dyDescent="0.2">
      <c r="C24" s="2" t="s">
        <v>7</v>
      </c>
      <c r="D24" s="2">
        <v>18353</v>
      </c>
      <c r="E24" s="2">
        <v>15321</v>
      </c>
      <c r="F24" s="2">
        <v>15338</v>
      </c>
      <c r="G24" s="2">
        <v>14042</v>
      </c>
      <c r="H24" s="2">
        <v>11715</v>
      </c>
      <c r="I24" s="2">
        <v>12949</v>
      </c>
      <c r="J24" s="2">
        <v>14158</v>
      </c>
      <c r="K24" s="2">
        <v>15406</v>
      </c>
      <c r="L24" s="2">
        <v>12724</v>
      </c>
      <c r="M24" s="2">
        <v>12833</v>
      </c>
      <c r="N24" s="2">
        <v>13284</v>
      </c>
      <c r="O24" s="2">
        <v>14260</v>
      </c>
      <c r="P24" s="2">
        <f>P17+P10</f>
        <v>14084.5</v>
      </c>
      <c r="Q24" s="2">
        <f t="shared" ref="Q24:S24" si="18">Q17+Q10</f>
        <v>14183</v>
      </c>
      <c r="R24" s="2">
        <f t="shared" si="18"/>
        <v>15419.8</v>
      </c>
      <c r="S24" s="2">
        <f t="shared" si="18"/>
        <v>16540.8</v>
      </c>
      <c r="U24" s="2">
        <f>SUM(D24:G24)</f>
        <v>63054</v>
      </c>
      <c r="V24" s="2">
        <f>SUM(H24:K24)</f>
        <v>54228</v>
      </c>
      <c r="W24" s="2">
        <f>SUM(L24:O24)</f>
        <v>53101</v>
      </c>
      <c r="X24" s="2">
        <f>SUM(P24:S24)</f>
        <v>60228.100000000006</v>
      </c>
      <c r="Y24" s="2">
        <f>X24*1.2</f>
        <v>72273.72</v>
      </c>
      <c r="Z24" s="2">
        <f>Y24*1.08</f>
        <v>78055.617600000012</v>
      </c>
      <c r="AA24" s="2">
        <f t="shared" ref="AA24:AN24" si="19">Z24*1.01</f>
        <v>78836.173776000011</v>
      </c>
      <c r="AB24" s="2">
        <f t="shared" si="19"/>
        <v>79624.535513760013</v>
      </c>
      <c r="AC24" s="2">
        <f t="shared" si="19"/>
        <v>80420.780868897607</v>
      </c>
      <c r="AD24" s="2">
        <f t="shared" si="19"/>
        <v>81224.988677586589</v>
      </c>
      <c r="AE24" s="2">
        <f>AD24*1.1</f>
        <v>89347.487545345255</v>
      </c>
      <c r="AF24" s="2">
        <f t="shared" ref="AF24:AG24" si="20">AE24*1.1</f>
        <v>98282.236299879791</v>
      </c>
      <c r="AG24" s="2">
        <f t="shared" si="20"/>
        <v>108110.45992986778</v>
      </c>
      <c r="AH24" s="2">
        <f t="shared" si="19"/>
        <v>109191.56452916646</v>
      </c>
      <c r="AI24" s="2">
        <f t="shared" si="19"/>
        <v>110283.48017445812</v>
      </c>
      <c r="AJ24" s="2">
        <f t="shared" si="19"/>
        <v>111386.3149762027</v>
      </c>
      <c r="AK24" s="2">
        <f t="shared" si="19"/>
        <v>112500.17812596473</v>
      </c>
      <c r="AL24" s="2">
        <f t="shared" si="19"/>
        <v>113625.17990722437</v>
      </c>
      <c r="AM24" s="2">
        <f>AL24*1.1</f>
        <v>124987.69789794683</v>
      </c>
      <c r="AN24" s="2">
        <f>AM24*1.1</f>
        <v>137486.46768774153</v>
      </c>
    </row>
    <row r="25" spans="3:40" s="2" customFormat="1" x14ac:dyDescent="0.2">
      <c r="C25" s="2" t="s">
        <v>16</v>
      </c>
      <c r="D25" s="2">
        <v>9109</v>
      </c>
      <c r="E25" s="2">
        <v>9734</v>
      </c>
      <c r="F25" s="2">
        <v>8803</v>
      </c>
      <c r="G25" s="2">
        <v>8542</v>
      </c>
      <c r="H25" s="2">
        <v>7707</v>
      </c>
      <c r="I25" s="2">
        <v>8311</v>
      </c>
      <c r="J25" s="2">
        <v>8140</v>
      </c>
      <c r="K25" s="2">
        <v>8359</v>
      </c>
      <c r="L25" s="2">
        <v>7507</v>
      </c>
      <c r="M25" s="2">
        <v>8286</v>
      </c>
      <c r="N25" s="2">
        <v>11287</v>
      </c>
      <c r="O25" s="2">
        <v>8676</v>
      </c>
      <c r="P25" s="2">
        <f>P24-P26</f>
        <v>8450.7000000000007</v>
      </c>
      <c r="Q25" s="2">
        <f t="shared" ref="Q25:S25" si="21">Q24-Q26</f>
        <v>8509.7999999999993</v>
      </c>
      <c r="R25" s="2">
        <f t="shared" si="21"/>
        <v>9251.8799999999992</v>
      </c>
      <c r="S25" s="2">
        <f t="shared" si="21"/>
        <v>9924.48</v>
      </c>
      <c r="U25" s="2">
        <f>SUM(D25:G25)</f>
        <v>36188</v>
      </c>
      <c r="V25" s="2">
        <f>SUM(H25:K25)</f>
        <v>32517</v>
      </c>
      <c r="W25" s="2">
        <f>SUM(L25:O25)</f>
        <v>35756</v>
      </c>
      <c r="X25" s="2">
        <f>SUM(P25:S25)</f>
        <v>36136.86</v>
      </c>
      <c r="Y25" s="2">
        <f t="shared" ref="Y25:AN25" si="22">SUM(Q25:T25)</f>
        <v>27686.16</v>
      </c>
      <c r="Z25" s="2">
        <f t="shared" si="22"/>
        <v>55364.36</v>
      </c>
      <c r="AA25" s="2">
        <f t="shared" si="22"/>
        <v>78629.48</v>
      </c>
      <c r="AB25" s="2">
        <f t="shared" si="22"/>
        <v>104461</v>
      </c>
      <c r="AC25" s="2">
        <f t="shared" si="22"/>
        <v>140597.85999999999</v>
      </c>
      <c r="AD25" s="2">
        <f t="shared" si="22"/>
        <v>132096.01999999999</v>
      </c>
      <c r="AE25" s="2">
        <f t="shared" si="22"/>
        <v>154943.38</v>
      </c>
      <c r="AF25" s="2">
        <f t="shared" si="22"/>
        <v>197816.86</v>
      </c>
      <c r="AG25" s="2">
        <f t="shared" si="22"/>
        <v>266141</v>
      </c>
      <c r="AH25" s="2">
        <f t="shared" si="22"/>
        <v>379052.69999999995</v>
      </c>
      <c r="AI25" s="2">
        <f t="shared" si="22"/>
        <v>455784.36</v>
      </c>
      <c r="AJ25" s="2">
        <f t="shared" si="22"/>
        <v>532098.26</v>
      </c>
      <c r="AK25" s="2">
        <f t="shared" si="22"/>
        <v>625454.12</v>
      </c>
      <c r="AL25" s="2">
        <f t="shared" si="22"/>
        <v>750997.26</v>
      </c>
      <c r="AM25" s="2">
        <f t="shared" si="22"/>
        <v>997953.94</v>
      </c>
      <c r="AN25" s="2">
        <f t="shared" si="22"/>
        <v>1298794.92</v>
      </c>
    </row>
    <row r="26" spans="3:40" s="7" customFormat="1" x14ac:dyDescent="0.2">
      <c r="C26" s="7" t="s">
        <v>17</v>
      </c>
      <c r="D26" s="7">
        <f>D24-D25</f>
        <v>9244</v>
      </c>
      <c r="E26" s="7">
        <f>E24-E25</f>
        <v>5587</v>
      </c>
      <c r="F26" s="7">
        <f>F24-F25</f>
        <v>6535</v>
      </c>
      <c r="G26" s="7">
        <f>G24-G25</f>
        <v>5500</v>
      </c>
      <c r="H26" s="7">
        <f>H24-H25</f>
        <v>4008</v>
      </c>
      <c r="I26" s="7">
        <f>I24-I25</f>
        <v>4638</v>
      </c>
      <c r="J26" s="7">
        <f>J24-J25</f>
        <v>6018</v>
      </c>
      <c r="K26" s="7">
        <f>K24-K25</f>
        <v>7047</v>
      </c>
      <c r="L26" s="7">
        <f>L24-L25</f>
        <v>5217</v>
      </c>
      <c r="M26" s="7">
        <f>M24-M25</f>
        <v>4547</v>
      </c>
      <c r="N26" s="7">
        <f>N24-N25</f>
        <v>1997</v>
      </c>
      <c r="O26" s="7">
        <f>O24-O25</f>
        <v>5584</v>
      </c>
      <c r="P26" s="7">
        <f>P24*0.4</f>
        <v>5633.8</v>
      </c>
      <c r="Q26" s="7">
        <f t="shared" ref="Q26:S26" si="23">Q24*0.4</f>
        <v>5673.2000000000007</v>
      </c>
      <c r="R26" s="7">
        <f t="shared" si="23"/>
        <v>6167.92</v>
      </c>
      <c r="S26" s="7">
        <f t="shared" si="23"/>
        <v>6616.32</v>
      </c>
      <c r="U26" s="7">
        <f>U24-U25</f>
        <v>26866</v>
      </c>
      <c r="V26" s="7">
        <f>V24-V25</f>
        <v>21711</v>
      </c>
      <c r="W26" s="7">
        <f>W24-W25</f>
        <v>17345</v>
      </c>
      <c r="X26" s="7">
        <f>X24-X25</f>
        <v>24091.240000000005</v>
      </c>
      <c r="Y26" s="7">
        <f>Y24*0.4</f>
        <v>28909.488000000001</v>
      </c>
      <c r="Z26" s="7">
        <f t="shared" ref="Z26:AN26" si="24">Z24*0.4</f>
        <v>31222.247040000006</v>
      </c>
      <c r="AA26" s="7">
        <f t="shared" si="24"/>
        <v>31534.469510400006</v>
      </c>
      <c r="AB26" s="7">
        <f t="shared" si="24"/>
        <v>31849.814205504008</v>
      </c>
      <c r="AC26" s="7">
        <f t="shared" si="24"/>
        <v>32168.312347559044</v>
      </c>
      <c r="AD26" s="7">
        <f t="shared" si="24"/>
        <v>32489.995471034636</v>
      </c>
      <c r="AE26" s="7">
        <f t="shared" si="24"/>
        <v>35738.995018138106</v>
      </c>
      <c r="AF26" s="7">
        <f t="shared" si="24"/>
        <v>39312.894519951915</v>
      </c>
      <c r="AG26" s="7">
        <f t="shared" si="24"/>
        <v>43244.183971947117</v>
      </c>
      <c r="AH26" s="7">
        <f t="shared" si="24"/>
        <v>43676.625811666585</v>
      </c>
      <c r="AI26" s="7">
        <f t="shared" si="24"/>
        <v>44113.392069783251</v>
      </c>
      <c r="AJ26" s="7">
        <f t="shared" si="24"/>
        <v>44554.525990481081</v>
      </c>
      <c r="AK26" s="7">
        <f t="shared" si="24"/>
        <v>45000.071250385896</v>
      </c>
      <c r="AL26" s="7">
        <f t="shared" si="24"/>
        <v>45450.07196288975</v>
      </c>
      <c r="AM26" s="7">
        <f t="shared" si="24"/>
        <v>49995.079159178735</v>
      </c>
      <c r="AN26" s="7">
        <f t="shared" si="24"/>
        <v>54994.587075096613</v>
      </c>
    </row>
    <row r="27" spans="3:40" s="2" customFormat="1" x14ac:dyDescent="0.2">
      <c r="C27" s="2" t="s">
        <v>18</v>
      </c>
      <c r="D27" s="2">
        <v>4362</v>
      </c>
      <c r="E27" s="2">
        <v>4400</v>
      </c>
      <c r="F27" s="2">
        <v>4302</v>
      </c>
      <c r="G27" s="2">
        <v>4464</v>
      </c>
      <c r="H27" s="2">
        <v>4109</v>
      </c>
      <c r="I27" s="2">
        <v>4080</v>
      </c>
      <c r="J27" s="2">
        <v>3870</v>
      </c>
      <c r="K27" s="2">
        <v>3987</v>
      </c>
      <c r="L27" s="2">
        <v>4382</v>
      </c>
      <c r="M27" s="2">
        <v>4239</v>
      </c>
      <c r="N27" s="2">
        <v>4049</v>
      </c>
      <c r="O27" s="2">
        <v>3876</v>
      </c>
      <c r="P27" s="2">
        <f>L27*1.02</f>
        <v>4469.6400000000003</v>
      </c>
      <c r="Q27" s="2">
        <f t="shared" ref="Q27:S27" si="25">M27*1.02</f>
        <v>4323.78</v>
      </c>
      <c r="R27" s="2">
        <f t="shared" si="25"/>
        <v>4129.9800000000005</v>
      </c>
      <c r="S27" s="2">
        <f t="shared" si="25"/>
        <v>3953.52</v>
      </c>
      <c r="U27" s="2">
        <f>SUM(D27:G27)</f>
        <v>17528</v>
      </c>
      <c r="V27" s="2">
        <f>SUM(H27:K27)</f>
        <v>16046</v>
      </c>
      <c r="W27" s="2">
        <f>SUM(L27:O27)</f>
        <v>16546</v>
      </c>
      <c r="X27" s="2">
        <f>SUM(P27:S27)</f>
        <v>16876.920000000002</v>
      </c>
      <c r="Y27" s="2">
        <f>X27*1.01</f>
        <v>17045.689200000001</v>
      </c>
      <c r="Z27" s="2">
        <f t="shared" ref="Z27:AN27" si="26">Y27*1.01</f>
        <v>17216.146092000003</v>
      </c>
      <c r="AA27" s="2">
        <f t="shared" si="26"/>
        <v>17388.307552920003</v>
      </c>
      <c r="AB27" s="2">
        <f>AA27*1.1</f>
        <v>19127.138308212005</v>
      </c>
      <c r="AC27" s="2">
        <f t="shared" ref="AC27:AD27" si="27">AB27*1.1</f>
        <v>21039.852139033206</v>
      </c>
      <c r="AD27" s="2">
        <f t="shared" si="27"/>
        <v>23143.837352936527</v>
      </c>
      <c r="AE27" s="2">
        <f>AD27*0.9</f>
        <v>20829.453617642874</v>
      </c>
      <c r="AF27" s="2">
        <f t="shared" ref="AF27:AG27" si="28">AE27*0.9</f>
        <v>18746.508255878587</v>
      </c>
      <c r="AG27" s="2">
        <f t="shared" si="28"/>
        <v>16871.857430290729</v>
      </c>
      <c r="AH27" s="2">
        <f t="shared" si="26"/>
        <v>17040.576004593637</v>
      </c>
      <c r="AI27" s="2">
        <f t="shared" si="26"/>
        <v>17210.981764639575</v>
      </c>
      <c r="AJ27" s="2">
        <f t="shared" si="26"/>
        <v>17383.091582285972</v>
      </c>
      <c r="AK27" s="2">
        <f t="shared" ref="AK27:AL27" si="29">AJ27*1.1</f>
        <v>19121.400740514571</v>
      </c>
      <c r="AL27" s="2">
        <f t="shared" si="29"/>
        <v>21033.540814566029</v>
      </c>
      <c r="AM27" s="2">
        <f t="shared" si="26"/>
        <v>21243.876222711689</v>
      </c>
      <c r="AN27" s="2">
        <f t="shared" si="26"/>
        <v>21456.314984938806</v>
      </c>
    </row>
    <row r="28" spans="3:40" s="2" customFormat="1" x14ac:dyDescent="0.2">
      <c r="C28" s="2" t="s">
        <v>107</v>
      </c>
      <c r="D28" s="2">
        <v>1752</v>
      </c>
      <c r="E28" s="2">
        <v>1800</v>
      </c>
      <c r="F28" s="2">
        <v>1744</v>
      </c>
      <c r="G28" s="2">
        <v>1706</v>
      </c>
      <c r="H28" s="2">
        <v>1303</v>
      </c>
      <c r="I28" s="2">
        <v>1374</v>
      </c>
      <c r="J28" s="2">
        <v>1340</v>
      </c>
      <c r="K28" s="2">
        <v>1617</v>
      </c>
      <c r="L28" s="2">
        <v>1556</v>
      </c>
      <c r="M28" s="2">
        <v>1329</v>
      </c>
      <c r="N28" s="2">
        <v>1383</v>
      </c>
      <c r="O28" s="2">
        <v>1239</v>
      </c>
      <c r="P28" s="2">
        <f>L28*0.7</f>
        <v>1089.1999999999998</v>
      </c>
      <c r="Q28" s="2">
        <f t="shared" ref="Q28:S28" si="30">M28*0.7</f>
        <v>930.3</v>
      </c>
      <c r="R28" s="2">
        <f t="shared" si="30"/>
        <v>968.09999999999991</v>
      </c>
      <c r="S28" s="2">
        <f t="shared" si="30"/>
        <v>867.3</v>
      </c>
      <c r="U28" s="2">
        <f>SUM(D28:G28)</f>
        <v>7002</v>
      </c>
      <c r="V28" s="2">
        <f>SUM(H28:K28)</f>
        <v>5634</v>
      </c>
      <c r="W28" s="2">
        <f>SUM(L28:O28)</f>
        <v>5507</v>
      </c>
      <c r="X28" s="2">
        <f>SUM(P28:S28)</f>
        <v>3854.8999999999996</v>
      </c>
      <c r="Y28" s="2">
        <f>X28*0.95</f>
        <v>3662.1549999999993</v>
      </c>
      <c r="Z28" s="2">
        <f>Y28*0.95</f>
        <v>3479.0472499999992</v>
      </c>
      <c r="AA28" s="2">
        <f>Z28*0.97</f>
        <v>3374.6758324999992</v>
      </c>
      <c r="AB28" s="2">
        <f>AA28*1.05</f>
        <v>3543.4096241249995</v>
      </c>
      <c r="AC28" s="2">
        <f t="shared" ref="AC28:AD28" si="31">AB28*1.05</f>
        <v>3720.5801053312498</v>
      </c>
      <c r="AD28" s="2">
        <f t="shared" si="31"/>
        <v>3906.6091105978126</v>
      </c>
      <c r="AE28" s="2">
        <f>AD28*0.9</f>
        <v>3515.9481995380315</v>
      </c>
      <c r="AF28" s="2">
        <f t="shared" ref="AF28:AG28" si="32">AE28*0.9</f>
        <v>3164.3533795842286</v>
      </c>
      <c r="AG28" s="2">
        <f t="shared" si="32"/>
        <v>2847.9180416258059</v>
      </c>
      <c r="AH28" s="2">
        <f t="shared" ref="AB28:AN28" si="33">AG28*0.97</f>
        <v>2762.4805003770316</v>
      </c>
      <c r="AI28" s="2">
        <f t="shared" si="33"/>
        <v>2679.6060853657204</v>
      </c>
      <c r="AJ28" s="2">
        <f t="shared" si="33"/>
        <v>2599.217902804749</v>
      </c>
      <c r="AK28" s="2">
        <f t="shared" ref="AK28:AL28" si="34">AJ28*1.05</f>
        <v>2729.1787979449864</v>
      </c>
      <c r="AL28" s="2">
        <f t="shared" si="34"/>
        <v>2865.6377378422358</v>
      </c>
      <c r="AM28" s="2">
        <f t="shared" si="33"/>
        <v>2779.6686057069687</v>
      </c>
      <c r="AN28" s="2">
        <f t="shared" si="33"/>
        <v>2696.2785475357596</v>
      </c>
    </row>
    <row r="29" spans="3:40" s="2" customFormat="1" x14ac:dyDescent="0.2">
      <c r="C29" s="2" t="s">
        <v>19</v>
      </c>
      <c r="D29" s="2">
        <v>-1211</v>
      </c>
      <c r="E29" s="2">
        <v>87</v>
      </c>
      <c r="F29" s="2">
        <v>664</v>
      </c>
      <c r="G29" s="2">
        <v>462</v>
      </c>
      <c r="H29" s="2">
        <v>64</v>
      </c>
      <c r="I29" s="2">
        <v>200</v>
      </c>
      <c r="J29" s="2">
        <v>816</v>
      </c>
      <c r="K29" s="2">
        <v>-1142</v>
      </c>
      <c r="L29" s="2">
        <v>348</v>
      </c>
      <c r="M29" s="2">
        <v>943</v>
      </c>
      <c r="N29" s="2">
        <v>5622</v>
      </c>
      <c r="O29" s="2">
        <v>57</v>
      </c>
      <c r="P29" s="2">
        <v>0</v>
      </c>
      <c r="Q29" s="2">
        <v>0</v>
      </c>
      <c r="R29" s="2">
        <v>0</v>
      </c>
      <c r="S29" s="2">
        <v>0</v>
      </c>
      <c r="U29" s="2">
        <f>SUM(D29:G29)</f>
        <v>2</v>
      </c>
      <c r="V29" s="2">
        <f>SUM(H29:K29)</f>
        <v>-62</v>
      </c>
      <c r="W29" s="2">
        <f>SUM(L29:O29)</f>
        <v>6970</v>
      </c>
      <c r="X29" s="2">
        <f>SUM(P29:S29)</f>
        <v>0</v>
      </c>
      <c r="Y29" s="2">
        <f>0</f>
        <v>0</v>
      </c>
      <c r="Z29" s="2">
        <f>0</f>
        <v>0</v>
      </c>
      <c r="AA29" s="2">
        <f>0</f>
        <v>0</v>
      </c>
      <c r="AB29" s="2">
        <f>0</f>
        <v>0</v>
      </c>
      <c r="AC29" s="2">
        <f>0</f>
        <v>0</v>
      </c>
      <c r="AD29" s="2">
        <f>0</f>
        <v>0</v>
      </c>
      <c r="AE29" s="2">
        <f>0</f>
        <v>0</v>
      </c>
      <c r="AF29" s="2">
        <f>0</f>
        <v>0</v>
      </c>
      <c r="AG29" s="2">
        <f>0</f>
        <v>0</v>
      </c>
      <c r="AH29" s="2">
        <f>0</f>
        <v>0</v>
      </c>
      <c r="AI29" s="2">
        <f>0</f>
        <v>0</v>
      </c>
      <c r="AJ29" s="2">
        <f>0</f>
        <v>0</v>
      </c>
      <c r="AK29" s="2">
        <f>0</f>
        <v>0</v>
      </c>
      <c r="AL29" s="2">
        <f>0</f>
        <v>0</v>
      </c>
      <c r="AM29" s="2">
        <f>0</f>
        <v>0</v>
      </c>
      <c r="AN29" s="2">
        <f>0</f>
        <v>0</v>
      </c>
    </row>
    <row r="30" spans="3:40" s="2" customFormat="1" x14ac:dyDescent="0.2">
      <c r="C30" s="2" t="s">
        <v>20</v>
      </c>
      <c r="D30" s="2">
        <f>SUM(D27:D29)</f>
        <v>4903</v>
      </c>
      <c r="E30" s="2">
        <f>SUM(E27:E29)</f>
        <v>6287</v>
      </c>
      <c r="F30" s="2">
        <f>SUM(F27:F29)</f>
        <v>6710</v>
      </c>
      <c r="G30" s="2">
        <f>SUM(G27:G29)</f>
        <v>6632</v>
      </c>
      <c r="H30" s="2">
        <f>SUM(H27:H29)</f>
        <v>5476</v>
      </c>
      <c r="I30" s="2">
        <f>SUM(I27:I29)</f>
        <v>5654</v>
      </c>
      <c r="J30" s="2">
        <f>SUM(J27:J29)</f>
        <v>6026</v>
      </c>
      <c r="K30" s="2">
        <f>SUM(K27:K29)</f>
        <v>4462</v>
      </c>
      <c r="L30" s="2">
        <f>SUM(L27:L29)</f>
        <v>6286</v>
      </c>
      <c r="M30" s="2">
        <f>SUM(M27:M29)</f>
        <v>6511</v>
      </c>
      <c r="N30" s="2">
        <f>SUM(N27:N29)</f>
        <v>11054</v>
      </c>
      <c r="O30" s="2">
        <f>SUM(O27:O29)</f>
        <v>5172</v>
      </c>
      <c r="P30" s="2">
        <f t="shared" ref="P30:S30" si="35">SUM(P27:P29)</f>
        <v>5558.84</v>
      </c>
      <c r="Q30" s="2">
        <f t="shared" si="35"/>
        <v>5254.08</v>
      </c>
      <c r="R30" s="2">
        <f t="shared" si="35"/>
        <v>5098.08</v>
      </c>
      <c r="S30" s="2">
        <f t="shared" si="35"/>
        <v>4820.82</v>
      </c>
      <c r="U30" s="2">
        <f>SUM(U27:U29)</f>
        <v>24532</v>
      </c>
      <c r="V30" s="2">
        <f>SUM(V27:V29)</f>
        <v>21618</v>
      </c>
      <c r="W30" s="2">
        <f>SUM(W27:W29)</f>
        <v>29023</v>
      </c>
      <c r="X30" s="2">
        <f>SUM(X27:X29)</f>
        <v>20731.82</v>
      </c>
      <c r="Y30" s="2">
        <f t="shared" ref="Y30:AN30" si="36">SUM(Y27:Y29)</f>
        <v>20707.8442</v>
      </c>
      <c r="Z30" s="2">
        <f t="shared" si="36"/>
        <v>20695.193342000002</v>
      </c>
      <c r="AA30" s="2">
        <f t="shared" si="36"/>
        <v>20762.983385420004</v>
      </c>
      <c r="AB30" s="2">
        <f t="shared" si="36"/>
        <v>22670.547932337005</v>
      </c>
      <c r="AC30" s="2">
        <f t="shared" si="36"/>
        <v>24760.432244364456</v>
      </c>
      <c r="AD30" s="2">
        <f t="shared" si="36"/>
        <v>27050.446463534339</v>
      </c>
      <c r="AE30" s="2">
        <f t="shared" si="36"/>
        <v>24345.401817180904</v>
      </c>
      <c r="AF30" s="2">
        <f t="shared" si="36"/>
        <v>21910.861635462818</v>
      </c>
      <c r="AG30" s="2">
        <f t="shared" si="36"/>
        <v>19719.775471916535</v>
      </c>
      <c r="AH30" s="2">
        <f t="shared" si="36"/>
        <v>19803.056504970667</v>
      </c>
      <c r="AI30" s="2">
        <f t="shared" si="36"/>
        <v>19890.587850005297</v>
      </c>
      <c r="AJ30" s="2">
        <f t="shared" si="36"/>
        <v>19982.309485090722</v>
      </c>
      <c r="AK30" s="2">
        <f t="shared" si="36"/>
        <v>21850.579538459559</v>
      </c>
      <c r="AL30" s="2">
        <f t="shared" si="36"/>
        <v>23899.178552408266</v>
      </c>
      <c r="AM30" s="2">
        <f t="shared" si="36"/>
        <v>24023.544828418657</v>
      </c>
      <c r="AN30" s="2">
        <f t="shared" si="36"/>
        <v>24152.593532474566</v>
      </c>
    </row>
    <row r="31" spans="3:40" s="7" customFormat="1" x14ac:dyDescent="0.2">
      <c r="C31" s="7" t="s">
        <v>21</v>
      </c>
      <c r="D31" s="7">
        <f>D26-D30</f>
        <v>4341</v>
      </c>
      <c r="E31" s="7">
        <f>E26-E30</f>
        <v>-700</v>
      </c>
      <c r="F31" s="7">
        <f>F26-F30</f>
        <v>-175</v>
      </c>
      <c r="G31" s="7">
        <f>G26-G30</f>
        <v>-1132</v>
      </c>
      <c r="H31" s="7">
        <f>H26-H30</f>
        <v>-1468</v>
      </c>
      <c r="I31" s="7">
        <f>I26-I30</f>
        <v>-1016</v>
      </c>
      <c r="J31" s="7">
        <f>J26-J30</f>
        <v>-8</v>
      </c>
      <c r="K31" s="7">
        <f>K26-K30</f>
        <v>2585</v>
      </c>
      <c r="L31" s="7">
        <f>L26-L30</f>
        <v>-1069</v>
      </c>
      <c r="M31" s="7">
        <f>M26-M30</f>
        <v>-1964</v>
      </c>
      <c r="N31" s="7">
        <f>N26-N30</f>
        <v>-9057</v>
      </c>
      <c r="O31" s="7">
        <f>O26-O30</f>
        <v>412</v>
      </c>
      <c r="P31" s="7">
        <f t="shared" ref="P31:S31" si="37">P26-P30</f>
        <v>74.960000000000036</v>
      </c>
      <c r="Q31" s="7">
        <f t="shared" si="37"/>
        <v>419.1200000000008</v>
      </c>
      <c r="R31" s="7">
        <f t="shared" si="37"/>
        <v>1069.8400000000001</v>
      </c>
      <c r="S31" s="7">
        <f t="shared" si="37"/>
        <v>1795.5</v>
      </c>
      <c r="U31" s="7">
        <f>U26-U30</f>
        <v>2334</v>
      </c>
      <c r="V31" s="7">
        <f>V26-V30</f>
        <v>93</v>
      </c>
      <c r="W31" s="7">
        <f>W26-W30</f>
        <v>-11678</v>
      </c>
      <c r="X31" s="7">
        <f>X26-X30</f>
        <v>3359.4200000000055</v>
      </c>
      <c r="Y31" s="7">
        <f t="shared" ref="Y31:AN31" si="38">Y26-Y30</f>
        <v>8201.6438000000016</v>
      </c>
      <c r="Z31" s="7">
        <f t="shared" si="38"/>
        <v>10527.053698000003</v>
      </c>
      <c r="AA31" s="7">
        <f t="shared" si="38"/>
        <v>10771.486124980001</v>
      </c>
      <c r="AB31" s="7">
        <f t="shared" si="38"/>
        <v>9179.2662731670025</v>
      </c>
      <c r="AC31" s="7">
        <f t="shared" si="38"/>
        <v>7407.8801031945877</v>
      </c>
      <c r="AD31" s="7">
        <f t="shared" si="38"/>
        <v>5439.5490075002963</v>
      </c>
      <c r="AE31" s="7">
        <f t="shared" si="38"/>
        <v>11393.593200957202</v>
      </c>
      <c r="AF31" s="7">
        <f t="shared" si="38"/>
        <v>17402.032884489097</v>
      </c>
      <c r="AG31" s="7">
        <f t="shared" si="38"/>
        <v>23524.408500030582</v>
      </c>
      <c r="AH31" s="7">
        <f t="shared" si="38"/>
        <v>23873.569306695917</v>
      </c>
      <c r="AI31" s="7">
        <f t="shared" si="38"/>
        <v>24222.804219777954</v>
      </c>
      <c r="AJ31" s="7">
        <f t="shared" si="38"/>
        <v>24572.216505390359</v>
      </c>
      <c r="AK31" s="7">
        <f t="shared" si="38"/>
        <v>23149.491711926337</v>
      </c>
      <c r="AL31" s="7">
        <f t="shared" si="38"/>
        <v>21550.893410481483</v>
      </c>
      <c r="AM31" s="7">
        <f t="shared" si="38"/>
        <v>25971.534330760078</v>
      </c>
      <c r="AN31" s="7">
        <f t="shared" si="38"/>
        <v>30841.993542622047</v>
      </c>
    </row>
    <row r="32" spans="3:40" s="2" customFormat="1" x14ac:dyDescent="0.2">
      <c r="C32" s="2" t="s">
        <v>22</v>
      </c>
      <c r="D32" s="2">
        <f>4323+997</f>
        <v>5320</v>
      </c>
      <c r="E32" s="2">
        <f>-90-119</f>
        <v>-209</v>
      </c>
      <c r="F32" s="2">
        <f>-151+138</f>
        <v>-13</v>
      </c>
      <c r="G32" s="2">
        <f>186+150</f>
        <v>336</v>
      </c>
      <c r="H32" s="2">
        <f>169+141</f>
        <v>310</v>
      </c>
      <c r="I32" s="2">
        <f>-24+224</f>
        <v>200</v>
      </c>
      <c r="J32" s="2">
        <f>-191+147</f>
        <v>-44</v>
      </c>
      <c r="K32" s="2">
        <f>86+117</f>
        <v>203</v>
      </c>
      <c r="L32" s="2">
        <f>205+145</f>
        <v>350</v>
      </c>
      <c r="M32" s="2">
        <f>-120+80</f>
        <v>-40</v>
      </c>
      <c r="N32" s="2">
        <f>-159+130</f>
        <v>-29</v>
      </c>
      <c r="O32" s="2">
        <f>316-129</f>
        <v>187</v>
      </c>
      <c r="P32" s="2">
        <f>O55*0.03/4</f>
        <v>-209.61749999999998</v>
      </c>
      <c r="Q32" s="2">
        <f t="shared" ref="Q32:S32" si="39">P55*0.03/4</f>
        <v>-210.425445</v>
      </c>
      <c r="R32" s="2">
        <f t="shared" si="39"/>
        <v>-209.17327766999998</v>
      </c>
      <c r="S32" s="2">
        <f t="shared" si="39"/>
        <v>-204.00927733601995</v>
      </c>
      <c r="U32" s="2">
        <f>SUM(D32:G32)</f>
        <v>5434</v>
      </c>
      <c r="V32" s="2">
        <f>SUM(H32:K32)</f>
        <v>669</v>
      </c>
      <c r="W32" s="2">
        <f>SUM(L32:O32)</f>
        <v>468</v>
      </c>
      <c r="X32" s="2">
        <f>SUM(M32:P32)</f>
        <v>-91.617499999999978</v>
      </c>
      <c r="Y32" s="2">
        <f>X55*$AR$45</f>
        <v>-251.86436399998792</v>
      </c>
      <c r="Z32" s="2">
        <f t="shared" ref="Z32:AN32" si="40">Y55*$AR$45</f>
        <v>-188.2661285119878</v>
      </c>
      <c r="AA32" s="2">
        <f t="shared" si="40"/>
        <v>-105.55582795608369</v>
      </c>
      <c r="AB32" s="2">
        <f t="shared" si="40"/>
        <v>-20.228385579892329</v>
      </c>
      <c r="AC32" s="2">
        <f t="shared" si="40"/>
        <v>53.043917520804555</v>
      </c>
      <c r="AD32" s="2">
        <f t="shared" si="40"/>
        <v>112.73130968652769</v>
      </c>
      <c r="AE32" s="2">
        <f t="shared" si="40"/>
        <v>157.14955222402227</v>
      </c>
      <c r="AF32" s="2">
        <f t="shared" si="40"/>
        <v>249.5554942494721</v>
      </c>
      <c r="AG32" s="2">
        <f t="shared" si="40"/>
        <v>390.76820127938066</v>
      </c>
      <c r="AH32" s="2">
        <f t="shared" si="40"/>
        <v>582.0896148898604</v>
      </c>
      <c r="AI32" s="2">
        <f t="shared" si="40"/>
        <v>777.73488626254664</v>
      </c>
      <c r="AJ32" s="2">
        <f t="shared" si="40"/>
        <v>977.73919911087069</v>
      </c>
      <c r="AK32" s="2">
        <f t="shared" si="40"/>
        <v>1182.1388447468805</v>
      </c>
      <c r="AL32" s="2">
        <f t="shared" si="40"/>
        <v>1376.7918892002663</v>
      </c>
      <c r="AM32" s="2">
        <f t="shared" si="40"/>
        <v>1560.2133715977202</v>
      </c>
      <c r="AN32" s="2">
        <f t="shared" si="40"/>
        <v>1780.4673532165825</v>
      </c>
    </row>
    <row r="33" spans="3:118" s="2" customFormat="1" x14ac:dyDescent="0.2">
      <c r="C33" s="2" t="s">
        <v>23</v>
      </c>
      <c r="D33" s="2">
        <f>+D31+D32</f>
        <v>9661</v>
      </c>
      <c r="E33" s="2">
        <f>+E31+E32</f>
        <v>-909</v>
      </c>
      <c r="F33" s="2">
        <f>+F31+F32</f>
        <v>-188</v>
      </c>
      <c r="G33" s="2">
        <f>+G31+G32</f>
        <v>-796</v>
      </c>
      <c r="H33" s="2">
        <f>+H31+H32</f>
        <v>-1158</v>
      </c>
      <c r="I33" s="2">
        <f>+I31+I32</f>
        <v>-816</v>
      </c>
      <c r="J33" s="2">
        <f>+J31+J32</f>
        <v>-52</v>
      </c>
      <c r="K33" s="2">
        <f>+K31+K32</f>
        <v>2788</v>
      </c>
      <c r="L33" s="2">
        <f>+L31+L32</f>
        <v>-719</v>
      </c>
      <c r="M33" s="2">
        <f>+M31+M32</f>
        <v>-2004</v>
      </c>
      <c r="N33" s="2">
        <f>+N31+N32</f>
        <v>-9086</v>
      </c>
      <c r="O33" s="2">
        <f>+O31+O32</f>
        <v>599</v>
      </c>
      <c r="P33" s="2">
        <f t="shared" ref="P33:S33" si="41">+P31+P32</f>
        <v>-134.65749999999994</v>
      </c>
      <c r="Q33" s="2">
        <f t="shared" si="41"/>
        <v>208.6945550000008</v>
      </c>
      <c r="R33" s="2">
        <f t="shared" si="41"/>
        <v>860.6667223300002</v>
      </c>
      <c r="S33" s="2">
        <f t="shared" si="41"/>
        <v>1591.49072266398</v>
      </c>
      <c r="U33" s="2">
        <f>+U31+U32</f>
        <v>7768</v>
      </c>
      <c r="V33" s="2">
        <f>+V31+V32</f>
        <v>762</v>
      </c>
      <c r="W33" s="2">
        <f>+W31+W32</f>
        <v>-11210</v>
      </c>
      <c r="X33" s="2">
        <f>+X31+X32</f>
        <v>3267.8025000000057</v>
      </c>
      <c r="Y33" s="2">
        <f t="shared" ref="Y33:AN33" si="42">+Y31+Y32</f>
        <v>7949.7794360000134</v>
      </c>
      <c r="Z33" s="2">
        <f t="shared" si="42"/>
        <v>10338.787569488015</v>
      </c>
      <c r="AA33" s="2">
        <f t="shared" si="42"/>
        <v>10665.930297023919</v>
      </c>
      <c r="AB33" s="2">
        <f t="shared" si="42"/>
        <v>9159.0378875871102</v>
      </c>
      <c r="AC33" s="2">
        <f t="shared" si="42"/>
        <v>7460.9240207153925</v>
      </c>
      <c r="AD33" s="2">
        <f t="shared" si="42"/>
        <v>5552.2803171868236</v>
      </c>
      <c r="AE33" s="2">
        <f t="shared" si="42"/>
        <v>11550.742753181225</v>
      </c>
      <c r="AF33" s="2">
        <f t="shared" si="42"/>
        <v>17651.588378738568</v>
      </c>
      <c r="AG33" s="2">
        <f t="shared" si="42"/>
        <v>23915.176701309963</v>
      </c>
      <c r="AH33" s="2">
        <f t="shared" si="42"/>
        <v>24455.658921585778</v>
      </c>
      <c r="AI33" s="2">
        <f t="shared" si="42"/>
        <v>25000.539106040502</v>
      </c>
      <c r="AJ33" s="2">
        <f t="shared" si="42"/>
        <v>25549.95570450123</v>
      </c>
      <c r="AK33" s="2">
        <f t="shared" si="42"/>
        <v>24331.630556673219</v>
      </c>
      <c r="AL33" s="2">
        <f t="shared" si="42"/>
        <v>22927.685299681751</v>
      </c>
      <c r="AM33" s="2">
        <f t="shared" si="42"/>
        <v>27531.747702357799</v>
      </c>
      <c r="AN33" s="2">
        <f t="shared" si="42"/>
        <v>32622.460895838631</v>
      </c>
    </row>
    <row r="34" spans="3:118" s="2" customFormat="1" x14ac:dyDescent="0.2">
      <c r="C34" s="2" t="s">
        <v>24</v>
      </c>
      <c r="D34" s="2">
        <v>1548</v>
      </c>
      <c r="E34" s="2">
        <v>-455</v>
      </c>
      <c r="F34" s="2">
        <v>-1207</v>
      </c>
      <c r="G34" s="2">
        <f>-135+3</f>
        <v>-132</v>
      </c>
      <c r="H34" s="2">
        <v>1600</v>
      </c>
      <c r="I34" s="2">
        <f>-2289-8</f>
        <v>-2297</v>
      </c>
      <c r="J34" s="2">
        <v>-362</v>
      </c>
      <c r="K34" s="2">
        <f>128-9</f>
        <v>119</v>
      </c>
      <c r="L34" s="2">
        <f>-282-56</f>
        <v>-338</v>
      </c>
      <c r="M34" s="2">
        <f>-350-44</f>
        <v>-394</v>
      </c>
      <c r="N34" s="2">
        <v>7903</v>
      </c>
      <c r="O34" s="2">
        <f>752-27</f>
        <v>725</v>
      </c>
      <c r="P34" s="2">
        <f>P33*0.2</f>
        <v>-26.931499999999989</v>
      </c>
      <c r="Q34" s="2">
        <f t="shared" ref="Q34:S34" si="43">Q33*0.2</f>
        <v>41.738911000000165</v>
      </c>
      <c r="R34" s="2">
        <f t="shared" si="43"/>
        <v>172.13334446600004</v>
      </c>
      <c r="S34" s="2">
        <f t="shared" si="43"/>
        <v>318.29814453279602</v>
      </c>
      <c r="U34" s="2">
        <f>SUM(D34:G34)</f>
        <v>-246</v>
      </c>
      <c r="V34" s="2">
        <f>SUM(H34:K34)</f>
        <v>-940</v>
      </c>
      <c r="W34" s="2">
        <f>SUM(L34:O34)</f>
        <v>7896</v>
      </c>
      <c r="X34" s="2">
        <f>SUM(P34:S34)</f>
        <v>505.23889999879623</v>
      </c>
      <c r="Y34" s="2">
        <f>Y33*0.2</f>
        <v>1589.9558872000027</v>
      </c>
      <c r="Z34" s="2">
        <f t="shared" ref="Z34:AN34" si="44">Z33*0.2</f>
        <v>2067.7575138976031</v>
      </c>
      <c r="AA34" s="2">
        <f t="shared" si="44"/>
        <v>2133.1860594047839</v>
      </c>
      <c r="AB34" s="2">
        <f t="shared" si="44"/>
        <v>1831.807577517422</v>
      </c>
      <c r="AC34" s="2">
        <f t="shared" si="44"/>
        <v>1492.1848041430785</v>
      </c>
      <c r="AD34" s="2">
        <f t="shared" si="44"/>
        <v>1110.4560634373647</v>
      </c>
      <c r="AE34" s="2">
        <f t="shared" si="44"/>
        <v>2310.1485506362451</v>
      </c>
      <c r="AF34" s="2">
        <f t="shared" si="44"/>
        <v>3530.317675747714</v>
      </c>
      <c r="AG34" s="2">
        <f t="shared" si="44"/>
        <v>4783.035340261993</v>
      </c>
      <c r="AH34" s="2">
        <f t="shared" si="44"/>
        <v>4891.1317843171555</v>
      </c>
      <c r="AI34" s="2">
        <f t="shared" si="44"/>
        <v>5000.1078212081011</v>
      </c>
      <c r="AJ34" s="2">
        <f t="shared" si="44"/>
        <v>5109.9911409002461</v>
      </c>
      <c r="AK34" s="2">
        <f t="shared" si="44"/>
        <v>4866.3261113346443</v>
      </c>
      <c r="AL34" s="2">
        <f t="shared" si="44"/>
        <v>4585.5370599363505</v>
      </c>
      <c r="AM34" s="2">
        <f t="shared" si="44"/>
        <v>5506.3495404715604</v>
      </c>
      <c r="AN34" s="2">
        <f t="shared" si="44"/>
        <v>6524.4921791677261</v>
      </c>
    </row>
    <row r="35" spans="3:118" s="2" customFormat="1" x14ac:dyDescent="0.2">
      <c r="C35" s="2" t="s">
        <v>25</v>
      </c>
      <c r="D35" s="2">
        <f>D33-D34</f>
        <v>8113</v>
      </c>
      <c r="E35" s="2">
        <f>E33-E34</f>
        <v>-454</v>
      </c>
      <c r="F35" s="2">
        <f>F33-F34</f>
        <v>1019</v>
      </c>
      <c r="G35" s="2">
        <f>G33-G34</f>
        <v>-664</v>
      </c>
      <c r="H35" s="2">
        <f>H33-H34</f>
        <v>-2758</v>
      </c>
      <c r="I35" s="2">
        <f>I33-I34</f>
        <v>1481</v>
      </c>
      <c r="J35" s="2">
        <f>J33-J34</f>
        <v>310</v>
      </c>
      <c r="K35" s="2">
        <f>K33-K34</f>
        <v>2669</v>
      </c>
      <c r="L35" s="2">
        <f>L33-L34</f>
        <v>-381</v>
      </c>
      <c r="M35" s="2">
        <f>M33-M34</f>
        <v>-1610</v>
      </c>
      <c r="N35" s="2">
        <f>N33-N34</f>
        <v>-16989</v>
      </c>
      <c r="O35" s="2">
        <f>O33-O34</f>
        <v>-126</v>
      </c>
      <c r="P35" s="2">
        <f t="shared" ref="P35:S35" si="45">P33-P34</f>
        <v>-107.72599999999996</v>
      </c>
      <c r="Q35" s="2">
        <f t="shared" si="45"/>
        <v>166.95564400000063</v>
      </c>
      <c r="R35" s="2">
        <f t="shared" si="45"/>
        <v>688.53337786400016</v>
      </c>
      <c r="S35" s="2">
        <f t="shared" si="45"/>
        <v>1273.1925781311841</v>
      </c>
      <c r="U35" s="2">
        <f>U33-U34</f>
        <v>8014</v>
      </c>
      <c r="V35" s="2">
        <f>V33-V34</f>
        <v>1702</v>
      </c>
      <c r="W35" s="2">
        <f>W33-W34</f>
        <v>-19106</v>
      </c>
      <c r="X35" s="2">
        <f>X33-X34</f>
        <v>2762.5636000012096</v>
      </c>
      <c r="Y35" s="2">
        <f t="shared" ref="Y35:AN35" si="46">Y33-Y34</f>
        <v>6359.8235488000109</v>
      </c>
      <c r="Z35" s="2">
        <f t="shared" si="46"/>
        <v>8271.0300555904123</v>
      </c>
      <c r="AA35" s="2">
        <f t="shared" si="46"/>
        <v>8532.7442376191357</v>
      </c>
      <c r="AB35" s="2">
        <f t="shared" si="46"/>
        <v>7327.2303100696881</v>
      </c>
      <c r="AC35" s="2">
        <f t="shared" si="46"/>
        <v>5968.739216572314</v>
      </c>
      <c r="AD35" s="2">
        <f t="shared" si="46"/>
        <v>4441.8242537494589</v>
      </c>
      <c r="AE35" s="2">
        <f t="shared" si="46"/>
        <v>9240.5942025449804</v>
      </c>
      <c r="AF35" s="2">
        <f t="shared" si="46"/>
        <v>14121.270702990854</v>
      </c>
      <c r="AG35" s="2">
        <f t="shared" si="46"/>
        <v>19132.141361047972</v>
      </c>
      <c r="AH35" s="2">
        <f t="shared" si="46"/>
        <v>19564.527137268622</v>
      </c>
      <c r="AI35" s="2">
        <f t="shared" si="46"/>
        <v>20000.431284832401</v>
      </c>
      <c r="AJ35" s="2">
        <f t="shared" si="46"/>
        <v>20439.964563600985</v>
      </c>
      <c r="AK35" s="2">
        <f t="shared" si="46"/>
        <v>19465.304445338574</v>
      </c>
      <c r="AL35" s="2">
        <f t="shared" si="46"/>
        <v>18342.148239745402</v>
      </c>
      <c r="AM35" s="2">
        <f t="shared" si="46"/>
        <v>22025.398161886238</v>
      </c>
      <c r="AN35" s="2">
        <f t="shared" si="46"/>
        <v>26097.968716670905</v>
      </c>
      <c r="AO35" s="2">
        <f>AN35*(1+$AR$44)</f>
        <v>25576.009342337486</v>
      </c>
      <c r="AP35" s="2">
        <f t="shared" ref="AP35:DA35" si="47">AO35*(1+$AR$44)</f>
        <v>25064.489155490737</v>
      </c>
      <c r="AQ35" s="2">
        <f t="shared" si="47"/>
        <v>24563.199372380921</v>
      </c>
      <c r="AR35" s="2">
        <f t="shared" si="47"/>
        <v>24071.935384933302</v>
      </c>
      <c r="AS35" s="2">
        <f t="shared" si="47"/>
        <v>23590.496677234634</v>
      </c>
      <c r="AT35" s="2">
        <f t="shared" si="47"/>
        <v>23118.686743689941</v>
      </c>
      <c r="AU35" s="2">
        <f t="shared" si="47"/>
        <v>22656.313008816142</v>
      </c>
      <c r="AV35" s="2">
        <f t="shared" si="47"/>
        <v>22203.186748639819</v>
      </c>
      <c r="AW35" s="2">
        <f t="shared" si="47"/>
        <v>21759.12301366702</v>
      </c>
      <c r="AX35" s="2">
        <f t="shared" si="47"/>
        <v>21323.940553393681</v>
      </c>
      <c r="AY35" s="2">
        <f t="shared" si="47"/>
        <v>20897.461742325806</v>
      </c>
      <c r="AZ35" s="2">
        <f t="shared" si="47"/>
        <v>20479.512507479289</v>
      </c>
      <c r="BA35" s="2">
        <f t="shared" si="47"/>
        <v>20069.922257329701</v>
      </c>
      <c r="BB35" s="2">
        <f t="shared" si="47"/>
        <v>19668.523812183106</v>
      </c>
      <c r="BC35" s="2">
        <f t="shared" si="47"/>
        <v>19275.153335939445</v>
      </c>
      <c r="BD35" s="2">
        <f t="shared" si="47"/>
        <v>18889.650269220656</v>
      </c>
      <c r="BE35" s="2">
        <f t="shared" si="47"/>
        <v>18511.857263836242</v>
      </c>
      <c r="BF35" s="2">
        <f t="shared" si="47"/>
        <v>18141.620118559516</v>
      </c>
      <c r="BG35" s="2">
        <f t="shared" si="47"/>
        <v>17778.787716188326</v>
      </c>
      <c r="BH35" s="2">
        <f t="shared" si="47"/>
        <v>17423.211961864559</v>
      </c>
      <c r="BI35" s="2">
        <f t="shared" si="47"/>
        <v>17074.747722627268</v>
      </c>
      <c r="BJ35" s="2">
        <f t="shared" si="47"/>
        <v>16733.252768174723</v>
      </c>
      <c r="BK35" s="2">
        <f t="shared" si="47"/>
        <v>16398.58771281123</v>
      </c>
      <c r="BL35" s="2">
        <f t="shared" si="47"/>
        <v>16070.615958555005</v>
      </c>
      <c r="BM35" s="2">
        <f t="shared" si="47"/>
        <v>15749.203639383904</v>
      </c>
      <c r="BN35" s="2">
        <f t="shared" si="47"/>
        <v>15434.219566596226</v>
      </c>
      <c r="BO35" s="2">
        <f t="shared" si="47"/>
        <v>15125.535175264302</v>
      </c>
      <c r="BP35" s="2">
        <f t="shared" si="47"/>
        <v>14823.024471759016</v>
      </c>
      <c r="BQ35" s="2">
        <f t="shared" si="47"/>
        <v>14526.563982323834</v>
      </c>
      <c r="BR35" s="2">
        <f t="shared" si="47"/>
        <v>14236.032702677358</v>
      </c>
      <c r="BS35" s="2">
        <f t="shared" si="47"/>
        <v>13951.312048623809</v>
      </c>
      <c r="BT35" s="2">
        <f t="shared" si="47"/>
        <v>13672.285807651333</v>
      </c>
      <c r="BU35" s="2">
        <f t="shared" si="47"/>
        <v>13398.840091498307</v>
      </c>
      <c r="BV35" s="2">
        <f t="shared" si="47"/>
        <v>13130.863289668341</v>
      </c>
      <c r="BW35" s="2">
        <f t="shared" si="47"/>
        <v>12868.246023874974</v>
      </c>
      <c r="BX35" s="2">
        <f t="shared" si="47"/>
        <v>12610.881103397474</v>
      </c>
      <c r="BY35" s="2">
        <f t="shared" si="47"/>
        <v>12358.663481329524</v>
      </c>
      <c r="BZ35" s="2">
        <f t="shared" si="47"/>
        <v>12111.490211702934</v>
      </c>
      <c r="CA35" s="2">
        <f t="shared" si="47"/>
        <v>11869.260407468875</v>
      </c>
      <c r="CB35" s="2">
        <f t="shared" si="47"/>
        <v>11631.875199319498</v>
      </c>
      <c r="CC35" s="2">
        <f t="shared" si="47"/>
        <v>11399.237695333108</v>
      </c>
      <c r="CD35" s="2">
        <f t="shared" si="47"/>
        <v>11171.252941426445</v>
      </c>
      <c r="CE35" s="2">
        <f t="shared" si="47"/>
        <v>10947.827882597916</v>
      </c>
      <c r="CF35" s="2">
        <f t="shared" si="47"/>
        <v>10728.871324945958</v>
      </c>
      <c r="CG35" s="2">
        <f t="shared" si="47"/>
        <v>10514.293898447038</v>
      </c>
      <c r="CH35" s="2">
        <f t="shared" si="47"/>
        <v>10304.008020478097</v>
      </c>
      <c r="CI35" s="2">
        <f t="shared" si="47"/>
        <v>10097.927860068536</v>
      </c>
      <c r="CJ35" s="2">
        <f t="shared" si="47"/>
        <v>9895.9693028671645</v>
      </c>
      <c r="CK35" s="2">
        <f t="shared" si="47"/>
        <v>9698.0499168098213</v>
      </c>
      <c r="CL35" s="2">
        <f t="shared" si="47"/>
        <v>9504.0889184736243</v>
      </c>
      <c r="CM35" s="2">
        <f t="shared" si="47"/>
        <v>9314.0071401041514</v>
      </c>
      <c r="CN35" s="2">
        <f t="shared" si="47"/>
        <v>9127.7269973020684</v>
      </c>
      <c r="CO35" s="2">
        <f t="shared" si="47"/>
        <v>8945.1724573560277</v>
      </c>
      <c r="CP35" s="2">
        <f t="shared" si="47"/>
        <v>8766.2690082089066</v>
      </c>
      <c r="CQ35" s="2">
        <f t="shared" si="47"/>
        <v>8590.943628044728</v>
      </c>
      <c r="CR35" s="2">
        <f t="shared" si="47"/>
        <v>8419.1247554838337</v>
      </c>
      <c r="CS35" s="2">
        <f t="shared" si="47"/>
        <v>8250.7422603741561</v>
      </c>
      <c r="CT35" s="2">
        <f t="shared" si="47"/>
        <v>8085.7274151666725</v>
      </c>
      <c r="CU35" s="2">
        <f t="shared" si="47"/>
        <v>7924.0128668633388</v>
      </c>
      <c r="CV35" s="2">
        <f t="shared" si="47"/>
        <v>7765.5326095260716</v>
      </c>
      <c r="CW35" s="2">
        <f t="shared" si="47"/>
        <v>7610.2219573355496</v>
      </c>
      <c r="CX35" s="2">
        <f t="shared" si="47"/>
        <v>7458.0175181888389</v>
      </c>
      <c r="CY35" s="2">
        <f t="shared" si="47"/>
        <v>7308.8571678250619</v>
      </c>
      <c r="CZ35" s="2">
        <f t="shared" si="47"/>
        <v>7162.6800244685601</v>
      </c>
      <c r="DA35" s="2">
        <f t="shared" si="47"/>
        <v>7019.4264239791892</v>
      </c>
      <c r="DB35" s="2">
        <f t="shared" ref="DB35:DN35" si="48">DA35*(1+$AR$44)</f>
        <v>6879.0378954996049</v>
      </c>
      <c r="DC35" s="2">
        <f t="shared" si="48"/>
        <v>6741.457137589613</v>
      </c>
      <c r="DD35" s="2">
        <f t="shared" si="48"/>
        <v>6606.6279948378206</v>
      </c>
      <c r="DE35" s="2">
        <f t="shared" si="48"/>
        <v>6474.4954349410636</v>
      </c>
      <c r="DF35" s="2">
        <f t="shared" si="48"/>
        <v>6345.005526242242</v>
      </c>
      <c r="DG35" s="2">
        <f t="shared" si="48"/>
        <v>6218.1054157173967</v>
      </c>
      <c r="DH35" s="2">
        <f t="shared" si="48"/>
        <v>6093.7433074030487</v>
      </c>
      <c r="DI35" s="2">
        <f t="shared" si="48"/>
        <v>5971.8684412549874</v>
      </c>
      <c r="DJ35" s="2">
        <f t="shared" si="48"/>
        <v>5852.4310724298875</v>
      </c>
      <c r="DK35" s="2">
        <f t="shared" si="48"/>
        <v>5735.3824509812894</v>
      </c>
      <c r="DL35" s="2">
        <f t="shared" si="48"/>
        <v>5620.6748019616634</v>
      </c>
      <c r="DM35" s="2">
        <f t="shared" si="48"/>
        <v>5508.2613059224304</v>
      </c>
      <c r="DN35" s="2">
        <f t="shared" si="48"/>
        <v>5398.0960798039814</v>
      </c>
    </row>
    <row r="36" spans="3:118" s="2" customFormat="1" x14ac:dyDescent="0.2">
      <c r="C36" s="2" t="s">
        <v>1</v>
      </c>
      <c r="D36" s="2">
        <v>4107</v>
      </c>
      <c r="E36" s="2">
        <v>4100</v>
      </c>
      <c r="F36" s="2">
        <v>4125</v>
      </c>
      <c r="G36" s="2">
        <v>4133</v>
      </c>
      <c r="H36" s="2">
        <v>4154</v>
      </c>
      <c r="I36" s="2">
        <v>4196</v>
      </c>
      <c r="J36" s="2">
        <v>4229</v>
      </c>
      <c r="K36" s="2">
        <v>4222</v>
      </c>
      <c r="L36" s="2">
        <v>4242</v>
      </c>
      <c r="M36" s="2">
        <v>4267</v>
      </c>
      <c r="N36" s="2">
        <v>4292</v>
      </c>
      <c r="O36" s="2">
        <v>4319</v>
      </c>
      <c r="P36" s="2">
        <f>L36</f>
        <v>4242</v>
      </c>
      <c r="Q36" s="2">
        <f t="shared" ref="Q36:S36" si="49">M36</f>
        <v>4267</v>
      </c>
      <c r="R36" s="2">
        <f t="shared" si="49"/>
        <v>4292</v>
      </c>
      <c r="S36" s="2">
        <f t="shared" si="49"/>
        <v>4319</v>
      </c>
      <c r="U36" s="2">
        <f>AVERAGE(D36:G36)</f>
        <v>4116.25</v>
      </c>
      <c r="V36" s="2">
        <f>AVERAGE(H36:K36)</f>
        <v>4200.25</v>
      </c>
      <c r="W36" s="2">
        <f>AVERAGE(L36:O36)</f>
        <v>4280</v>
      </c>
    </row>
    <row r="37" spans="3:118" s="3" customFormat="1" x14ac:dyDescent="0.2">
      <c r="C37" s="3" t="s">
        <v>26</v>
      </c>
      <c r="D37" s="3">
        <f>D35/D36</f>
        <v>1.9754078402727051</v>
      </c>
      <c r="E37" s="3">
        <f>E35/E36</f>
        <v>-0.11073170731707317</v>
      </c>
      <c r="F37" s="3">
        <f>F35/F36</f>
        <v>0.24703030303030302</v>
      </c>
      <c r="G37" s="3">
        <f>G35/G36</f>
        <v>-0.16065811759012824</v>
      </c>
      <c r="H37" s="3">
        <f>H35/H36</f>
        <v>-0.66393837265286471</v>
      </c>
      <c r="I37" s="3">
        <f>I35/I36</f>
        <v>0.35295519542421355</v>
      </c>
      <c r="J37" s="3">
        <f>J35/J36</f>
        <v>7.3303381414045868E-2</v>
      </c>
      <c r="K37" s="3">
        <f>K35/K36</f>
        <v>0.6321648507816201</v>
      </c>
      <c r="L37" s="3">
        <f>L35/L36</f>
        <v>-8.9816124469589823E-2</v>
      </c>
      <c r="M37" s="3">
        <f>M35/M36</f>
        <v>-0.37731427232247483</v>
      </c>
      <c r="N37" s="3">
        <f>N35/N36</f>
        <v>-3.9582945013979498</v>
      </c>
      <c r="O37" s="3">
        <f>O35/O36</f>
        <v>-2.9173419773095625E-2</v>
      </c>
      <c r="P37" s="3">
        <f t="shared" ref="P37:S37" si="50">P35/P36</f>
        <v>-2.5395096652522386E-2</v>
      </c>
      <c r="Q37" s="3">
        <f t="shared" si="50"/>
        <v>3.9127172252167948E-2</v>
      </c>
      <c r="R37" s="3">
        <f t="shared" si="50"/>
        <v>0.16042250183224607</v>
      </c>
      <c r="S37" s="3">
        <f t="shared" si="50"/>
        <v>0.29478874233183239</v>
      </c>
      <c r="U37" s="3">
        <f>U35/U36</f>
        <v>1.946917704221075</v>
      </c>
      <c r="V37" s="3">
        <f>V35/V36</f>
        <v>0.40521397535860959</v>
      </c>
      <c r="W37" s="3">
        <f>W35/W36</f>
        <v>-4.4640186915887847</v>
      </c>
    </row>
    <row r="43" spans="3:118" s="5" customFormat="1" x14ac:dyDescent="0.2">
      <c r="C43" s="5" t="s">
        <v>27</v>
      </c>
      <c r="H43" s="5">
        <f t="shared" ref="H43:M43" si="51">H24/D24-1</f>
        <v>-0.36168473818994173</v>
      </c>
      <c r="I43" s="5">
        <f>I24/D24-1</f>
        <v>-0.29444777420585189</v>
      </c>
      <c r="J43" s="5">
        <f>J24/E24-1</f>
        <v>-7.5908883232165048E-2</v>
      </c>
      <c r="K43" s="5">
        <f t="shared" si="51"/>
        <v>9.7137159948725182E-2</v>
      </c>
      <c r="L43" s="5">
        <f t="shared" si="51"/>
        <v>8.6128894579598825E-2</v>
      </c>
      <c r="M43" s="5">
        <f t="shared" si="51"/>
        <v>-8.9582207120241231E-3</v>
      </c>
      <c r="N43" s="5">
        <f>N24/J24-1</f>
        <v>-6.1731883034326862E-2</v>
      </c>
      <c r="O43" s="5">
        <f>O24/K24-1</f>
        <v>-7.4386602622354969E-2</v>
      </c>
      <c r="P43" s="5">
        <f t="shared" ref="P43:S43" si="52">P24/L24-1</f>
        <v>0.10692392329456135</v>
      </c>
      <c r="Q43" s="5">
        <f t="shared" si="52"/>
        <v>0.10519753759837913</v>
      </c>
      <c r="R43" s="5">
        <f t="shared" si="52"/>
        <v>0.16077988557663359</v>
      </c>
      <c r="S43" s="5">
        <f t="shared" si="52"/>
        <v>0.15994389901823269</v>
      </c>
      <c r="V43" s="5">
        <f>V24/U24-1</f>
        <v>-0.13997525930155108</v>
      </c>
      <c r="W43" s="5">
        <f>W24/V24-1</f>
        <v>-2.0782621523935951E-2</v>
      </c>
      <c r="X43" s="5">
        <f t="shared" ref="X43:AN43" si="53">X24/W24-1</f>
        <v>0.13421781134065291</v>
      </c>
      <c r="Y43" s="5">
        <f t="shared" si="53"/>
        <v>0.19999999999999996</v>
      </c>
      <c r="Z43" s="5">
        <f t="shared" si="53"/>
        <v>8.0000000000000071E-2</v>
      </c>
      <c r="AA43" s="5">
        <f t="shared" si="53"/>
        <v>1.0000000000000009E-2</v>
      </c>
      <c r="AB43" s="5">
        <f t="shared" si="53"/>
        <v>1.0000000000000009E-2</v>
      </c>
      <c r="AC43" s="5">
        <f t="shared" si="53"/>
        <v>1.0000000000000009E-2</v>
      </c>
      <c r="AD43" s="5">
        <f t="shared" si="53"/>
        <v>1.0000000000000009E-2</v>
      </c>
      <c r="AE43" s="5">
        <f t="shared" si="53"/>
        <v>0.10000000000000009</v>
      </c>
      <c r="AF43" s="5">
        <f t="shared" si="53"/>
        <v>0.10000000000000009</v>
      </c>
      <c r="AG43" s="5">
        <f t="shared" si="53"/>
        <v>0.10000000000000009</v>
      </c>
      <c r="AH43" s="5">
        <f t="shared" si="53"/>
        <v>1.0000000000000009E-2</v>
      </c>
      <c r="AI43" s="5">
        <f t="shared" si="53"/>
        <v>1.0000000000000009E-2</v>
      </c>
      <c r="AJ43" s="5">
        <f t="shared" si="53"/>
        <v>1.0000000000000009E-2</v>
      </c>
      <c r="AK43" s="5">
        <f t="shared" si="53"/>
        <v>1.0000000000000009E-2</v>
      </c>
      <c r="AL43" s="5">
        <f t="shared" si="53"/>
        <v>1.0000000000000009E-2</v>
      </c>
      <c r="AM43" s="5">
        <f t="shared" si="53"/>
        <v>0.10000000000000009</v>
      </c>
      <c r="AN43" s="5">
        <f t="shared" si="53"/>
        <v>0.10000000000000009</v>
      </c>
    </row>
    <row r="44" spans="3:118" s="5" customFormat="1" x14ac:dyDescent="0.2">
      <c r="AQ44" s="5" t="s">
        <v>112</v>
      </c>
      <c r="AR44" s="5">
        <v>-0.02</v>
      </c>
    </row>
    <row r="45" spans="3:118" s="5" customFormat="1" x14ac:dyDescent="0.2">
      <c r="AQ45" s="5" t="s">
        <v>111</v>
      </c>
      <c r="AR45" s="5">
        <v>0.01</v>
      </c>
    </row>
    <row r="46" spans="3:118" s="5" customFormat="1" x14ac:dyDescent="0.2">
      <c r="C46" s="5" t="s">
        <v>106</v>
      </c>
      <c r="H46" s="5">
        <f t="shared" ref="H46:N46" si="54">H27/D27-1</f>
        <v>-5.8000917010545661E-2</v>
      </c>
      <c r="I46" s="5">
        <f t="shared" si="54"/>
        <v>-7.2727272727272751E-2</v>
      </c>
      <c r="J46" s="5">
        <f t="shared" si="54"/>
        <v>-0.10041841004184104</v>
      </c>
      <c r="K46" s="5">
        <f t="shared" si="54"/>
        <v>-0.10685483870967738</v>
      </c>
      <c r="L46" s="5">
        <f t="shared" si="54"/>
        <v>6.6439522998296363E-2</v>
      </c>
      <c r="M46" s="5">
        <f t="shared" si="54"/>
        <v>3.8970588235294201E-2</v>
      </c>
      <c r="N46" s="5">
        <f t="shared" si="54"/>
        <v>4.6253229974160259E-2</v>
      </c>
      <c r="O46" s="5">
        <f>O27/K27-1</f>
        <v>-2.7840481565086561E-2</v>
      </c>
      <c r="P46" s="5">
        <f t="shared" ref="P46:S46" si="55">P27/L27-1</f>
        <v>2.0000000000000018E-2</v>
      </c>
      <c r="Q46" s="5">
        <f t="shared" si="55"/>
        <v>2.0000000000000018E-2</v>
      </c>
      <c r="R46" s="5">
        <f t="shared" si="55"/>
        <v>2.0000000000000018E-2</v>
      </c>
      <c r="S46" s="5">
        <f t="shared" si="55"/>
        <v>2.0000000000000018E-2</v>
      </c>
      <c r="V46" s="5">
        <f>V27/U27-1</f>
        <v>-8.4550433591967122E-2</v>
      </c>
      <c r="W46" s="5">
        <f>W27/V27-1</f>
        <v>3.116041381029544E-2</v>
      </c>
      <c r="X46" s="5">
        <f t="shared" ref="X46:AN46" si="56">X27/W27-1</f>
        <v>2.0000000000000018E-2</v>
      </c>
      <c r="Y46" s="5">
        <f t="shared" si="56"/>
        <v>1.0000000000000009E-2</v>
      </c>
      <c r="Z46" s="5">
        <f t="shared" si="56"/>
        <v>1.0000000000000009E-2</v>
      </c>
      <c r="AA46" s="5">
        <f t="shared" si="56"/>
        <v>1.0000000000000009E-2</v>
      </c>
      <c r="AB46" s="5">
        <f t="shared" si="56"/>
        <v>0.10000000000000009</v>
      </c>
      <c r="AC46" s="5">
        <f t="shared" si="56"/>
        <v>0.10000000000000009</v>
      </c>
      <c r="AD46" s="5">
        <f t="shared" si="56"/>
        <v>0.10000000000000009</v>
      </c>
      <c r="AE46" s="5">
        <f t="shared" si="56"/>
        <v>-9.9999999999999978E-2</v>
      </c>
      <c r="AF46" s="5">
        <f t="shared" si="56"/>
        <v>-9.9999999999999978E-2</v>
      </c>
      <c r="AG46" s="5">
        <f t="shared" si="56"/>
        <v>-9.9999999999999978E-2</v>
      </c>
      <c r="AH46" s="5">
        <f t="shared" si="56"/>
        <v>1.0000000000000009E-2</v>
      </c>
      <c r="AI46" s="5">
        <f t="shared" si="56"/>
        <v>1.0000000000000009E-2</v>
      </c>
      <c r="AJ46" s="5">
        <f t="shared" si="56"/>
        <v>1.0000000000000009E-2</v>
      </c>
      <c r="AK46" s="5">
        <f t="shared" si="56"/>
        <v>0.10000000000000009</v>
      </c>
      <c r="AL46" s="5">
        <f t="shared" si="56"/>
        <v>0.10000000000000009</v>
      </c>
      <c r="AM46" s="5">
        <f t="shared" si="56"/>
        <v>1.0000000000000009E-2</v>
      </c>
      <c r="AN46" s="5">
        <f t="shared" si="56"/>
        <v>1.0000000000000009E-2</v>
      </c>
      <c r="AQ46" s="5" t="s">
        <v>109</v>
      </c>
      <c r="AR46" s="5">
        <v>0.08</v>
      </c>
    </row>
    <row r="47" spans="3:118" s="5" customFormat="1" x14ac:dyDescent="0.2">
      <c r="C47" s="2" t="s">
        <v>108</v>
      </c>
      <c r="H47" s="5">
        <f t="shared" ref="H47:S47" si="57">H28/D28-1</f>
        <v>-0.25627853881278539</v>
      </c>
      <c r="I47" s="5">
        <f t="shared" si="57"/>
        <v>-0.23666666666666669</v>
      </c>
      <c r="J47" s="5">
        <f t="shared" si="57"/>
        <v>-0.23165137614678899</v>
      </c>
      <c r="K47" s="5">
        <f t="shared" si="57"/>
        <v>-5.216881594372802E-2</v>
      </c>
      <c r="L47" s="5">
        <f t="shared" si="57"/>
        <v>0.19416730621642353</v>
      </c>
      <c r="M47" s="5">
        <f t="shared" si="57"/>
        <v>-3.2751091703056789E-2</v>
      </c>
      <c r="N47" s="5">
        <f t="shared" si="57"/>
        <v>3.2089552238806052E-2</v>
      </c>
      <c r="O47" s="5">
        <f t="shared" si="57"/>
        <v>-0.23376623376623373</v>
      </c>
      <c r="P47" s="5">
        <f t="shared" si="57"/>
        <v>-0.30000000000000016</v>
      </c>
      <c r="Q47" s="5">
        <f t="shared" si="57"/>
        <v>-0.30000000000000004</v>
      </c>
      <c r="R47" s="5">
        <f t="shared" si="57"/>
        <v>-0.30000000000000004</v>
      </c>
      <c r="S47" s="5">
        <f t="shared" si="57"/>
        <v>-0.30000000000000004</v>
      </c>
      <c r="V47" s="5">
        <f>V28/U28-1</f>
        <v>-0.19537275064267356</v>
      </c>
      <c r="W47" s="5">
        <f>W28/V28-1</f>
        <v>-2.2541711040113599E-2</v>
      </c>
      <c r="X47" s="5">
        <f t="shared" ref="X47:AN47" si="58">X28/W28-1</f>
        <v>-0.30000000000000004</v>
      </c>
      <c r="Y47" s="5">
        <f t="shared" si="58"/>
        <v>-5.0000000000000044E-2</v>
      </c>
      <c r="Z47" s="5">
        <f t="shared" si="58"/>
        <v>-5.0000000000000044E-2</v>
      </c>
      <c r="AA47" s="5">
        <f t="shared" si="58"/>
        <v>-3.0000000000000027E-2</v>
      </c>
      <c r="AB47" s="5">
        <f t="shared" si="58"/>
        <v>5.0000000000000044E-2</v>
      </c>
      <c r="AC47" s="5">
        <f t="shared" si="58"/>
        <v>5.0000000000000044E-2</v>
      </c>
      <c r="AD47" s="5">
        <f t="shared" si="58"/>
        <v>5.0000000000000044E-2</v>
      </c>
      <c r="AE47" s="5">
        <f t="shared" si="58"/>
        <v>-9.9999999999999978E-2</v>
      </c>
      <c r="AF47" s="5">
        <f t="shared" si="58"/>
        <v>-9.9999999999999978E-2</v>
      </c>
      <c r="AG47" s="5">
        <f t="shared" si="58"/>
        <v>-9.9999999999999978E-2</v>
      </c>
      <c r="AH47" s="5">
        <f t="shared" si="58"/>
        <v>-3.0000000000000027E-2</v>
      </c>
      <c r="AI47" s="5">
        <f t="shared" si="58"/>
        <v>-3.0000000000000027E-2</v>
      </c>
      <c r="AJ47" s="5">
        <f t="shared" si="58"/>
        <v>-2.9999999999999916E-2</v>
      </c>
      <c r="AK47" s="5">
        <f t="shared" si="58"/>
        <v>5.0000000000000044E-2</v>
      </c>
      <c r="AL47" s="5">
        <f t="shared" si="58"/>
        <v>5.0000000000000044E-2</v>
      </c>
      <c r="AM47" s="5">
        <f t="shared" si="58"/>
        <v>-3.0000000000000027E-2</v>
      </c>
      <c r="AN47" s="5">
        <f t="shared" si="58"/>
        <v>-3.0000000000000027E-2</v>
      </c>
      <c r="AQ47" s="5" t="s">
        <v>110</v>
      </c>
      <c r="AR47" s="9">
        <f>NPV(AR46,X35:DN35)</f>
        <v>171936.0031501335</v>
      </c>
    </row>
    <row r="48" spans="3:118" s="5" customFormat="1" x14ac:dyDescent="0.2">
      <c r="AQ48" s="5" t="s">
        <v>1</v>
      </c>
      <c r="AR48" s="2">
        <v>4319</v>
      </c>
    </row>
    <row r="49" spans="3:44" s="5" customFormat="1" x14ac:dyDescent="0.2">
      <c r="AQ49" s="5" t="s">
        <v>113</v>
      </c>
      <c r="AR49" s="4">
        <f>AR47/AR48</f>
        <v>39.809215825453464</v>
      </c>
    </row>
    <row r="50" spans="3:44" s="5" customFormat="1" x14ac:dyDescent="0.2">
      <c r="C50" s="5" t="s">
        <v>28</v>
      </c>
      <c r="D50" s="5">
        <f t="shared" ref="D50:L50" si="59">D26/D24</f>
        <v>0.50367787282733067</v>
      </c>
      <c r="E50" s="5">
        <f>D26/D24</f>
        <v>0.50367787282733067</v>
      </c>
      <c r="F50" s="5">
        <f>E26/E24</f>
        <v>0.36466288101298872</v>
      </c>
      <c r="G50" s="5">
        <f t="shared" si="59"/>
        <v>0.39168209656744052</v>
      </c>
      <c r="H50" s="5">
        <f t="shared" si="59"/>
        <v>0.34212548015364919</v>
      </c>
      <c r="I50" s="5">
        <f t="shared" si="59"/>
        <v>0.35817437639972199</v>
      </c>
      <c r="J50" s="5">
        <f t="shared" si="59"/>
        <v>0.42506003672835146</v>
      </c>
      <c r="K50" s="5">
        <f t="shared" si="59"/>
        <v>0.45741918732961184</v>
      </c>
      <c r="L50" s="5">
        <f t="shared" si="59"/>
        <v>0.41001257466205598</v>
      </c>
      <c r="M50" s="5">
        <f>M26/M24</f>
        <v>0.35432089145172602</v>
      </c>
      <c r="N50" s="5">
        <f>N26/N24</f>
        <v>0.15033122553447756</v>
      </c>
      <c r="O50" s="5">
        <f>O26/O24</f>
        <v>0.39158485273492288</v>
      </c>
      <c r="P50" s="5">
        <f t="shared" ref="P50:S50" si="60">P26/P24</f>
        <v>0.4</v>
      </c>
      <c r="Q50" s="5">
        <f t="shared" si="60"/>
        <v>0.40000000000000008</v>
      </c>
      <c r="R50" s="5">
        <f t="shared" si="60"/>
        <v>0.4</v>
      </c>
      <c r="S50" s="5">
        <f t="shared" si="60"/>
        <v>0.4</v>
      </c>
      <c r="U50" s="5">
        <f>U26/U24</f>
        <v>0.42607923367272499</v>
      </c>
      <c r="V50" s="5">
        <f>V26/V24</f>
        <v>0.40036512502766097</v>
      </c>
      <c r="W50" s="5">
        <f>W26/W24</f>
        <v>0.32664168283083184</v>
      </c>
      <c r="X50" s="5">
        <f t="shared" ref="X50:AN50" si="61">X26/X24</f>
        <v>0.4</v>
      </c>
      <c r="Y50" s="5">
        <f t="shared" si="61"/>
        <v>0.4</v>
      </c>
      <c r="Z50" s="5">
        <f t="shared" si="61"/>
        <v>0.4</v>
      </c>
      <c r="AA50" s="5">
        <f t="shared" si="61"/>
        <v>0.4</v>
      </c>
      <c r="AB50" s="5">
        <f t="shared" si="61"/>
        <v>0.4</v>
      </c>
      <c r="AC50" s="5">
        <f t="shared" si="61"/>
        <v>0.4</v>
      </c>
      <c r="AD50" s="5">
        <f t="shared" si="61"/>
        <v>0.4</v>
      </c>
      <c r="AE50" s="5">
        <f t="shared" si="61"/>
        <v>0.4</v>
      </c>
      <c r="AF50" s="5">
        <f t="shared" si="61"/>
        <v>0.39999999999999997</v>
      </c>
      <c r="AG50" s="5">
        <f t="shared" si="61"/>
        <v>0.40000000000000008</v>
      </c>
      <c r="AH50" s="5">
        <f t="shared" si="61"/>
        <v>0.4</v>
      </c>
      <c r="AI50" s="5">
        <f t="shared" si="61"/>
        <v>0.4</v>
      </c>
      <c r="AJ50" s="5">
        <f t="shared" si="61"/>
        <v>0.4</v>
      </c>
      <c r="AK50" s="5">
        <f t="shared" si="61"/>
        <v>0.40000000000000008</v>
      </c>
      <c r="AL50" s="5">
        <f t="shared" si="61"/>
        <v>0.4</v>
      </c>
      <c r="AM50" s="5">
        <f t="shared" si="61"/>
        <v>0.4</v>
      </c>
      <c r="AN50" s="5">
        <f t="shared" si="61"/>
        <v>0.4</v>
      </c>
      <c r="AQ50" s="5" t="s">
        <v>0</v>
      </c>
      <c r="AR50" s="4">
        <v>24.87</v>
      </c>
    </row>
    <row r="51" spans="3:44" s="5" customFormat="1" x14ac:dyDescent="0.2">
      <c r="C51" s="5" t="s">
        <v>24</v>
      </c>
      <c r="D51" s="5">
        <f t="shared" ref="D51:L51" si="62">D34/D33</f>
        <v>0.16023186005589485</v>
      </c>
      <c r="E51" s="5">
        <f>D34/D33</f>
        <v>0.16023186005589485</v>
      </c>
      <c r="F51" s="5">
        <f>E34/E33</f>
        <v>0.50055005500550054</v>
      </c>
      <c r="G51" s="5">
        <f t="shared" si="62"/>
        <v>0.16582914572864321</v>
      </c>
      <c r="H51" s="5">
        <f t="shared" si="62"/>
        <v>-1.3816925734024179</v>
      </c>
      <c r="I51" s="5">
        <f t="shared" si="62"/>
        <v>2.8149509803921569</v>
      </c>
      <c r="J51" s="5">
        <f t="shared" si="62"/>
        <v>6.9615384615384617</v>
      </c>
      <c r="K51" s="5">
        <f t="shared" si="62"/>
        <v>4.2682926829268296E-2</v>
      </c>
      <c r="L51" s="5">
        <f t="shared" si="62"/>
        <v>0.47009735744089015</v>
      </c>
      <c r="M51" s="5">
        <f>M34/M33</f>
        <v>0.19660678642714571</v>
      </c>
      <c r="N51" s="5">
        <f>N34/N33</f>
        <v>-0.86979969183359018</v>
      </c>
      <c r="O51" s="5">
        <f>O34/O33</f>
        <v>1.2103505843071787</v>
      </c>
      <c r="P51" s="5">
        <f t="shared" ref="P51:S51" si="63">P34/P33</f>
        <v>0.2</v>
      </c>
      <c r="Q51" s="5">
        <f t="shared" si="63"/>
        <v>0.2</v>
      </c>
      <c r="R51" s="5">
        <f t="shared" si="63"/>
        <v>0.2</v>
      </c>
      <c r="S51" s="5">
        <f t="shared" si="63"/>
        <v>0.2</v>
      </c>
      <c r="U51" s="5">
        <f>U34/U33</f>
        <v>-3.1668383110195673E-2</v>
      </c>
      <c r="V51" s="5">
        <f>V34/V33</f>
        <v>-1.2335958005249343</v>
      </c>
      <c r="W51" s="5">
        <f>W34/W33</f>
        <v>-0.704371097234612</v>
      </c>
      <c r="X51" s="5">
        <f t="shared" ref="X51:AN51" si="64">X34/X33</f>
        <v>0.15461121043845072</v>
      </c>
      <c r="Y51" s="5">
        <f t="shared" si="64"/>
        <v>0.2</v>
      </c>
      <c r="Z51" s="5">
        <f t="shared" si="64"/>
        <v>0.2</v>
      </c>
      <c r="AA51" s="5">
        <f t="shared" si="64"/>
        <v>0.2</v>
      </c>
      <c r="AB51" s="5">
        <f t="shared" si="64"/>
        <v>0.2</v>
      </c>
      <c r="AC51" s="5">
        <f t="shared" si="64"/>
        <v>0.2</v>
      </c>
      <c r="AD51" s="5">
        <f t="shared" si="64"/>
        <v>0.2</v>
      </c>
      <c r="AE51" s="5">
        <f t="shared" si="64"/>
        <v>0.2</v>
      </c>
      <c r="AF51" s="5">
        <f t="shared" si="64"/>
        <v>0.2</v>
      </c>
      <c r="AG51" s="5">
        <f t="shared" si="64"/>
        <v>0.2</v>
      </c>
      <c r="AH51" s="5">
        <f t="shared" si="64"/>
        <v>0.19999999999999998</v>
      </c>
      <c r="AI51" s="5">
        <f t="shared" si="64"/>
        <v>0.20000000000000004</v>
      </c>
      <c r="AJ51" s="5">
        <f t="shared" si="64"/>
        <v>0.2</v>
      </c>
      <c r="AK51" s="5">
        <f t="shared" si="64"/>
        <v>0.2</v>
      </c>
      <c r="AL51" s="5">
        <f t="shared" si="64"/>
        <v>0.2</v>
      </c>
      <c r="AM51" s="5">
        <f t="shared" si="64"/>
        <v>0.2</v>
      </c>
      <c r="AN51" s="5">
        <f t="shared" si="64"/>
        <v>0.2</v>
      </c>
      <c r="AQ51" s="5" t="s">
        <v>114</v>
      </c>
      <c r="AR51" s="5">
        <f>AR49/AR50-1</f>
        <v>0.60069223262780302</v>
      </c>
    </row>
    <row r="52" spans="3:44" s="5" customFormat="1" x14ac:dyDescent="0.2">
      <c r="C52" s="5" t="s">
        <v>29</v>
      </c>
      <c r="D52" s="5">
        <f t="shared" ref="D52:L52" si="65">D32/D24</f>
        <v>0.28987086579850707</v>
      </c>
      <c r="E52" s="5">
        <f>D32/D24</f>
        <v>0.28987086579850707</v>
      </c>
      <c r="F52" s="5">
        <f>E32/E24</f>
        <v>-1.3641407218849945E-2</v>
      </c>
      <c r="G52" s="5">
        <f t="shared" si="65"/>
        <v>2.3928215353938187E-2</v>
      </c>
      <c r="H52" s="5">
        <f t="shared" si="65"/>
        <v>2.6461801109688432E-2</v>
      </c>
      <c r="I52" s="5">
        <f t="shared" si="65"/>
        <v>1.5445208124179472E-2</v>
      </c>
      <c r="J52" s="5">
        <f t="shared" si="65"/>
        <v>-3.1077835852521543E-3</v>
      </c>
      <c r="K52" s="5">
        <f t="shared" si="65"/>
        <v>1.3176684408671946E-2</v>
      </c>
      <c r="L52" s="5">
        <f t="shared" si="65"/>
        <v>2.7507073247406477E-2</v>
      </c>
      <c r="M52" s="5">
        <f>M32/M24</f>
        <v>-3.1169640769890127E-3</v>
      </c>
      <c r="N52" s="5">
        <f>N32/N24</f>
        <v>-2.1830773863294188E-3</v>
      </c>
      <c r="O52" s="5">
        <f>O32/O24</f>
        <v>1.3113604488078542E-2</v>
      </c>
      <c r="P52" s="5">
        <f t="shared" ref="P52:S52" si="66">P32/P24</f>
        <v>-1.4882849941424969E-2</v>
      </c>
      <c r="Q52" s="5">
        <f t="shared" si="66"/>
        <v>-1.4836455263343439E-2</v>
      </c>
      <c r="R52" s="5">
        <f t="shared" si="66"/>
        <v>-1.3565239346165318E-2</v>
      </c>
      <c r="S52" s="5">
        <f t="shared" si="66"/>
        <v>-1.2333700748211692E-2</v>
      </c>
      <c r="U52" s="5">
        <f>U32/U24</f>
        <v>8.6180099597170684E-2</v>
      </c>
      <c r="V52" s="5">
        <f>V32/V24</f>
        <v>1.2336800177030316E-2</v>
      </c>
      <c r="W52" s="5">
        <f>W32/W24</f>
        <v>8.8133933447581032E-3</v>
      </c>
      <c r="X52" s="5">
        <f t="shared" ref="X52:AN52" si="67">X32/X24</f>
        <v>-1.5211753317803478E-3</v>
      </c>
      <c r="Y52" s="5">
        <f t="shared" si="67"/>
        <v>-3.4848678606828028E-3</v>
      </c>
      <c r="Z52" s="5">
        <f t="shared" si="67"/>
        <v>-2.4119484836666997E-3</v>
      </c>
      <c r="AA52" s="5">
        <f t="shared" si="67"/>
        <v>-1.3389263189764024E-3</v>
      </c>
      <c r="AB52" s="5">
        <f t="shared" si="67"/>
        <v>-2.5404714073838002E-4</v>
      </c>
      <c r="AC52" s="5">
        <f t="shared" si="67"/>
        <v>6.5957973732283244E-4</v>
      </c>
      <c r="AD52" s="5">
        <f t="shared" si="67"/>
        <v>1.3878895093971868E-3</v>
      </c>
      <c r="AE52" s="5">
        <f t="shared" si="67"/>
        <v>1.7588581004504061E-3</v>
      </c>
      <c r="AF52" s="5">
        <f t="shared" si="67"/>
        <v>2.5391719159505669E-3</v>
      </c>
      <c r="AG52" s="5">
        <f t="shared" si="67"/>
        <v>3.6145272301392065E-3</v>
      </c>
      <c r="AH52" s="5">
        <f t="shared" si="67"/>
        <v>5.3309027798972225E-3</v>
      </c>
      <c r="AI52" s="5">
        <f t="shared" si="67"/>
        <v>7.0521431227255705E-3</v>
      </c>
      <c r="AJ52" s="5">
        <f t="shared" si="67"/>
        <v>8.7779113558048971E-3</v>
      </c>
      <c r="AK52" s="5">
        <f t="shared" si="67"/>
        <v>1.0507884204621062E-2</v>
      </c>
      <c r="AL52" s="5">
        <f t="shared" si="67"/>
        <v>1.2116961137702267E-2</v>
      </c>
      <c r="AM52" s="5">
        <f t="shared" si="67"/>
        <v>1.2482935503553665E-2</v>
      </c>
      <c r="AN52" s="5">
        <f t="shared" si="67"/>
        <v>1.295012798830769E-2</v>
      </c>
    </row>
    <row r="53" spans="3:44" s="5" customFormat="1" x14ac:dyDescent="0.2"/>
    <row r="54" spans="3:44" s="5" customFormat="1" x14ac:dyDescent="0.2"/>
    <row r="55" spans="3:44" s="2" customFormat="1" x14ac:dyDescent="0.2">
      <c r="C55" s="2" t="s">
        <v>39</v>
      </c>
      <c r="O55" s="2">
        <f>8249+13813-3729-46282</f>
        <v>-27949</v>
      </c>
      <c r="P55" s="2">
        <f>O55+P35</f>
        <v>-28056.725999999999</v>
      </c>
      <c r="Q55" s="2">
        <f t="shared" ref="Q55:S55" si="68">P55+Q35</f>
        <v>-27889.770355999997</v>
      </c>
      <c r="R55" s="2">
        <f t="shared" si="68"/>
        <v>-27201.236978135996</v>
      </c>
      <c r="S55" s="2">
        <f t="shared" si="68"/>
        <v>-25928.044400004812</v>
      </c>
      <c r="W55" s="2">
        <f>8249+13813-3729-46282</f>
        <v>-27949</v>
      </c>
      <c r="X55" s="2">
        <f>W55+X35</f>
        <v>-25186.436399998791</v>
      </c>
      <c r="Y55" s="2">
        <f t="shared" ref="Y55:AN55" si="69">X55+Y35</f>
        <v>-18826.612851198781</v>
      </c>
      <c r="Z55" s="2">
        <f t="shared" si="69"/>
        <v>-10555.582795608369</v>
      </c>
      <c r="AA55" s="2">
        <f t="shared" si="69"/>
        <v>-2022.8385579892329</v>
      </c>
      <c r="AB55" s="2">
        <f t="shared" si="69"/>
        <v>5304.3917520804553</v>
      </c>
      <c r="AC55" s="2">
        <f t="shared" si="69"/>
        <v>11273.130968652769</v>
      </c>
      <c r="AD55" s="2">
        <f t="shared" si="69"/>
        <v>15714.955222402228</v>
      </c>
      <c r="AE55" s="2">
        <f t="shared" si="69"/>
        <v>24955.54942494721</v>
      </c>
      <c r="AF55" s="2">
        <f t="shared" si="69"/>
        <v>39076.820127938066</v>
      </c>
      <c r="AG55" s="2">
        <f t="shared" si="69"/>
        <v>58208.961488986039</v>
      </c>
      <c r="AH55" s="2">
        <f t="shared" si="69"/>
        <v>77773.488626254664</v>
      </c>
      <c r="AI55" s="2">
        <f t="shared" si="69"/>
        <v>97773.919911087069</v>
      </c>
      <c r="AJ55" s="2">
        <f t="shared" si="69"/>
        <v>118213.88447468805</v>
      </c>
      <c r="AK55" s="2">
        <f t="shared" si="69"/>
        <v>137679.18892002662</v>
      </c>
      <c r="AL55" s="2">
        <f t="shared" si="69"/>
        <v>156021.33715977203</v>
      </c>
      <c r="AM55" s="2">
        <f t="shared" si="69"/>
        <v>178046.73532165826</v>
      </c>
      <c r="AN55" s="2">
        <f t="shared" si="69"/>
        <v>204144.70403832916</v>
      </c>
    </row>
    <row r="56" spans="3:44" s="5" customFormat="1" x14ac:dyDescent="0.2"/>
    <row r="58" spans="3:44" x14ac:dyDescent="0.2">
      <c r="G58" t="s">
        <v>45</v>
      </c>
      <c r="K58" t="s">
        <v>45</v>
      </c>
      <c r="O58" t="s">
        <v>45</v>
      </c>
    </row>
    <row r="59" spans="3:44" x14ac:dyDescent="0.2">
      <c r="C59" s="5" t="s">
        <v>46</v>
      </c>
      <c r="G59" s="2">
        <f>SUM(D35:G35)</f>
        <v>8014</v>
      </c>
      <c r="K59" s="2">
        <f>SUM(H35:K35)</f>
        <v>1702</v>
      </c>
      <c r="O59" s="2">
        <f>SUM(L35:O35)</f>
        <v>-19106</v>
      </c>
    </row>
    <row r="60" spans="3:44" s="2" customFormat="1" x14ac:dyDescent="0.2">
      <c r="C60" s="2" t="s">
        <v>47</v>
      </c>
      <c r="G60" s="2">
        <v>8017</v>
      </c>
      <c r="K60" s="2">
        <v>1675</v>
      </c>
      <c r="O60" s="2">
        <v>-19233</v>
      </c>
    </row>
    <row r="61" spans="3:44" s="2" customFormat="1" x14ac:dyDescent="0.2">
      <c r="C61" s="2" t="s">
        <v>50</v>
      </c>
      <c r="G61" s="2">
        <v>11128</v>
      </c>
      <c r="K61" s="2">
        <v>7847</v>
      </c>
      <c r="O61" s="2">
        <v>9951</v>
      </c>
    </row>
    <row r="62" spans="3:44" s="2" customFormat="1" x14ac:dyDescent="0.2">
      <c r="C62" s="2" t="s">
        <v>51</v>
      </c>
      <c r="G62" s="2">
        <v>3128</v>
      </c>
      <c r="K62" s="2">
        <v>3229</v>
      </c>
      <c r="O62" s="2">
        <v>3410</v>
      </c>
    </row>
    <row r="63" spans="3:44" s="2" customFormat="1" x14ac:dyDescent="0.2">
      <c r="C63" s="2" t="s">
        <v>52</v>
      </c>
      <c r="G63" s="2">
        <v>1074</v>
      </c>
      <c r="K63" s="2">
        <v>-424</v>
      </c>
      <c r="O63" s="2">
        <v>3491</v>
      </c>
    </row>
    <row r="64" spans="3:44" s="2" customFormat="1" x14ac:dyDescent="0.2">
      <c r="C64" s="2" t="s">
        <v>53</v>
      </c>
      <c r="G64" s="2">
        <v>1907</v>
      </c>
      <c r="K64" s="2">
        <v>1755</v>
      </c>
      <c r="O64" s="2">
        <v>1428</v>
      </c>
    </row>
    <row r="65" spans="3:15" s="2" customFormat="1" x14ac:dyDescent="0.2">
      <c r="C65" s="2" t="s">
        <v>54</v>
      </c>
      <c r="G65" s="2">
        <f>-4254-1059</f>
        <v>-5313</v>
      </c>
      <c r="K65" s="2">
        <v>-42</v>
      </c>
      <c r="O65" s="2">
        <v>-246</v>
      </c>
    </row>
    <row r="66" spans="3:15" s="2" customFormat="1" x14ac:dyDescent="0.2">
      <c r="C66" s="2" t="s">
        <v>55</v>
      </c>
      <c r="G66" s="2">
        <v>-4535</v>
      </c>
      <c r="K66" s="2">
        <v>-3531</v>
      </c>
      <c r="O66" s="2">
        <f>6132-356</f>
        <v>5776</v>
      </c>
    </row>
    <row r="67" spans="3:15" s="2" customFormat="1" x14ac:dyDescent="0.2">
      <c r="C67" s="2" t="s">
        <v>56</v>
      </c>
      <c r="G67" s="2">
        <v>0</v>
      </c>
      <c r="K67" s="2">
        <v>0</v>
      </c>
      <c r="O67" s="2">
        <v>2252</v>
      </c>
    </row>
    <row r="68" spans="3:15" s="2" customFormat="1" x14ac:dyDescent="0.2">
      <c r="C68" s="2" t="s">
        <v>64</v>
      </c>
      <c r="G68" s="2">
        <v>-24</v>
      </c>
      <c r="K68" s="2">
        <v>0</v>
      </c>
      <c r="O68" s="2">
        <v>0</v>
      </c>
    </row>
    <row r="69" spans="3:15" s="2" customFormat="1" x14ac:dyDescent="0.2">
      <c r="C69" s="2" t="s">
        <v>57</v>
      </c>
      <c r="G69" s="2">
        <v>5327</v>
      </c>
      <c r="K69" s="2">
        <v>731</v>
      </c>
      <c r="O69" s="2">
        <v>-75</v>
      </c>
    </row>
    <row r="70" spans="3:15" s="2" customFormat="1" x14ac:dyDescent="0.2">
      <c r="C70" s="2" t="s">
        <v>58</v>
      </c>
      <c r="G70" s="2">
        <v>-2436</v>
      </c>
      <c r="K70" s="2">
        <v>2097</v>
      </c>
      <c r="O70" s="2">
        <v>-1105</v>
      </c>
    </row>
    <row r="71" spans="3:15" s="2" customFormat="1" x14ac:dyDescent="0.2">
      <c r="C71" s="2" t="s">
        <v>59</v>
      </c>
      <c r="G71" s="2">
        <v>-29</v>
      </c>
      <c r="K71" s="2">
        <v>-801</v>
      </c>
      <c r="O71" s="2">
        <v>634</v>
      </c>
    </row>
    <row r="72" spans="3:15" s="2" customFormat="1" x14ac:dyDescent="0.2">
      <c r="C72" s="2" t="s">
        <v>60</v>
      </c>
      <c r="G72" s="2">
        <v>-1533</v>
      </c>
      <c r="K72" s="2">
        <v>-614</v>
      </c>
      <c r="O72" s="2">
        <v>-218</v>
      </c>
    </row>
    <row r="73" spans="3:15" s="2" customFormat="1" x14ac:dyDescent="0.2">
      <c r="C73" s="2" t="s">
        <v>32</v>
      </c>
      <c r="G73" s="2">
        <v>-1278</v>
      </c>
      <c r="K73" s="2">
        <v>-451</v>
      </c>
      <c r="O73" s="2">
        <v>2223</v>
      </c>
    </row>
    <row r="74" spans="3:15" s="2" customFormat="1" x14ac:dyDescent="0.2">
      <c r="C74" s="2" t="s">
        <v>61</v>
      </c>
      <c r="G74" s="2">
        <f>SUM(G60:G73)</f>
        <v>15433</v>
      </c>
      <c r="K74" s="2">
        <f>SUM(K60:K73)</f>
        <v>11471</v>
      </c>
      <c r="O74" s="2">
        <f>SUM(O60:O73)</f>
        <v>8288</v>
      </c>
    </row>
    <row r="75" spans="3:15" s="2" customFormat="1" x14ac:dyDescent="0.2">
      <c r="C75" s="2" t="s">
        <v>62</v>
      </c>
      <c r="G75" s="2">
        <f>24844+206</f>
        <v>25050</v>
      </c>
      <c r="K75" s="2">
        <v>25750</v>
      </c>
      <c r="O75" s="2">
        <v>23944</v>
      </c>
    </row>
    <row r="76" spans="3:15" s="8" customFormat="1" x14ac:dyDescent="0.2">
      <c r="C76" s="8" t="s">
        <v>63</v>
      </c>
      <c r="G76" s="8">
        <f>G74-G75</f>
        <v>-9617</v>
      </c>
      <c r="K76" s="8">
        <f>K74-K75</f>
        <v>-14279</v>
      </c>
      <c r="O76" s="8">
        <f>O74-O75</f>
        <v>-15656</v>
      </c>
    </row>
    <row r="77" spans="3:15" s="2" customFormat="1" x14ac:dyDescent="0.2">
      <c r="C77" s="2" t="s">
        <v>65</v>
      </c>
      <c r="G77" s="2">
        <v>-10477</v>
      </c>
      <c r="K77" s="2">
        <v>-24041</v>
      </c>
      <c r="O77" s="2">
        <v>-18256</v>
      </c>
    </row>
    <row r="78" spans="3:15" s="2" customFormat="1" x14ac:dyDescent="0.2">
      <c r="C78" s="2" t="s">
        <v>66</v>
      </c>
      <c r="G78" s="2">
        <v>1361</v>
      </c>
      <c r="K78" s="2">
        <v>8505</v>
      </c>
      <c r="O78" s="2">
        <v>11138</v>
      </c>
    </row>
    <row r="79" spans="3:15" s="8" customFormat="1" x14ac:dyDescent="0.2">
      <c r="C79" s="8" t="s">
        <v>67</v>
      </c>
      <c r="G79" s="8">
        <f>G78+G77+G74</f>
        <v>6317</v>
      </c>
      <c r="K79" s="8">
        <f>K78+K77+K75</f>
        <v>10214</v>
      </c>
      <c r="O79" s="8">
        <f>O78+O77+O75</f>
        <v>16826</v>
      </c>
    </row>
    <row r="80" spans="3:15" s="2" customFormat="1" x14ac:dyDescent="0.2"/>
    <row r="81" spans="8:8" s="2" customFormat="1" x14ac:dyDescent="0.2"/>
    <row r="82" spans="8:8" s="2" customFormat="1" x14ac:dyDescent="0.2">
      <c r="H82" s="5"/>
    </row>
    <row r="83" spans="8:8" s="2" customFormat="1" x14ac:dyDescent="0.2"/>
    <row r="84" spans="8:8" s="2" customFormat="1" x14ac:dyDescent="0.2"/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S</dc:creator>
  <cp:lastModifiedBy>Bobby S</cp:lastModifiedBy>
  <dcterms:created xsi:type="dcterms:W3CDTF">2025-01-21T17:11:59Z</dcterms:created>
  <dcterms:modified xsi:type="dcterms:W3CDTF">2025-02-23T19:58:00Z</dcterms:modified>
</cp:coreProperties>
</file>