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785" documentId="8_{DB14D8BF-BB81-F54B-A55E-D6E407DB49D8}" xr6:coauthVersionLast="47" xr6:coauthVersionMax="47" xr10:uidLastSave="{1FFA0839-9BFD-8E48-B2F7-A59897801621}"/>
  <bookViews>
    <workbookView xWindow="30080" yWindow="-33340" windowWidth="30080" windowHeight="31860" activeTab="1" xr2:uid="{0B734C26-E865-2D41-A40C-4A17AE34B1F6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3" i="2" l="1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Y27" i="2" s="1"/>
  <c r="X23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X27" i="2"/>
  <c r="X28" i="2"/>
  <c r="W46" i="2"/>
  <c r="K46" i="2"/>
  <c r="X29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AL24" i="2"/>
  <c r="AK24" i="2"/>
  <c r="AL37" i="2" s="1"/>
  <c r="AJ24" i="2"/>
  <c r="AK37" i="2" s="1"/>
  <c r="AI24" i="2"/>
  <c r="AI37" i="2" s="1"/>
  <c r="AH24" i="2"/>
  <c r="AH37" i="2" s="1"/>
  <c r="AG24" i="2"/>
  <c r="AF24" i="2"/>
  <c r="AG37" i="2" s="1"/>
  <c r="AE24" i="2"/>
  <c r="AF37" i="2" s="1"/>
  <c r="AD24" i="2"/>
  <c r="AE37" i="2" s="1"/>
  <c r="AC24" i="2"/>
  <c r="AD37" i="2" s="1"/>
  <c r="AB24" i="2"/>
  <c r="AC37" i="2" s="1"/>
  <c r="AA24" i="2"/>
  <c r="AB37" i="2" s="1"/>
  <c r="Z24" i="2"/>
  <c r="AA37" i="2" s="1"/>
  <c r="Y24" i="2"/>
  <c r="Z37" i="2" s="1"/>
  <c r="X24" i="2"/>
  <c r="M44" i="2"/>
  <c r="L44" i="2"/>
  <c r="K44" i="2"/>
  <c r="J44" i="2"/>
  <c r="I44" i="2"/>
  <c r="H44" i="2"/>
  <c r="G44" i="2"/>
  <c r="F44" i="2"/>
  <c r="E44" i="2"/>
  <c r="D44" i="2"/>
  <c r="C44" i="2"/>
  <c r="N44" i="2"/>
  <c r="Y37" i="2"/>
  <c r="W18" i="2"/>
  <c r="W17" i="2"/>
  <c r="C14" i="2" a="1"/>
  <c r="C14" i="2" s="1"/>
  <c r="V15" i="2" s="1"/>
  <c r="N5" i="2"/>
  <c r="N11" i="2" s="1"/>
  <c r="U7" i="2"/>
  <c r="U6" i="2"/>
  <c r="U5" i="2"/>
  <c r="U4" i="2"/>
  <c r="N6" i="2"/>
  <c r="M6" i="2"/>
  <c r="M12" i="2" s="1"/>
  <c r="L6" i="2"/>
  <c r="K6" i="2"/>
  <c r="K12" i="2" s="1"/>
  <c r="M5" i="2"/>
  <c r="L5" i="2"/>
  <c r="L11" i="2" s="1"/>
  <c r="K5" i="2"/>
  <c r="O5" i="2" s="1"/>
  <c r="N4" i="2"/>
  <c r="N10" i="2" s="1"/>
  <c r="M4" i="2"/>
  <c r="M10" i="2" s="1"/>
  <c r="L4" i="2"/>
  <c r="K4" i="2"/>
  <c r="V4" i="2" s="1"/>
  <c r="N7" i="2"/>
  <c r="M7" i="2"/>
  <c r="L7" i="2"/>
  <c r="K7" i="2"/>
  <c r="V7" i="2" s="1"/>
  <c r="W32" i="2"/>
  <c r="N28" i="2"/>
  <c r="M28" i="2"/>
  <c r="L28" i="2"/>
  <c r="K28" i="2"/>
  <c r="W28" i="2" s="1"/>
  <c r="N24" i="2"/>
  <c r="L24" i="2"/>
  <c r="L37" i="2" s="1"/>
  <c r="K24" i="2"/>
  <c r="K37" i="2" s="1"/>
  <c r="M24" i="2"/>
  <c r="M37" i="2" s="1"/>
  <c r="N25" i="2"/>
  <c r="M25" i="2"/>
  <c r="L25" i="2"/>
  <c r="K25" i="2"/>
  <c r="N21" i="2"/>
  <c r="N36" i="2" s="1"/>
  <c r="M21" i="2"/>
  <c r="M23" i="2" s="1"/>
  <c r="L21" i="2"/>
  <c r="L23" i="2" s="1"/>
  <c r="K21" i="2"/>
  <c r="K23" i="2" s="1"/>
  <c r="F46" i="2"/>
  <c r="I12" i="2"/>
  <c r="H12" i="2"/>
  <c r="G12" i="2"/>
  <c r="I11" i="2"/>
  <c r="H11" i="2"/>
  <c r="G11" i="2"/>
  <c r="I10" i="2"/>
  <c r="H10" i="2"/>
  <c r="G10" i="2"/>
  <c r="J11" i="2"/>
  <c r="J10" i="2"/>
  <c r="J12" i="2"/>
  <c r="J8" i="2"/>
  <c r="I8" i="2"/>
  <c r="H8" i="2"/>
  <c r="G8" i="2"/>
  <c r="E8" i="2"/>
  <c r="D8" i="2"/>
  <c r="C8" i="2"/>
  <c r="F8" i="2"/>
  <c r="T37" i="2"/>
  <c r="S37" i="2"/>
  <c r="R37" i="2"/>
  <c r="I37" i="2"/>
  <c r="H37" i="2"/>
  <c r="G37" i="2"/>
  <c r="J37" i="2"/>
  <c r="Q28" i="2"/>
  <c r="Q26" i="2"/>
  <c r="Q23" i="2"/>
  <c r="R28" i="2"/>
  <c r="R26" i="2"/>
  <c r="R23" i="2"/>
  <c r="S28" i="2"/>
  <c r="S26" i="2"/>
  <c r="S23" i="2"/>
  <c r="S40" i="2" s="1"/>
  <c r="T36" i="2"/>
  <c r="S36" i="2"/>
  <c r="R36" i="2"/>
  <c r="U30" i="2"/>
  <c r="T28" i="2"/>
  <c r="T26" i="2"/>
  <c r="T23" i="2"/>
  <c r="U32" i="2"/>
  <c r="U25" i="2"/>
  <c r="U24" i="2"/>
  <c r="U37" i="2" s="1"/>
  <c r="U22" i="2"/>
  <c r="U21" i="2"/>
  <c r="U36" i="2" s="1"/>
  <c r="V32" i="2"/>
  <c r="V30" i="2"/>
  <c r="V25" i="2"/>
  <c r="V24" i="2"/>
  <c r="V22" i="2"/>
  <c r="V21" i="2"/>
  <c r="I36" i="2"/>
  <c r="H36" i="2"/>
  <c r="G36" i="2"/>
  <c r="J36" i="2"/>
  <c r="C28" i="2"/>
  <c r="C26" i="2"/>
  <c r="C23" i="2"/>
  <c r="C40" i="2" s="1"/>
  <c r="G28" i="2"/>
  <c r="G26" i="2"/>
  <c r="G23" i="2"/>
  <c r="D28" i="2"/>
  <c r="D26" i="2"/>
  <c r="D23" i="2"/>
  <c r="H28" i="2"/>
  <c r="H26" i="2"/>
  <c r="H23" i="2"/>
  <c r="E28" i="2"/>
  <c r="E26" i="2"/>
  <c r="E23" i="2"/>
  <c r="I28" i="2"/>
  <c r="I26" i="2"/>
  <c r="I23" i="2"/>
  <c r="F28" i="2"/>
  <c r="F26" i="2"/>
  <c r="F23" i="2"/>
  <c r="F40" i="2" s="1"/>
  <c r="J28" i="2"/>
  <c r="J26" i="2"/>
  <c r="J23" i="2"/>
  <c r="R3" i="2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K11" i="1"/>
  <c r="K8" i="1"/>
  <c r="K7" i="1"/>
  <c r="K6" i="1"/>
  <c r="K5" i="1"/>
  <c r="X30" i="2" l="1"/>
  <c r="X42" i="2" s="1"/>
  <c r="AJ37" i="2"/>
  <c r="M26" i="2"/>
  <c r="Z12" i="2"/>
  <c r="V18" i="2"/>
  <c r="V17" i="2"/>
  <c r="V16" i="2"/>
  <c r="V10" i="2"/>
  <c r="T27" i="2"/>
  <c r="T41" i="2" s="1"/>
  <c r="W25" i="2"/>
  <c r="V5" i="2"/>
  <c r="V11" i="2" s="1"/>
  <c r="W5" i="2"/>
  <c r="N8" i="2"/>
  <c r="K11" i="2"/>
  <c r="G27" i="2"/>
  <c r="G41" i="2" s="1"/>
  <c r="L8" i="2"/>
  <c r="M8" i="2"/>
  <c r="L26" i="2"/>
  <c r="L27" i="2" s="1"/>
  <c r="L29" i="2" s="1"/>
  <c r="L30" i="2" s="1"/>
  <c r="L42" i="2" s="1"/>
  <c r="W21" i="2"/>
  <c r="N26" i="2"/>
  <c r="K10" i="2"/>
  <c r="O4" i="2"/>
  <c r="W4" i="2" s="1"/>
  <c r="X4" i="2" s="1"/>
  <c r="Y4" i="2" s="1"/>
  <c r="K8" i="2"/>
  <c r="W24" i="2"/>
  <c r="X37" i="2" s="1"/>
  <c r="M11" i="2"/>
  <c r="L12" i="2"/>
  <c r="O6" i="2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V6" i="2"/>
  <c r="V12" i="2" s="1"/>
  <c r="N23" i="2"/>
  <c r="N40" i="2" s="1"/>
  <c r="N12" i="2"/>
  <c r="M27" i="2"/>
  <c r="M29" i="2" s="1"/>
  <c r="M30" i="2" s="1"/>
  <c r="M42" i="2" s="1"/>
  <c r="L10" i="2"/>
  <c r="U23" i="2"/>
  <c r="U40" i="2" s="1"/>
  <c r="K40" i="2"/>
  <c r="K22" i="2"/>
  <c r="L40" i="2"/>
  <c r="L22" i="2"/>
  <c r="M40" i="2"/>
  <c r="M22" i="2"/>
  <c r="N37" i="2"/>
  <c r="I27" i="2"/>
  <c r="I41" i="2" s="1"/>
  <c r="K26" i="2"/>
  <c r="K27" i="2" s="1"/>
  <c r="K36" i="2"/>
  <c r="L36" i="2"/>
  <c r="M36" i="2"/>
  <c r="V37" i="2"/>
  <c r="D27" i="2"/>
  <c r="D29" i="2" s="1"/>
  <c r="E27" i="2"/>
  <c r="E29" i="2" s="1"/>
  <c r="Q27" i="2"/>
  <c r="Q29" i="2" s="1"/>
  <c r="J27" i="2"/>
  <c r="J29" i="2" s="1"/>
  <c r="U26" i="2"/>
  <c r="V28" i="2"/>
  <c r="R27" i="2"/>
  <c r="R41" i="2" s="1"/>
  <c r="U28" i="2"/>
  <c r="V36" i="2"/>
  <c r="V26" i="2"/>
  <c r="T40" i="2"/>
  <c r="V23" i="2"/>
  <c r="Q40" i="2"/>
  <c r="R40" i="2"/>
  <c r="S27" i="2"/>
  <c r="D40" i="2"/>
  <c r="H27" i="2"/>
  <c r="H41" i="2" s="1"/>
  <c r="G40" i="2"/>
  <c r="F27" i="2"/>
  <c r="J40" i="2"/>
  <c r="E40" i="2"/>
  <c r="H40" i="2"/>
  <c r="I40" i="2"/>
  <c r="C27" i="2"/>
  <c r="X31" i="2" l="1"/>
  <c r="N22" i="2"/>
  <c r="Y12" i="2"/>
  <c r="W11" i="2"/>
  <c r="X5" i="2"/>
  <c r="Y5" i="2" s="1"/>
  <c r="Z4" i="2"/>
  <c r="Y10" i="2"/>
  <c r="AA12" i="2"/>
  <c r="T29" i="2"/>
  <c r="L41" i="2"/>
  <c r="N27" i="2"/>
  <c r="N41" i="2" s="1"/>
  <c r="G29" i="2"/>
  <c r="G42" i="2" s="1"/>
  <c r="M41" i="2"/>
  <c r="W12" i="2"/>
  <c r="X12" i="2"/>
  <c r="W10" i="2"/>
  <c r="X10" i="2"/>
  <c r="J31" i="2"/>
  <c r="J33" i="2" s="1"/>
  <c r="J42" i="2"/>
  <c r="I29" i="2"/>
  <c r="U27" i="2"/>
  <c r="U41" i="2" s="1"/>
  <c r="T31" i="2"/>
  <c r="T33" i="2" s="1"/>
  <c r="T42" i="2"/>
  <c r="E31" i="2"/>
  <c r="E33" i="2" s="1"/>
  <c r="E42" i="2"/>
  <c r="Q31" i="2"/>
  <c r="Q33" i="2" s="1"/>
  <c r="Q42" i="2"/>
  <c r="D31" i="2"/>
  <c r="D33" i="2" s="1"/>
  <c r="D42" i="2"/>
  <c r="W37" i="2"/>
  <c r="W26" i="2"/>
  <c r="J41" i="2"/>
  <c r="E41" i="2"/>
  <c r="M31" i="2"/>
  <c r="M33" i="2" s="1"/>
  <c r="K41" i="2"/>
  <c r="K29" i="2"/>
  <c r="K30" i="2" s="1"/>
  <c r="K42" i="2" s="1"/>
  <c r="L31" i="2"/>
  <c r="L33" i="2" s="1"/>
  <c r="W22" i="2"/>
  <c r="W23" i="2" s="1"/>
  <c r="W40" i="2" s="1"/>
  <c r="W36" i="2"/>
  <c r="D41" i="2"/>
  <c r="Q41" i="2"/>
  <c r="R29" i="2"/>
  <c r="S29" i="2"/>
  <c r="S41" i="2"/>
  <c r="V27" i="2"/>
  <c r="V40" i="2"/>
  <c r="H29" i="2"/>
  <c r="F29" i="2"/>
  <c r="F41" i="2"/>
  <c r="C29" i="2"/>
  <c r="C41" i="2"/>
  <c r="X46" i="2" l="1"/>
  <c r="Y28" i="2" s="1"/>
  <c r="Y29" i="2" s="1"/>
  <c r="Y30" i="2" s="1"/>
  <c r="Y42" i="2" s="1"/>
  <c r="G31" i="2"/>
  <c r="G33" i="2" s="1"/>
  <c r="AA4" i="2"/>
  <c r="Z10" i="2"/>
  <c r="N29" i="2"/>
  <c r="N30" i="2" s="1"/>
  <c r="N42" i="2" s="1"/>
  <c r="Y11" i="2"/>
  <c r="Z5" i="2"/>
  <c r="Y21" i="2"/>
  <c r="W27" i="2"/>
  <c r="W41" i="2" s="1"/>
  <c r="X11" i="2"/>
  <c r="X21" i="2"/>
  <c r="AB12" i="2"/>
  <c r="U29" i="2"/>
  <c r="U42" i="2" s="1"/>
  <c r="H31" i="2"/>
  <c r="H33" i="2" s="1"/>
  <c r="H42" i="2"/>
  <c r="N31" i="2"/>
  <c r="N33" i="2" s="1"/>
  <c r="S31" i="2"/>
  <c r="S33" i="2" s="1"/>
  <c r="S42" i="2"/>
  <c r="U31" i="2"/>
  <c r="U33" i="2" s="1"/>
  <c r="R31" i="2"/>
  <c r="R33" i="2" s="1"/>
  <c r="R42" i="2"/>
  <c r="C31" i="2"/>
  <c r="C33" i="2" s="1"/>
  <c r="C42" i="2"/>
  <c r="I31" i="2"/>
  <c r="I33" i="2" s="1"/>
  <c r="I42" i="2"/>
  <c r="F31" i="2"/>
  <c r="F33" i="2" s="1"/>
  <c r="F42" i="2"/>
  <c r="W30" i="2"/>
  <c r="V41" i="2"/>
  <c r="V29" i="2"/>
  <c r="Y31" i="2" l="1"/>
  <c r="Z11" i="2"/>
  <c r="AA5" i="2"/>
  <c r="X40" i="2"/>
  <c r="X36" i="2"/>
  <c r="X22" i="2"/>
  <c r="X41" i="2"/>
  <c r="Y40" i="2"/>
  <c r="Y41" i="2"/>
  <c r="Y36" i="2"/>
  <c r="Y22" i="2"/>
  <c r="AB4" i="2"/>
  <c r="AA10" i="2"/>
  <c r="AA21" i="2"/>
  <c r="W42" i="2"/>
  <c r="W29" i="2"/>
  <c r="Z21" i="2"/>
  <c r="AD12" i="2"/>
  <c r="AC12" i="2"/>
  <c r="V31" i="2"/>
  <c r="V33" i="2" s="1"/>
  <c r="V42" i="2"/>
  <c r="W31" i="2"/>
  <c r="W33" i="2" s="1"/>
  <c r="K31" i="2"/>
  <c r="K33" i="2" s="1"/>
  <c r="Y46" i="2" l="1"/>
  <c r="Z28" i="2" s="1"/>
  <c r="Z29" i="2" s="1"/>
  <c r="Z30" i="2" s="1"/>
  <c r="Z42" i="2" s="1"/>
  <c r="AB5" i="2"/>
  <c r="AA11" i="2"/>
  <c r="AA40" i="2"/>
  <c r="AA36" i="2"/>
  <c r="AA41" i="2"/>
  <c r="AB10" i="2"/>
  <c r="AC4" i="2"/>
  <c r="AB21" i="2"/>
  <c r="Z40" i="2"/>
  <c r="Z36" i="2"/>
  <c r="Z22" i="2"/>
  <c r="Z41" i="2"/>
  <c r="Z31" i="2" l="1"/>
  <c r="AD4" i="2"/>
  <c r="AC10" i="2"/>
  <c r="AB36" i="2"/>
  <c r="AB41" i="2"/>
  <c r="AB40" i="2"/>
  <c r="AB22" i="2"/>
  <c r="AC5" i="2"/>
  <c r="AB11" i="2"/>
  <c r="AA22" i="2"/>
  <c r="AE12" i="2"/>
  <c r="Z46" i="2" l="1"/>
  <c r="AA28" i="2" s="1"/>
  <c r="AA29" i="2" s="1"/>
  <c r="AA30" i="2" s="1"/>
  <c r="AA42" i="2" s="1"/>
  <c r="AD5" i="2"/>
  <c r="AC11" i="2"/>
  <c r="AC21" i="2"/>
  <c r="AE4" i="2"/>
  <c r="AD10" i="2"/>
  <c r="AD21" i="2"/>
  <c r="AF12" i="2"/>
  <c r="AA31" i="2" l="1"/>
  <c r="AD36" i="2"/>
  <c r="AD41" i="2"/>
  <c r="AE10" i="2"/>
  <c r="AF4" i="2"/>
  <c r="AE21" i="2"/>
  <c r="AC36" i="2"/>
  <c r="AC40" i="2"/>
  <c r="AC41" i="2"/>
  <c r="AC22" i="2"/>
  <c r="AE5" i="2"/>
  <c r="AD11" i="2"/>
  <c r="AG12" i="2"/>
  <c r="AA46" i="2" l="1"/>
  <c r="AB28" i="2" s="1"/>
  <c r="AB29" i="2" s="1"/>
  <c r="AB30" i="2" s="1"/>
  <c r="AB42" i="2" s="1"/>
  <c r="AF5" i="2"/>
  <c r="AE11" i="2"/>
  <c r="AE41" i="2"/>
  <c r="AE40" i="2"/>
  <c r="AE36" i="2"/>
  <c r="AG4" i="2"/>
  <c r="AF10" i="2"/>
  <c r="AF21" i="2"/>
  <c r="AE22" i="2"/>
  <c r="AD40" i="2"/>
  <c r="AD22" i="2"/>
  <c r="AH12" i="2"/>
  <c r="AB31" i="2" l="1"/>
  <c r="AF41" i="2"/>
  <c r="AF36" i="2"/>
  <c r="AG10" i="2"/>
  <c r="AH4" i="2"/>
  <c r="AG5" i="2"/>
  <c r="AF11" i="2"/>
  <c r="AI12" i="2"/>
  <c r="AB46" i="2" l="1"/>
  <c r="AC28" i="2" s="1"/>
  <c r="AC29" i="2" s="1"/>
  <c r="AC30" i="2" s="1"/>
  <c r="AC42" i="2" s="1"/>
  <c r="AH5" i="2"/>
  <c r="AG11" i="2"/>
  <c r="AG21" i="2"/>
  <c r="AH10" i="2"/>
  <c r="AI4" i="2"/>
  <c r="AH21" i="2"/>
  <c r="AF40" i="2"/>
  <c r="AF22" i="2"/>
  <c r="AJ12" i="2"/>
  <c r="AC31" i="2" l="1"/>
  <c r="AC46" i="2" s="1"/>
  <c r="AD28" i="2" s="1"/>
  <c r="AD29" i="2" s="1"/>
  <c r="AH41" i="2"/>
  <c r="AH36" i="2"/>
  <c r="AI10" i="2"/>
  <c r="AJ4" i="2"/>
  <c r="AG40" i="2"/>
  <c r="AG22" i="2"/>
  <c r="AG36" i="2"/>
  <c r="AG41" i="2"/>
  <c r="AI5" i="2"/>
  <c r="AH11" i="2"/>
  <c r="AK12" i="2"/>
  <c r="AD30" i="2" l="1"/>
  <c r="AD42" i="2" s="1"/>
  <c r="AJ5" i="2"/>
  <c r="AI11" i="2"/>
  <c r="AI21" i="2"/>
  <c r="AJ10" i="2"/>
  <c r="AK4" i="2"/>
  <c r="AJ21" i="2"/>
  <c r="AH40" i="2"/>
  <c r="AH22" i="2"/>
  <c r="AL12" i="2"/>
  <c r="AD31" i="2" l="1"/>
  <c r="AD46" i="2" s="1"/>
  <c r="AE28" i="2" s="1"/>
  <c r="AE29" i="2" s="1"/>
  <c r="AJ36" i="2"/>
  <c r="AJ41" i="2"/>
  <c r="AK10" i="2"/>
  <c r="AL4" i="2"/>
  <c r="AI41" i="2"/>
  <c r="AI36" i="2"/>
  <c r="AI40" i="2"/>
  <c r="AI22" i="2"/>
  <c r="AK5" i="2"/>
  <c r="AJ11" i="2"/>
  <c r="AE30" i="2" l="1"/>
  <c r="AE42" i="2" s="1"/>
  <c r="AL5" i="2"/>
  <c r="AL11" i="2" s="1"/>
  <c r="AK11" i="2"/>
  <c r="AK21" i="2"/>
  <c r="AL10" i="2"/>
  <c r="AL21" i="2"/>
  <c r="AJ40" i="2"/>
  <c r="AJ22" i="2"/>
  <c r="AE31" i="2" l="1"/>
  <c r="AE46" i="2" s="1"/>
  <c r="AF28" i="2" s="1"/>
  <c r="AF29" i="2" s="1"/>
  <c r="AL36" i="2"/>
  <c r="AL41" i="2"/>
  <c r="AK41" i="2"/>
  <c r="AK40" i="2"/>
  <c r="AK36" i="2"/>
  <c r="AK22" i="2"/>
  <c r="AF30" i="2" l="1"/>
  <c r="AF42" i="2" s="1"/>
  <c r="AL40" i="2"/>
  <c r="AL22" i="2"/>
  <c r="AF31" i="2" l="1"/>
  <c r="AF46" i="2" s="1"/>
  <c r="AG28" i="2" s="1"/>
  <c r="AG29" i="2" s="1"/>
  <c r="AG30" i="2" l="1"/>
  <c r="AG42" i="2" s="1"/>
  <c r="AG31" i="2" l="1"/>
  <c r="AG46" i="2" s="1"/>
  <c r="AH28" i="2" s="1"/>
  <c r="AH29" i="2" s="1"/>
  <c r="AH30" i="2" l="1"/>
  <c r="AH42" i="2" s="1"/>
  <c r="AH31" i="2" l="1"/>
  <c r="AH46" i="2" s="1"/>
  <c r="AI28" i="2" s="1"/>
  <c r="AI29" i="2" s="1"/>
  <c r="AI30" i="2" l="1"/>
  <c r="AI42" i="2" s="1"/>
  <c r="AI31" i="2" l="1"/>
  <c r="AI46" i="2" s="1"/>
  <c r="AJ28" i="2" s="1"/>
  <c r="AJ29" i="2" s="1"/>
  <c r="AJ30" i="2" l="1"/>
  <c r="AJ42" i="2" s="1"/>
  <c r="AJ31" i="2" l="1"/>
  <c r="AJ46" i="2" s="1"/>
  <c r="AK28" i="2" s="1"/>
  <c r="AK29" i="2" s="1"/>
  <c r="AK30" i="2" l="1"/>
  <c r="AK42" i="2" s="1"/>
  <c r="AK31" i="2" l="1"/>
  <c r="AK46" i="2" s="1"/>
  <c r="AL28" i="2" s="1"/>
  <c r="AL29" i="2" s="1"/>
  <c r="AL30" i="2" l="1"/>
  <c r="AL42" i="2" s="1"/>
  <c r="AL31" i="2" l="1"/>
  <c r="AL46" i="2" l="1"/>
  <c r="AM31" i="2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CR31" i="2" s="1"/>
  <c r="CS31" i="2" s="1"/>
  <c r="CT31" i="2" s="1"/>
  <c r="CU31" i="2" s="1"/>
  <c r="CV31" i="2" s="1"/>
  <c r="CW31" i="2" s="1"/>
  <c r="CX31" i="2" s="1"/>
  <c r="CY31" i="2" s="1"/>
  <c r="CZ31" i="2" s="1"/>
  <c r="DA31" i="2" s="1"/>
  <c r="DB31" i="2" s="1"/>
  <c r="DC31" i="2" s="1"/>
  <c r="DD31" i="2" s="1"/>
  <c r="DE31" i="2" s="1"/>
  <c r="DF31" i="2" s="1"/>
  <c r="AO48" i="2" s="1"/>
  <c r="AO50" i="2" s="1"/>
  <c r="AO5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Angelo Wong</author>
  </authors>
  <commentList>
    <comment ref="W21" authorId="0" shapeId="0" xr:uid="{97A42D0F-C341-5242-B492-3108A8ED607F}">
      <text>
        <r>
          <rPr>
            <b/>
            <sz val="10"/>
            <color rgb="FF000000"/>
            <rFont val="Tahoma"/>
            <family val="2"/>
          </rPr>
          <t>Angelo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guidance:6-7%
</t>
        </r>
        <r>
          <rPr>
            <sz val="10"/>
            <color rgb="FF000000"/>
            <rFont val="Tahoma"/>
            <family val="2"/>
          </rPr>
          <t xml:space="preserve">gross margin expansion:1.3-1.7%
</t>
        </r>
        <r>
          <rPr>
            <sz val="10"/>
            <color rgb="FF000000"/>
            <rFont val="Tahoma"/>
            <family val="2"/>
          </rPr>
          <t xml:space="preserve">op margin expansion: 1.2-1.6%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<sst xmlns="http://schemas.openxmlformats.org/spreadsheetml/2006/main" count="62" uniqueCount="54">
  <si>
    <t>Price</t>
  </si>
  <si>
    <t>Shares</t>
  </si>
  <si>
    <t>MC</t>
  </si>
  <si>
    <t>Cash</t>
  </si>
  <si>
    <t>Debt</t>
  </si>
  <si>
    <t>EV</t>
  </si>
  <si>
    <t>Q324</t>
  </si>
  <si>
    <t>Their Q324 is EOY sigh</t>
  </si>
  <si>
    <t>Net Cash</t>
  </si>
  <si>
    <t>Revenue</t>
  </si>
  <si>
    <t>Q422</t>
  </si>
  <si>
    <t>Q123</t>
  </si>
  <si>
    <t>Q223</t>
  </si>
  <si>
    <t>Q323</t>
  </si>
  <si>
    <t>Q423</t>
  </si>
  <si>
    <t>Q125</t>
  </si>
  <si>
    <t>Q225</t>
  </si>
  <si>
    <t>Q325</t>
  </si>
  <si>
    <t>COGs</t>
  </si>
  <si>
    <t>Gross Profit</t>
  </si>
  <si>
    <t>SG&amp;A</t>
  </si>
  <si>
    <t>Restructure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</si>
  <si>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</si>
  <si>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</si>
  <si>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</si>
  <si>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</si>
  <si>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</si>
  <si>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</si>
  <si>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</si>
  <si>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Gross Margiin</t>
  </si>
  <si>
    <t>Operating Margin</t>
  </si>
  <si>
    <t>Revenue Growth</t>
  </si>
  <si>
    <t>SG&amp;A Growth</t>
  </si>
  <si>
    <t>Q124</t>
  </si>
  <si>
    <t>Q224</t>
  </si>
  <si>
    <t>Q424</t>
  </si>
  <si>
    <t>Revenue NA</t>
  </si>
  <si>
    <t>Revenue EU</t>
  </si>
  <si>
    <t>Revenue Asia</t>
  </si>
  <si>
    <t>Revenue Other</t>
  </si>
  <si>
    <t>NA Growth</t>
  </si>
  <si>
    <t>EU Growth</t>
  </si>
  <si>
    <t>Asia Growth</t>
  </si>
  <si>
    <t>ROIC</t>
  </si>
  <si>
    <t>Maturity</t>
  </si>
  <si>
    <t>Discount Rat</t>
  </si>
  <si>
    <t>LVMH</t>
  </si>
  <si>
    <t>EU</t>
  </si>
  <si>
    <t>US</t>
  </si>
  <si>
    <t>Asia</t>
  </si>
  <si>
    <t>SGA:Rev</t>
  </si>
  <si>
    <t>NPV</t>
  </si>
  <si>
    <t>Spot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</si>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</sst>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([$$-409]* #,##0.00_);_([$$-409]* \(#,##0.00\);_([$$-409]* &quot;-&quot;??_);_(@_)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4" fontId="0" fillId="0" borderId="0" xfId="0" applyNumberFormat="1"/>
    <xf numFmtId="2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172" fontId="0" fillId="0" borderId="0" xfId="0" applyNumberFormat="1" applyAlignment="1">
      <alignment horizontal="right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25400</xdr:colOff>
      <xdr:row>0</xdr:row>
      <xdr:rowOff>177800</xdr:rowOff>
    </xdr:from>
    <xdr:to>
      <xdr:col>22</xdr:col>
      <xdr:colOff>25400</xdr:colOff>
      <xdr:row>81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F7B9DA8-0E8F-8874-DFC5-BAD9F20DADAF}"/>
            </a:ext>
          </a:extLst>
        </xdr:cNvPr>
        <xdr:cNvCxnSpPr/>
      </xdr:nvCxnSpPr>
      <xdr:spPr>
        <a:xfrm>
          <a:off x="18186400" y="177800"/>
          <a:ext cx="0" cy="11811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0</xdr:row>
      <xdr:rowOff>0</xdr:rowOff>
    </xdr:from>
    <xdr:to>
      <xdr:col>10</xdr:col>
      <xdr:colOff>38100</xdr:colOff>
      <xdr:row>80</xdr:row>
      <xdr:rowOff>25400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39765A8-B81D-B543-9EC1-4D04A7956825}"/>
            </a:ext>
          </a:extLst>
        </xdr:cNvPr>
        <xdr:cNvCxnSpPr/>
      </xdr:nvCxnSpPr>
      <xdr:spPr>
        <a:xfrm>
          <a:off x="8293100" y="0"/>
          <a:ext cx="0" cy="14655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EUR/USD</v>
    <v>2</v>
    <v>3</v>
    <v>Finance</v>
    <v>4</v>
    <v>en-US</v>
    <v>av932w</v>
    <v>268435456</v>
    <v>1</v>
    <v>Powered by Refinitiv</v>
    <v>1.1213</v>
    <v>1.0176000000000001</v>
    <v>1.3599999999999999E-2</v>
    <v>1.2801E-2</v>
    <v>USD</v>
    <v>EUR</v>
    <v>1.0775999999999999</v>
    <v>Currency Pair</v>
    <v>45721.631990740738</v>
    <v>1.0603</v>
    <v>Euro/US Dollar FX Spot Rate</v>
    <v>1.0626</v>
    <v>1.0624</v>
    <v>1.0760000000000001</v>
    <v>EURUSD</v>
    <v>EUR/USD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E6AF-30A4-4C4D-A54A-1E87CF575954}">
  <dimension ref="J3:M11"/>
  <sheetViews>
    <sheetView workbookViewId="0">
      <selection activeCell="K12" sqref="K12"/>
    </sheetView>
  </sheetViews>
  <sheetFormatPr baseColWidth="10" defaultRowHeight="16" x14ac:dyDescent="0.2"/>
  <sheetData>
    <row r="3" spans="10:13" x14ac:dyDescent="0.2">
      <c r="J3" t="s">
        <v>0</v>
      </c>
      <c r="K3">
        <v>271.72000000000003</v>
      </c>
    </row>
    <row r="4" spans="10:13" x14ac:dyDescent="0.2">
      <c r="J4" t="s">
        <v>1</v>
      </c>
      <c r="K4" s="1">
        <v>39.881999999999998</v>
      </c>
      <c r="L4" t="s">
        <v>6</v>
      </c>
      <c r="M4" t="s">
        <v>7</v>
      </c>
    </row>
    <row r="5" spans="10:13" x14ac:dyDescent="0.2">
      <c r="J5" t="s">
        <v>2</v>
      </c>
      <c r="K5" s="1">
        <f>+K4*K3</f>
        <v>10836.73704</v>
      </c>
    </row>
    <row r="6" spans="10:13" x14ac:dyDescent="0.2">
      <c r="J6" t="s">
        <v>3</v>
      </c>
      <c r="K6" s="1">
        <f>1940.2+203</f>
        <v>2143.1999999999998</v>
      </c>
      <c r="L6" t="s">
        <v>6</v>
      </c>
    </row>
    <row r="7" spans="10:13" x14ac:dyDescent="0.2">
      <c r="J7" t="s">
        <v>4</v>
      </c>
      <c r="K7" s="1">
        <f>399.5+742.6</f>
        <v>1142.0999999999999</v>
      </c>
      <c r="L7" t="s">
        <v>6</v>
      </c>
    </row>
    <row r="8" spans="10:13" x14ac:dyDescent="0.2">
      <c r="J8" t="s">
        <v>5</v>
      </c>
      <c r="K8" s="1">
        <f>+K5-K6+K7</f>
        <v>9835.6370399999996</v>
      </c>
    </row>
    <row r="11" spans="10:13" x14ac:dyDescent="0.2">
      <c r="J11" t="s">
        <v>8</v>
      </c>
      <c r="K11" s="1">
        <f>+K6-K7</f>
        <v>1001.0999999999999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2198-1F42-E54B-8503-B7BD8B958CB3}">
  <dimension ref="B2:DF52"/>
  <sheetViews>
    <sheetView tabSelected="1" workbookViewId="0">
      <pane xSplit="2" ySplit="3" topLeftCell="U4" activePane="bottomRight" state="frozen"/>
      <selection pane="topRight" activeCell="C1" sqref="C1"/>
      <selection pane="bottomLeft" activeCell="A4" sqref="A4"/>
      <selection pane="bottomRight" activeCell="Y54" sqref="Y54"/>
    </sheetView>
  </sheetViews>
  <sheetFormatPr baseColWidth="10" defaultRowHeight="16" x14ac:dyDescent="0.2"/>
  <cols>
    <col min="22" max="22" width="11.5" bestFit="1" customWidth="1"/>
  </cols>
  <sheetData>
    <row r="2" spans="2:38" x14ac:dyDescent="0.2">
      <c r="C2" s="2">
        <v>45017</v>
      </c>
      <c r="D2" s="2">
        <v>45108</v>
      </c>
      <c r="E2" s="2">
        <v>45199</v>
      </c>
      <c r="F2" s="2">
        <v>45290</v>
      </c>
      <c r="G2" s="2">
        <v>45381</v>
      </c>
      <c r="H2" s="2">
        <v>45472</v>
      </c>
      <c r="I2" s="2">
        <v>45563</v>
      </c>
      <c r="J2" s="2">
        <v>45654</v>
      </c>
    </row>
    <row r="3" spans="2:38" s="5" customFormat="1" x14ac:dyDescent="0.2"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33</v>
      </c>
      <c r="I3" s="5" t="s">
        <v>34</v>
      </c>
      <c r="J3" s="5" t="s">
        <v>6</v>
      </c>
      <c r="K3" s="5" t="s">
        <v>35</v>
      </c>
      <c r="L3" s="5" t="s">
        <v>15</v>
      </c>
      <c r="M3" s="5" t="s">
        <v>16</v>
      </c>
      <c r="N3" s="5" t="s">
        <v>17</v>
      </c>
      <c r="Q3" s="5">
        <v>2019</v>
      </c>
      <c r="R3" s="5">
        <f>+Q3+1</f>
        <v>2020</v>
      </c>
      <c r="S3" s="5">
        <f t="shared" ref="S3:AL3" si="0">+R3+1</f>
        <v>2021</v>
      </c>
      <c r="T3" s="5">
        <f t="shared" si="0"/>
        <v>2022</v>
      </c>
      <c r="U3" s="5">
        <f t="shared" si="0"/>
        <v>2023</v>
      </c>
      <c r="V3" s="5">
        <f t="shared" si="0"/>
        <v>2024</v>
      </c>
      <c r="W3" s="5">
        <f t="shared" si="0"/>
        <v>2025</v>
      </c>
      <c r="X3" s="5">
        <f t="shared" si="0"/>
        <v>2026</v>
      </c>
      <c r="Y3" s="5">
        <f t="shared" si="0"/>
        <v>2027</v>
      </c>
      <c r="Z3" s="5">
        <f t="shared" si="0"/>
        <v>2028</v>
      </c>
      <c r="AA3" s="5">
        <f t="shared" si="0"/>
        <v>2029</v>
      </c>
      <c r="AB3" s="5">
        <f t="shared" si="0"/>
        <v>2030</v>
      </c>
      <c r="AC3" s="5">
        <f t="shared" si="0"/>
        <v>2031</v>
      </c>
      <c r="AD3" s="5">
        <f t="shared" si="0"/>
        <v>2032</v>
      </c>
      <c r="AE3" s="5">
        <f t="shared" si="0"/>
        <v>2033</v>
      </c>
      <c r="AF3" s="5">
        <f t="shared" si="0"/>
        <v>2034</v>
      </c>
      <c r="AG3" s="5">
        <f t="shared" si="0"/>
        <v>2035</v>
      </c>
      <c r="AH3" s="5">
        <f t="shared" si="0"/>
        <v>2036</v>
      </c>
      <c r="AI3" s="5">
        <f t="shared" si="0"/>
        <v>2037</v>
      </c>
      <c r="AJ3" s="5">
        <f t="shared" si="0"/>
        <v>2038</v>
      </c>
      <c r="AK3" s="5">
        <f t="shared" si="0"/>
        <v>2039</v>
      </c>
      <c r="AL3" s="5">
        <f t="shared" si="0"/>
        <v>2040</v>
      </c>
    </row>
    <row r="4" spans="2:38" s="8" customFormat="1" x14ac:dyDescent="0.2">
      <c r="B4" s="8" t="s">
        <v>36</v>
      </c>
      <c r="C4" s="8">
        <v>655.6</v>
      </c>
      <c r="D4" s="8">
        <v>631.70000000000005</v>
      </c>
      <c r="E4" s="8">
        <v>717.8</v>
      </c>
      <c r="F4" s="8">
        <v>933.3</v>
      </c>
      <c r="G4" s="8">
        <v>667.7</v>
      </c>
      <c r="H4" s="8">
        <v>608.20000000000005</v>
      </c>
      <c r="I4" s="8">
        <v>739.5</v>
      </c>
      <c r="J4" s="8">
        <v>997.7</v>
      </c>
      <c r="K4" s="8">
        <f>G4*1.03</f>
        <v>687.73100000000011</v>
      </c>
      <c r="L4" s="8">
        <f t="shared" ref="L4:M4" si="1">H4*1.03</f>
        <v>626.44600000000003</v>
      </c>
      <c r="M4" s="8">
        <f t="shared" si="1"/>
        <v>761.68500000000006</v>
      </c>
      <c r="N4" s="8">
        <f>J4*1.05</f>
        <v>1047.585</v>
      </c>
      <c r="O4" s="8">
        <f>K4*1.03</f>
        <v>708.36293000000012</v>
      </c>
      <c r="U4" s="8">
        <f>SUM(D4:G4)</f>
        <v>2950.5</v>
      </c>
      <c r="V4" s="8">
        <f>SUM(H4:K4)</f>
        <v>3033.1310000000003</v>
      </c>
      <c r="W4" s="8">
        <f>SUM(L4:O4)</f>
        <v>3144.0789300000006</v>
      </c>
      <c r="X4" s="8">
        <f>W4*1.03</f>
        <v>3238.4012979000008</v>
      </c>
      <c r="Y4" s="8">
        <f t="shared" ref="Y4" si="2">X4*1.03</f>
        <v>3335.5533368370011</v>
      </c>
      <c r="Z4" s="8">
        <f>Y4*1.02</f>
        <v>3402.2644035737412</v>
      </c>
      <c r="AA4" s="8">
        <f t="shared" ref="AA4:AC4" si="3">Z4*1.02</f>
        <v>3470.3096916452159</v>
      </c>
      <c r="AB4" s="8">
        <f t="shared" si="3"/>
        <v>3539.7158854781205</v>
      </c>
      <c r="AC4" s="8">
        <f t="shared" si="3"/>
        <v>3610.5102031876831</v>
      </c>
      <c r="AD4" s="8">
        <f>AC4*1.01</f>
        <v>3646.61530521956</v>
      </c>
      <c r="AE4" s="8">
        <f t="shared" ref="AE4:AL4" si="4">AD4*1.01</f>
        <v>3683.0814582717558</v>
      </c>
      <c r="AF4" s="8">
        <f t="shared" si="4"/>
        <v>3719.9122728544735</v>
      </c>
      <c r="AG4" s="8">
        <f t="shared" si="4"/>
        <v>3757.1113955830183</v>
      </c>
      <c r="AH4" s="8">
        <f t="shared" si="4"/>
        <v>3794.6825095388485</v>
      </c>
      <c r="AI4" s="8">
        <f t="shared" si="4"/>
        <v>3832.6293346342372</v>
      </c>
      <c r="AJ4" s="8">
        <f t="shared" si="4"/>
        <v>3870.9556279805797</v>
      </c>
      <c r="AK4" s="8">
        <f t="shared" si="4"/>
        <v>3909.6651842603856</v>
      </c>
      <c r="AL4" s="8">
        <f t="shared" si="4"/>
        <v>3948.7618361029895</v>
      </c>
    </row>
    <row r="5" spans="2:38" s="8" customFormat="1" x14ac:dyDescent="0.2">
      <c r="B5" s="8" t="s">
        <v>37</v>
      </c>
      <c r="C5" s="8">
        <v>460.8</v>
      </c>
      <c r="D5" s="8">
        <v>450.5</v>
      </c>
      <c r="E5" s="8">
        <v>526.79999999999995</v>
      </c>
      <c r="F5" s="8">
        <v>521.5</v>
      </c>
      <c r="G5" s="8">
        <v>469.2</v>
      </c>
      <c r="H5" s="8">
        <v>479.1</v>
      </c>
      <c r="I5" s="8">
        <v>565.9</v>
      </c>
      <c r="J5" s="8">
        <v>604.4</v>
      </c>
      <c r="K5" s="8">
        <f>G5*1.03</f>
        <v>483.27600000000001</v>
      </c>
      <c r="L5" s="8">
        <f>H5*1.08</f>
        <v>517.42800000000011</v>
      </c>
      <c r="M5" s="8">
        <f>I5*1.08</f>
        <v>611.17200000000003</v>
      </c>
      <c r="N5" s="8">
        <f>J5*1.18</f>
        <v>713.19199999999989</v>
      </c>
      <c r="O5" s="8">
        <f>K5*1.03</f>
        <v>497.77428000000003</v>
      </c>
      <c r="U5" s="8">
        <f t="shared" ref="U5:U7" si="5">SUM(D5:G5)</f>
        <v>1968</v>
      </c>
      <c r="V5" s="8">
        <f t="shared" ref="V5:V7" si="6">SUM(H5:K5)</f>
        <v>2132.6759999999999</v>
      </c>
      <c r="W5" s="8">
        <f t="shared" ref="W5:W6" si="7">SUM(L5:O5)</f>
        <v>2339.56628</v>
      </c>
      <c r="X5" s="8">
        <f>W5*1.09</f>
        <v>2550.1272452000003</v>
      </c>
      <c r="Y5" s="8">
        <f t="shared" ref="Y5" si="8">X5*1.09</f>
        <v>2779.6386972680007</v>
      </c>
      <c r="Z5" s="8">
        <f>Y5*0.97</f>
        <v>2696.2495363499606</v>
      </c>
      <c r="AA5" s="8">
        <f t="shared" ref="AA5:AC5" si="9">Z5*0.97</f>
        <v>2615.3620502594617</v>
      </c>
      <c r="AB5" s="8">
        <f t="shared" si="9"/>
        <v>2536.9011887516776</v>
      </c>
      <c r="AC5" s="8">
        <f t="shared" si="9"/>
        <v>2460.7941530891271</v>
      </c>
      <c r="AD5" s="8">
        <f>AC5*1.01</f>
        <v>2485.4020946200185</v>
      </c>
      <c r="AE5" s="8">
        <f t="shared" ref="AE5:AL5" si="10">AD5*1.01</f>
        <v>2510.2561155662188</v>
      </c>
      <c r="AF5" s="8">
        <f t="shared" si="10"/>
        <v>2535.3586767218808</v>
      </c>
      <c r="AG5" s="8">
        <f t="shared" si="10"/>
        <v>2560.7122634890998</v>
      </c>
      <c r="AH5" s="8">
        <f t="shared" si="10"/>
        <v>2586.3193861239906</v>
      </c>
      <c r="AI5" s="8">
        <f t="shared" si="10"/>
        <v>2612.1825799852304</v>
      </c>
      <c r="AJ5" s="8">
        <f t="shared" si="10"/>
        <v>2638.3044057850825</v>
      </c>
      <c r="AK5" s="8">
        <f t="shared" si="10"/>
        <v>2664.6874498429333</v>
      </c>
      <c r="AL5" s="8">
        <f t="shared" si="10"/>
        <v>2691.3343243413628</v>
      </c>
    </row>
    <row r="6" spans="2:38" s="8" customFormat="1" x14ac:dyDescent="0.2">
      <c r="B6" s="8" t="s">
        <v>38</v>
      </c>
      <c r="C6" s="8">
        <v>390</v>
      </c>
      <c r="D6" s="8">
        <v>377.5</v>
      </c>
      <c r="E6" s="8">
        <v>348.4</v>
      </c>
      <c r="F6" s="8">
        <v>446.4</v>
      </c>
      <c r="G6" s="8">
        <v>394.3</v>
      </c>
      <c r="H6" s="8">
        <v>390.9</v>
      </c>
      <c r="I6" s="8">
        <v>380.2</v>
      </c>
      <c r="J6" s="8">
        <v>506.7</v>
      </c>
      <c r="K6" s="8">
        <f>G6*1.02</f>
        <v>402.18600000000004</v>
      </c>
      <c r="L6" s="8">
        <f>H6*1.05</f>
        <v>410.44499999999999</v>
      </c>
      <c r="M6" s="8">
        <f>I6*1.1</f>
        <v>418.22</v>
      </c>
      <c r="N6" s="8">
        <f>J6*1.18</f>
        <v>597.90599999999995</v>
      </c>
      <c r="O6" s="8">
        <f>K6*1.02</f>
        <v>410.22972000000004</v>
      </c>
      <c r="U6" s="8">
        <f t="shared" si="5"/>
        <v>1566.6</v>
      </c>
      <c r="V6" s="8">
        <f t="shared" si="6"/>
        <v>1679.9859999999999</v>
      </c>
      <c r="W6" s="8">
        <f t="shared" si="7"/>
        <v>1836.80072</v>
      </c>
      <c r="X6" s="8">
        <f>W6*1.2</f>
        <v>2204.1608639999999</v>
      </c>
      <c r="Y6" s="8">
        <f t="shared" ref="Y6:AB6" si="11">X6*1.2</f>
        <v>2644.9930368</v>
      </c>
      <c r="Z6" s="8">
        <f t="shared" si="11"/>
        <v>3173.9916441599999</v>
      </c>
      <c r="AA6" s="8">
        <f t="shared" si="11"/>
        <v>3808.7899729919995</v>
      </c>
      <c r="AB6" s="8">
        <f t="shared" si="11"/>
        <v>4570.5479675903989</v>
      </c>
      <c r="AC6" s="8">
        <f t="shared" ref="AC6:AD6" si="12">AB6*1.2</f>
        <v>5484.6575611084781</v>
      </c>
      <c r="AD6" s="8">
        <f t="shared" si="12"/>
        <v>6581.589073330174</v>
      </c>
      <c r="AE6" s="8">
        <f>AD6*1.01</f>
        <v>6647.4049640634757</v>
      </c>
      <c r="AF6" s="8">
        <f t="shared" ref="AF6:AL6" si="13">AE6*1.01</f>
        <v>6713.8790137041105</v>
      </c>
      <c r="AG6" s="8">
        <f t="shared" si="13"/>
        <v>6781.0178038411514</v>
      </c>
      <c r="AH6" s="8">
        <f t="shared" si="13"/>
        <v>6848.8279818795627</v>
      </c>
      <c r="AI6" s="8">
        <f t="shared" si="13"/>
        <v>6917.3162616983582</v>
      </c>
      <c r="AJ6" s="8">
        <f t="shared" si="13"/>
        <v>6986.4894243153421</v>
      </c>
      <c r="AK6" s="8">
        <f t="shared" si="13"/>
        <v>7056.3543185584958</v>
      </c>
      <c r="AL6" s="8">
        <f t="shared" si="13"/>
        <v>7126.9178617440812</v>
      </c>
    </row>
    <row r="7" spans="2:38" s="8" customFormat="1" x14ac:dyDescent="0.2">
      <c r="B7" s="8" t="s">
        <v>39</v>
      </c>
      <c r="C7" s="8">
        <v>34.4</v>
      </c>
      <c r="D7" s="8">
        <v>36.799999999999997</v>
      </c>
      <c r="E7" s="8">
        <v>40</v>
      </c>
      <c r="F7" s="8">
        <v>32.799999999999997</v>
      </c>
      <c r="G7" s="8">
        <v>36.700000000000003</v>
      </c>
      <c r="H7" s="8">
        <v>34</v>
      </c>
      <c r="I7" s="8">
        <v>40.4</v>
      </c>
      <c r="J7" s="8">
        <v>34.700000000000003</v>
      </c>
      <c r="K7" s="8">
        <f>AVERAGE(C7:F7)</f>
        <v>36</v>
      </c>
      <c r="L7" s="8">
        <f t="shared" ref="L7:N7" si="14">AVERAGE(D7:G7)</f>
        <v>36.575000000000003</v>
      </c>
      <c r="M7" s="8">
        <f t="shared" si="14"/>
        <v>35.875</v>
      </c>
      <c r="N7" s="8">
        <f t="shared" si="14"/>
        <v>35.975000000000001</v>
      </c>
      <c r="U7" s="8">
        <f t="shared" si="5"/>
        <v>146.30000000000001</v>
      </c>
      <c r="V7" s="8">
        <f t="shared" si="6"/>
        <v>145.10000000000002</v>
      </c>
      <c r="W7" s="8">
        <v>145</v>
      </c>
      <c r="X7" s="8">
        <v>145</v>
      </c>
      <c r="Y7" s="8">
        <v>145</v>
      </c>
      <c r="Z7" s="8">
        <v>145</v>
      </c>
      <c r="AA7" s="8">
        <v>145</v>
      </c>
      <c r="AB7" s="8">
        <v>145</v>
      </c>
      <c r="AC7" s="8">
        <v>145</v>
      </c>
      <c r="AD7" s="8">
        <v>145</v>
      </c>
      <c r="AE7" s="8">
        <v>145</v>
      </c>
      <c r="AF7" s="8">
        <v>145</v>
      </c>
      <c r="AG7" s="8">
        <v>145</v>
      </c>
      <c r="AH7" s="8">
        <v>145</v>
      </c>
      <c r="AI7" s="8">
        <v>145</v>
      </c>
      <c r="AJ7" s="8">
        <v>145</v>
      </c>
      <c r="AK7" s="8">
        <v>145</v>
      </c>
      <c r="AL7" s="8">
        <v>145</v>
      </c>
    </row>
    <row r="8" spans="2:38" s="8" customFormat="1" x14ac:dyDescent="0.2">
      <c r="C8" s="8">
        <f t="shared" ref="C8:E8" si="15">SUM(C4:C7)</f>
        <v>1540.8000000000002</v>
      </c>
      <c r="D8" s="8">
        <f t="shared" si="15"/>
        <v>1496.5</v>
      </c>
      <c r="E8" s="8">
        <f t="shared" si="15"/>
        <v>1633</v>
      </c>
      <c r="F8" s="8">
        <f>SUM(F4:F7)</f>
        <v>1933.9999999999998</v>
      </c>
      <c r="G8" s="8">
        <f t="shared" ref="G8:J8" si="16">SUM(G4:G7)</f>
        <v>1567.9</v>
      </c>
      <c r="H8" s="8">
        <f t="shared" si="16"/>
        <v>1512.2000000000003</v>
      </c>
      <c r="I8" s="8">
        <f t="shared" si="16"/>
        <v>1726.0000000000002</v>
      </c>
      <c r="J8" s="8">
        <f t="shared" si="16"/>
        <v>2143.4999999999995</v>
      </c>
      <c r="K8" s="8">
        <f t="shared" ref="K8" si="17">SUM(K4:K7)</f>
        <v>1609.1930000000002</v>
      </c>
      <c r="L8" s="8">
        <f t="shared" ref="L8" si="18">SUM(L4:L7)</f>
        <v>1590.8940000000002</v>
      </c>
      <c r="M8" s="8">
        <f t="shared" ref="M8" si="19">SUM(M4:M7)</f>
        <v>1826.952</v>
      </c>
      <c r="N8" s="8">
        <f t="shared" ref="N8" si="20">SUM(N4:N7)</f>
        <v>2394.6579999999999</v>
      </c>
    </row>
    <row r="9" spans="2:38" s="5" customFormat="1" x14ac:dyDescent="0.2">
      <c r="S9" s="7"/>
      <c r="T9" s="7"/>
      <c r="U9" s="7"/>
      <c r="V9" s="7"/>
    </row>
    <row r="10" spans="2:38" s="7" customFormat="1" x14ac:dyDescent="0.2">
      <c r="B10" s="7" t="s">
        <v>40</v>
      </c>
      <c r="G10" s="7">
        <f t="shared" ref="G10:G12" si="21">G4/C4-1</f>
        <v>1.8456375838926231E-2</v>
      </c>
      <c r="H10" s="7">
        <f t="shared" ref="H10:H12" si="22">H4/D4-1</f>
        <v>-3.7201203102738667E-2</v>
      </c>
      <c r="I10" s="7">
        <f t="shared" ref="I10:I12" si="23">I4/E4-1</f>
        <v>3.0231262190025143E-2</v>
      </c>
      <c r="J10" s="7">
        <f t="shared" ref="J10:J11" si="24">J4/F4-1</f>
        <v>6.9002464373727701E-2</v>
      </c>
      <c r="K10" s="7">
        <f t="shared" ref="K10:K12" si="25">K4/G4-1</f>
        <v>3.0000000000000027E-2</v>
      </c>
      <c r="L10" s="7">
        <f t="shared" ref="L10:L12" si="26">L4/H4-1</f>
        <v>3.0000000000000027E-2</v>
      </c>
      <c r="M10" s="7">
        <f t="shared" ref="M10:M12" si="27">M4/I4-1</f>
        <v>3.0000000000000027E-2</v>
      </c>
      <c r="N10" s="7">
        <f t="shared" ref="N10:N12" si="28">N4/J4-1</f>
        <v>5.0000000000000044E-2</v>
      </c>
      <c r="V10" s="7">
        <f>V4/U4-1</f>
        <v>2.8005761735299117E-2</v>
      </c>
      <c r="W10" s="7">
        <f>W4/V4-1</f>
        <v>3.6578680577924239E-2</v>
      </c>
      <c r="X10" s="7">
        <f t="shared" ref="X10:AK10" si="29">X4/W4-1</f>
        <v>3.0000000000000027E-2</v>
      </c>
      <c r="Y10" s="7">
        <f t="shared" si="29"/>
        <v>3.0000000000000027E-2</v>
      </c>
      <c r="Z10" s="7">
        <f t="shared" si="29"/>
        <v>2.0000000000000018E-2</v>
      </c>
      <c r="AA10" s="7">
        <f t="shared" si="29"/>
        <v>2.0000000000000018E-2</v>
      </c>
      <c r="AB10" s="7">
        <f t="shared" si="29"/>
        <v>2.0000000000000018E-2</v>
      </c>
      <c r="AC10" s="7">
        <f t="shared" si="29"/>
        <v>2.0000000000000018E-2</v>
      </c>
      <c r="AD10" s="7">
        <f t="shared" si="29"/>
        <v>1.0000000000000009E-2</v>
      </c>
      <c r="AE10" s="7">
        <f t="shared" si="29"/>
        <v>1.0000000000000009E-2</v>
      </c>
      <c r="AF10" s="7">
        <f t="shared" si="29"/>
        <v>1.0000000000000009E-2</v>
      </c>
      <c r="AG10" s="7">
        <f t="shared" si="29"/>
        <v>1.0000000000000009E-2</v>
      </c>
      <c r="AH10" s="7">
        <f t="shared" si="29"/>
        <v>1.0000000000000009E-2</v>
      </c>
      <c r="AI10" s="7">
        <f t="shared" si="29"/>
        <v>1.0000000000000009E-2</v>
      </c>
      <c r="AJ10" s="7">
        <f t="shared" si="29"/>
        <v>1.0000000000000009E-2</v>
      </c>
      <c r="AK10" s="7">
        <f t="shared" si="29"/>
        <v>1.0000000000000009E-2</v>
      </c>
      <c r="AL10" s="7">
        <f t="shared" ref="AL10" si="30">AL4/AK4-1</f>
        <v>1.0000000000000009E-2</v>
      </c>
    </row>
    <row r="11" spans="2:38" s="7" customFormat="1" x14ac:dyDescent="0.2">
      <c r="B11" s="7" t="s">
        <v>41</v>
      </c>
      <c r="G11" s="7">
        <f t="shared" si="21"/>
        <v>1.8229166666666519E-2</v>
      </c>
      <c r="H11" s="7">
        <f t="shared" si="22"/>
        <v>6.3485016648168857E-2</v>
      </c>
      <c r="I11" s="7">
        <f t="shared" si="23"/>
        <v>7.4221716021260598E-2</v>
      </c>
      <c r="J11" s="7">
        <f t="shared" si="24"/>
        <v>0.1589645254074783</v>
      </c>
      <c r="K11" s="7">
        <f t="shared" si="25"/>
        <v>3.0000000000000027E-2</v>
      </c>
      <c r="L11" s="7">
        <f t="shared" si="26"/>
        <v>8.0000000000000071E-2</v>
      </c>
      <c r="M11" s="7">
        <f t="shared" si="27"/>
        <v>8.0000000000000071E-2</v>
      </c>
      <c r="N11" s="7">
        <f t="shared" si="28"/>
        <v>0.17999999999999994</v>
      </c>
      <c r="V11" s="7">
        <f>V5/U5-1</f>
        <v>8.3676829268292563E-2</v>
      </c>
      <c r="W11" s="7">
        <f>W5/V5-1</f>
        <v>9.7009709866852756E-2</v>
      </c>
      <c r="X11" s="7">
        <f t="shared" ref="X11:AK11" si="31">X5/W5-1</f>
        <v>9.000000000000008E-2</v>
      </c>
      <c r="Y11" s="7">
        <f t="shared" si="31"/>
        <v>9.000000000000008E-2</v>
      </c>
      <c r="Z11" s="7">
        <f t="shared" si="31"/>
        <v>-3.0000000000000027E-2</v>
      </c>
      <c r="AA11" s="7">
        <f t="shared" si="31"/>
        <v>-3.0000000000000027E-2</v>
      </c>
      <c r="AB11" s="7">
        <f t="shared" si="31"/>
        <v>-3.0000000000000138E-2</v>
      </c>
      <c r="AC11" s="7">
        <f t="shared" si="31"/>
        <v>-3.0000000000000027E-2</v>
      </c>
      <c r="AD11" s="7">
        <f t="shared" si="31"/>
        <v>1.0000000000000009E-2</v>
      </c>
      <c r="AE11" s="7">
        <f t="shared" si="31"/>
        <v>1.0000000000000009E-2</v>
      </c>
      <c r="AF11" s="7">
        <f t="shared" si="31"/>
        <v>1.0000000000000009E-2</v>
      </c>
      <c r="AG11" s="7">
        <f t="shared" si="31"/>
        <v>1.0000000000000009E-2</v>
      </c>
      <c r="AH11" s="7">
        <f t="shared" si="31"/>
        <v>1.0000000000000009E-2</v>
      </c>
      <c r="AI11" s="7">
        <f t="shared" si="31"/>
        <v>1.0000000000000009E-2</v>
      </c>
      <c r="AJ11" s="7">
        <f t="shared" si="31"/>
        <v>1.0000000000000009E-2</v>
      </c>
      <c r="AK11" s="7">
        <f t="shared" si="31"/>
        <v>1.0000000000000009E-2</v>
      </c>
      <c r="AL11" s="7">
        <f t="shared" ref="AL11" si="32">AL5/AK5-1</f>
        <v>1.0000000000000009E-2</v>
      </c>
    </row>
    <row r="12" spans="2:38" s="7" customFormat="1" x14ac:dyDescent="0.2">
      <c r="B12" s="7" t="s">
        <v>42</v>
      </c>
      <c r="G12" s="7">
        <f t="shared" si="21"/>
        <v>1.1025641025641075E-2</v>
      </c>
      <c r="H12" s="7">
        <f t="shared" si="22"/>
        <v>3.5496688741721849E-2</v>
      </c>
      <c r="I12" s="7">
        <f t="shared" si="23"/>
        <v>9.1274397244546446E-2</v>
      </c>
      <c r="J12" s="7">
        <f>J6/F6-1</f>
        <v>0.13508064516129026</v>
      </c>
      <c r="K12" s="7">
        <f t="shared" si="25"/>
        <v>2.0000000000000018E-2</v>
      </c>
      <c r="L12" s="7">
        <f t="shared" si="26"/>
        <v>5.0000000000000044E-2</v>
      </c>
      <c r="M12" s="7">
        <f t="shared" si="27"/>
        <v>0.10000000000000009</v>
      </c>
      <c r="N12" s="7">
        <f t="shared" si="28"/>
        <v>0.17999999999999994</v>
      </c>
      <c r="V12" s="7">
        <f>V6/U6-1</f>
        <v>7.2377122430741681E-2</v>
      </c>
      <c r="W12" s="7">
        <f>W6/V6-1</f>
        <v>9.3342873095371148E-2</v>
      </c>
      <c r="X12" s="7">
        <f t="shared" ref="X12:AK12" si="33">X6/W6-1</f>
        <v>0.19999999999999996</v>
      </c>
      <c r="Y12" s="7">
        <f t="shared" si="33"/>
        <v>0.19999999999999996</v>
      </c>
      <c r="Z12" s="7">
        <f t="shared" si="33"/>
        <v>0.19999999999999996</v>
      </c>
      <c r="AA12" s="7">
        <f t="shared" si="33"/>
        <v>0.19999999999999996</v>
      </c>
      <c r="AB12" s="7">
        <f t="shared" si="33"/>
        <v>0.19999999999999996</v>
      </c>
      <c r="AC12" s="7">
        <f t="shared" si="33"/>
        <v>0.19999999999999996</v>
      </c>
      <c r="AD12" s="7">
        <f t="shared" si="33"/>
        <v>0.19999999999999996</v>
      </c>
      <c r="AE12" s="7">
        <f t="shared" si="33"/>
        <v>1.0000000000000009E-2</v>
      </c>
      <c r="AF12" s="7">
        <f t="shared" si="33"/>
        <v>1.0000000000000009E-2</v>
      </c>
      <c r="AG12" s="7">
        <f t="shared" si="33"/>
        <v>1.0000000000000009E-2</v>
      </c>
      <c r="AH12" s="7">
        <f t="shared" si="33"/>
        <v>1.0000000000000009E-2</v>
      </c>
      <c r="AI12" s="7">
        <f t="shared" si="33"/>
        <v>1.0000000000000009E-2</v>
      </c>
      <c r="AJ12" s="7">
        <f t="shared" si="33"/>
        <v>1.0000000000000009E-2</v>
      </c>
      <c r="AK12" s="7">
        <f t="shared" si="33"/>
        <v>1.0000000000000009E-2</v>
      </c>
      <c r="AL12" s="7">
        <f t="shared" ref="AL12" si="34">AL6/AK6-1</f>
        <v>1.0000000000000009E-2</v>
      </c>
    </row>
    <row r="13" spans="2:38" s="5" customFormat="1" x14ac:dyDescent="0.2"/>
    <row r="14" spans="2:38" s="5" customFormat="1" x14ac:dyDescent="0.2">
      <c r="B14" s="5" t="e" vm="1">
        <v>#VALUE!</v>
      </c>
      <c r="C14" s="12" cm="1">
        <f t="array" aca="1" ref="C14" ca="1">_FV(B14,"Price")</f>
        <v>1.0760000000000001</v>
      </c>
    </row>
    <row r="15" spans="2:38" s="5" customFormat="1" x14ac:dyDescent="0.2">
      <c r="B15" s="5" t="s">
        <v>46</v>
      </c>
      <c r="V15" s="12">
        <f ca="1">$C$14*41060</f>
        <v>44180.560000000005</v>
      </c>
    </row>
    <row r="16" spans="2:38" s="5" customFormat="1" x14ac:dyDescent="0.2">
      <c r="B16" s="5" t="s">
        <v>47</v>
      </c>
      <c r="V16" s="8">
        <f ca="1">+V15*(0.07+0.19)</f>
        <v>11486.945600000001</v>
      </c>
    </row>
    <row r="17" spans="2:110" s="5" customFormat="1" x14ac:dyDescent="0.2">
      <c r="B17" s="5" t="s">
        <v>48</v>
      </c>
      <c r="V17" s="8">
        <f ca="1">+V15*0.17</f>
        <v>7510.695200000001</v>
      </c>
      <c r="W17" s="5">
        <f>74/114</f>
        <v>0.64912280701754388</v>
      </c>
    </row>
    <row r="18" spans="2:110" s="5" customFormat="1" x14ac:dyDescent="0.2">
      <c r="B18" s="5" t="s">
        <v>49</v>
      </c>
      <c r="V18" s="8">
        <f ca="1">+V15*(0.12+0.36)</f>
        <v>21206.668800000003</v>
      </c>
      <c r="W18" s="5">
        <f>23/36</f>
        <v>0.63888888888888884</v>
      </c>
    </row>
    <row r="19" spans="2:110" s="5" customFormat="1" x14ac:dyDescent="0.2"/>
    <row r="20" spans="2:110" s="5" customFormat="1" x14ac:dyDescent="0.2"/>
    <row r="21" spans="2:110" s="9" customFormat="1" x14ac:dyDescent="0.2">
      <c r="B21" s="9" t="s">
        <v>9</v>
      </c>
      <c r="C21" s="9">
        <v>1540.8</v>
      </c>
      <c r="D21" s="9">
        <v>1496.5</v>
      </c>
      <c r="E21" s="9">
        <v>1633</v>
      </c>
      <c r="F21" s="9">
        <v>1934</v>
      </c>
      <c r="G21" s="9">
        <v>1567.9</v>
      </c>
      <c r="H21" s="9">
        <v>1512.2</v>
      </c>
      <c r="I21" s="9">
        <v>1726</v>
      </c>
      <c r="J21" s="9">
        <v>2143.5</v>
      </c>
      <c r="K21" s="9">
        <f>G21*1.03</f>
        <v>1614.9370000000001</v>
      </c>
      <c r="L21" s="9">
        <f>H21*1.02</f>
        <v>1542.444</v>
      </c>
      <c r="M21" s="9">
        <f>I21*1.07</f>
        <v>1846.8200000000002</v>
      </c>
      <c r="N21" s="9">
        <f>J21*1.13</f>
        <v>2422.1549999999997</v>
      </c>
      <c r="Q21" s="9">
        <v>6313</v>
      </c>
      <c r="R21" s="9">
        <v>6159.8</v>
      </c>
      <c r="S21" s="9">
        <v>4400.8</v>
      </c>
      <c r="T21" s="9">
        <v>6218.5</v>
      </c>
      <c r="U21" s="9">
        <f>SUM(C21:F21)</f>
        <v>6604.3</v>
      </c>
      <c r="V21" s="9">
        <f>SUM(G21:J21)</f>
        <v>6949.6</v>
      </c>
      <c r="W21" s="9">
        <f>SUM(K21:N21)</f>
        <v>7426.3560000000007</v>
      </c>
      <c r="X21" s="9">
        <f>SUM(X4:X7)</f>
        <v>8137.6894071000006</v>
      </c>
      <c r="Y21" s="9">
        <f t="shared" ref="Y21:AL21" si="35">SUM(Y4:Y7)</f>
        <v>8905.1850709050013</v>
      </c>
      <c r="Z21" s="9">
        <f t="shared" si="35"/>
        <v>9417.5055840837013</v>
      </c>
      <c r="AA21" s="9">
        <f t="shared" si="35"/>
        <v>10039.461714896677</v>
      </c>
      <c r="AB21" s="9">
        <f t="shared" si="35"/>
        <v>10792.165041820197</v>
      </c>
      <c r="AC21" s="9">
        <f t="shared" si="35"/>
        <v>11700.961917385288</v>
      </c>
      <c r="AD21" s="9">
        <f t="shared" si="35"/>
        <v>12858.606473169752</v>
      </c>
      <c r="AE21" s="9">
        <f t="shared" si="35"/>
        <v>12985.742537901449</v>
      </c>
      <c r="AF21" s="9">
        <f t="shared" si="35"/>
        <v>13114.149963280464</v>
      </c>
      <c r="AG21" s="9">
        <f t="shared" si="35"/>
        <v>13243.841462913269</v>
      </c>
      <c r="AH21" s="9">
        <f t="shared" si="35"/>
        <v>13374.829877542401</v>
      </c>
      <c r="AI21" s="9">
        <f t="shared" si="35"/>
        <v>13507.128176317827</v>
      </c>
      <c r="AJ21" s="9">
        <f t="shared" si="35"/>
        <v>13640.749458081005</v>
      </c>
      <c r="AK21" s="9">
        <f t="shared" si="35"/>
        <v>13775.706952661814</v>
      </c>
      <c r="AL21" s="9">
        <f t="shared" si="35"/>
        <v>13912.014022188434</v>
      </c>
    </row>
    <row r="22" spans="2:110" s="1" customFormat="1" x14ac:dyDescent="0.2">
      <c r="B22" s="1" t="s">
        <v>18</v>
      </c>
      <c r="C22" s="1">
        <v>590.20000000000005</v>
      </c>
      <c r="D22" s="1">
        <v>464.5</v>
      </c>
      <c r="E22" s="1">
        <v>562.9</v>
      </c>
      <c r="F22" s="1">
        <v>648</v>
      </c>
      <c r="G22" s="1">
        <v>524.20000000000005</v>
      </c>
      <c r="H22" s="1">
        <v>446.4</v>
      </c>
      <c r="I22" s="1">
        <v>570.29999999999995</v>
      </c>
      <c r="J22" s="1">
        <v>677.4</v>
      </c>
      <c r="K22" s="1">
        <f>+K21-K23</f>
        <v>500.63047000000006</v>
      </c>
      <c r="L22" s="1">
        <f t="shared" ref="L22:N22" si="36">+L21-L23</f>
        <v>478.15764000000013</v>
      </c>
      <c r="M22" s="1">
        <f t="shared" si="36"/>
        <v>572.51420000000007</v>
      </c>
      <c r="N22" s="1">
        <f t="shared" si="36"/>
        <v>750.86805000000004</v>
      </c>
      <c r="Q22" s="10">
        <v>2427</v>
      </c>
      <c r="R22" s="10">
        <v>2506.5</v>
      </c>
      <c r="S22" s="10">
        <v>1539.4</v>
      </c>
      <c r="T22" s="10">
        <v>2071</v>
      </c>
      <c r="U22" s="10">
        <f>SUM(C22:F22)</f>
        <v>2265.6</v>
      </c>
      <c r="V22" s="10">
        <f>SUM(G22:J22)</f>
        <v>2218.3000000000002</v>
      </c>
      <c r="W22" s="10">
        <f>SUM(K22:N22)</f>
        <v>2302.1703600000001</v>
      </c>
      <c r="X22" s="1">
        <f>+X21-X23</f>
        <v>2604.0606102719994</v>
      </c>
      <c r="Y22" s="1">
        <f t="shared" ref="Y22:AL22" si="37">+Y21-Y23</f>
        <v>2849.6592226896</v>
      </c>
      <c r="Z22" s="1">
        <f t="shared" si="37"/>
        <v>3013.6017869067837</v>
      </c>
      <c r="AA22" s="1">
        <f t="shared" si="37"/>
        <v>3212.6277487669358</v>
      </c>
      <c r="AB22" s="1">
        <f t="shared" si="37"/>
        <v>3453.4928133824624</v>
      </c>
      <c r="AC22" s="1">
        <f t="shared" si="37"/>
        <v>3744.3078135632913</v>
      </c>
      <c r="AD22" s="1">
        <f t="shared" si="37"/>
        <v>4114.7540714143197</v>
      </c>
      <c r="AE22" s="1">
        <f t="shared" si="37"/>
        <v>4155.437612128464</v>
      </c>
      <c r="AF22" s="1">
        <f t="shared" si="37"/>
        <v>4196.5279882497471</v>
      </c>
      <c r="AG22" s="1">
        <f t="shared" si="37"/>
        <v>4238.0292681322462</v>
      </c>
      <c r="AH22" s="1">
        <f t="shared" si="37"/>
        <v>4279.9455608135668</v>
      </c>
      <c r="AI22" s="1">
        <f t="shared" si="37"/>
        <v>4322.2810164217044</v>
      </c>
      <c r="AJ22" s="1">
        <f t="shared" si="37"/>
        <v>4365.0398265859203</v>
      </c>
      <c r="AK22" s="1">
        <f t="shared" si="37"/>
        <v>4408.22622485178</v>
      </c>
      <c r="AL22" s="1">
        <f t="shared" si="37"/>
        <v>4451.8444871002976</v>
      </c>
    </row>
    <row r="23" spans="2:110" s="1" customFormat="1" x14ac:dyDescent="0.2">
      <c r="B23" s="1" t="s">
        <v>19</v>
      </c>
      <c r="C23" s="1">
        <f>C21-C22</f>
        <v>950.59999999999991</v>
      </c>
      <c r="D23" s="1">
        <f>D21-D22</f>
        <v>1032</v>
      </c>
      <c r="E23" s="1">
        <f>E21-E22</f>
        <v>1070.0999999999999</v>
      </c>
      <c r="F23" s="1">
        <f>F21-F22</f>
        <v>1286</v>
      </c>
      <c r="G23" s="1">
        <f>G21-G22</f>
        <v>1043.7</v>
      </c>
      <c r="H23" s="1">
        <f>H21-H22</f>
        <v>1065.8000000000002</v>
      </c>
      <c r="I23" s="1">
        <f>I21-I22</f>
        <v>1155.7</v>
      </c>
      <c r="J23" s="1">
        <f>J21-J22</f>
        <v>1466.1</v>
      </c>
      <c r="K23" s="1">
        <f>K21*0.69</f>
        <v>1114.3065300000001</v>
      </c>
      <c r="L23" s="1">
        <f t="shared" ref="L23:N23" si="38">L21*0.69</f>
        <v>1064.2863599999998</v>
      </c>
      <c r="M23" s="1">
        <f t="shared" si="38"/>
        <v>1274.3058000000001</v>
      </c>
      <c r="N23" s="1">
        <f t="shared" si="38"/>
        <v>1671.2869499999997</v>
      </c>
      <c r="Q23" s="1">
        <f>Q21-Q22</f>
        <v>3886</v>
      </c>
      <c r="R23" s="1">
        <f>R21-R22</f>
        <v>3653.3</v>
      </c>
      <c r="S23" s="1">
        <f>S21-S22</f>
        <v>2861.4</v>
      </c>
      <c r="T23" s="1">
        <f>T21-T22</f>
        <v>4147.5</v>
      </c>
      <c r="U23" s="1">
        <f>U21-U22</f>
        <v>4338.7000000000007</v>
      </c>
      <c r="V23" s="1">
        <f>V21-V22</f>
        <v>4731.3</v>
      </c>
      <c r="W23" s="1">
        <f>W21-W22</f>
        <v>5124.1856400000006</v>
      </c>
      <c r="X23" s="1">
        <f>X21*0.68</f>
        <v>5533.6287968280012</v>
      </c>
      <c r="Y23" s="1">
        <f t="shared" ref="Y23:AL23" si="39">Y21*0.68</f>
        <v>6055.5258482154013</v>
      </c>
      <c r="Z23" s="1">
        <f t="shared" si="39"/>
        <v>6403.9037971769176</v>
      </c>
      <c r="AA23" s="1">
        <f t="shared" si="39"/>
        <v>6826.8339661297414</v>
      </c>
      <c r="AB23" s="1">
        <f t="shared" si="39"/>
        <v>7338.6722284377347</v>
      </c>
      <c r="AC23" s="1">
        <f t="shared" si="39"/>
        <v>7956.6541038219966</v>
      </c>
      <c r="AD23" s="1">
        <f t="shared" si="39"/>
        <v>8743.8524017554319</v>
      </c>
      <c r="AE23" s="1">
        <f t="shared" si="39"/>
        <v>8830.3049257729854</v>
      </c>
      <c r="AF23" s="1">
        <f t="shared" si="39"/>
        <v>8917.6219750307173</v>
      </c>
      <c r="AG23" s="1">
        <f t="shared" si="39"/>
        <v>9005.8121947810232</v>
      </c>
      <c r="AH23" s="1">
        <f t="shared" si="39"/>
        <v>9094.8843167288342</v>
      </c>
      <c r="AI23" s="1">
        <f t="shared" si="39"/>
        <v>9184.8471598961223</v>
      </c>
      <c r="AJ23" s="1">
        <f t="shared" si="39"/>
        <v>9275.709631495085</v>
      </c>
      <c r="AK23" s="1">
        <f t="shared" si="39"/>
        <v>9367.4807278100343</v>
      </c>
      <c r="AL23" s="1">
        <f t="shared" si="39"/>
        <v>9460.1695350881364</v>
      </c>
    </row>
    <row r="24" spans="2:110" s="1" customFormat="1" x14ac:dyDescent="0.2">
      <c r="B24" s="1" t="s">
        <v>20</v>
      </c>
      <c r="C24" s="1">
        <v>878.2</v>
      </c>
      <c r="D24" s="1">
        <v>830</v>
      </c>
      <c r="E24" s="1">
        <v>896.3</v>
      </c>
      <c r="F24" s="1">
        <v>967.6</v>
      </c>
      <c r="G24" s="1">
        <v>906.6</v>
      </c>
      <c r="H24" s="1">
        <v>849.9</v>
      </c>
      <c r="I24" s="1">
        <v>958.4</v>
      </c>
      <c r="J24" s="1">
        <v>1064.2</v>
      </c>
      <c r="K24" s="1">
        <f>G24*1.05</f>
        <v>951.93000000000006</v>
      </c>
      <c r="L24" s="1">
        <f t="shared" ref="L24" si="40">H24*1.05</f>
        <v>892.39499999999998</v>
      </c>
      <c r="M24" s="1">
        <f>I24*1.07</f>
        <v>1025.4880000000001</v>
      </c>
      <c r="N24" s="1">
        <f>J24*1.15</f>
        <v>1223.83</v>
      </c>
      <c r="Q24" s="10">
        <v>3168.3</v>
      </c>
      <c r="R24" s="10">
        <v>3237.5</v>
      </c>
      <c r="S24" s="10">
        <v>2638.5</v>
      </c>
      <c r="T24" s="10">
        <v>3305.6</v>
      </c>
      <c r="U24" s="10">
        <f>SUM(C24:F24)</f>
        <v>3572.1</v>
      </c>
      <c r="V24" s="10">
        <f>SUM(G24:J24)</f>
        <v>3779.1000000000004</v>
      </c>
      <c r="W24" s="10">
        <f>SUM(K24:N24)</f>
        <v>4093.643</v>
      </c>
      <c r="X24" s="1">
        <f>+X21*0.55</f>
        <v>4475.7291739050006</v>
      </c>
      <c r="Y24" s="1">
        <f t="shared" ref="Y24:AL24" si="41">+Y21*0.55</f>
        <v>4897.8517889977511</v>
      </c>
      <c r="Z24" s="1">
        <f t="shared" si="41"/>
        <v>5179.6280712460357</v>
      </c>
      <c r="AA24" s="1">
        <f t="shared" si="41"/>
        <v>5521.7039431931726</v>
      </c>
      <c r="AB24" s="1">
        <f t="shared" si="41"/>
        <v>5935.6907730011089</v>
      </c>
      <c r="AC24" s="1">
        <f t="shared" si="41"/>
        <v>6435.5290545619091</v>
      </c>
      <c r="AD24" s="1">
        <f t="shared" si="41"/>
        <v>7072.2335602433641</v>
      </c>
      <c r="AE24" s="1">
        <f t="shared" si="41"/>
        <v>7142.1583958457977</v>
      </c>
      <c r="AF24" s="1">
        <f t="shared" si="41"/>
        <v>7212.7824798042557</v>
      </c>
      <c r="AG24" s="1">
        <f t="shared" si="41"/>
        <v>7284.1128046022986</v>
      </c>
      <c r="AH24" s="1">
        <f t="shared" si="41"/>
        <v>7356.1564326483212</v>
      </c>
      <c r="AI24" s="1">
        <f t="shared" si="41"/>
        <v>7428.9204969748052</v>
      </c>
      <c r="AJ24" s="1">
        <f t="shared" si="41"/>
        <v>7502.4122019445531</v>
      </c>
      <c r="AK24" s="1">
        <f t="shared" si="41"/>
        <v>7576.6388239639982</v>
      </c>
      <c r="AL24" s="1">
        <f t="shared" si="41"/>
        <v>7651.6077122036395</v>
      </c>
    </row>
    <row r="25" spans="2:110" s="1" customFormat="1" x14ac:dyDescent="0.2">
      <c r="B25" s="1" t="s">
        <v>21</v>
      </c>
      <c r="C25" s="1">
        <v>22.7</v>
      </c>
      <c r="D25" s="1">
        <v>35.6</v>
      </c>
      <c r="E25" s="1">
        <v>9.3000000000000007</v>
      </c>
      <c r="F25" s="1">
        <v>0.7</v>
      </c>
      <c r="G25" s="1">
        <v>29.3</v>
      </c>
      <c r="H25" s="1">
        <v>7.4</v>
      </c>
      <c r="I25" s="1">
        <v>18.399999999999999</v>
      </c>
      <c r="J25" s="1">
        <v>12.2</v>
      </c>
      <c r="K25" s="1">
        <f>AVERAGE(C25:F25)</f>
        <v>17.074999999999999</v>
      </c>
      <c r="L25" s="1">
        <f t="shared" ref="L25:N25" si="42">AVERAGE(D25:G25)</f>
        <v>18.725000000000001</v>
      </c>
      <c r="M25" s="1">
        <f t="shared" si="42"/>
        <v>11.674999999999999</v>
      </c>
      <c r="N25" s="1">
        <f t="shared" si="42"/>
        <v>13.95</v>
      </c>
      <c r="Q25" s="10">
        <v>130.1</v>
      </c>
      <c r="R25" s="10">
        <v>67.2</v>
      </c>
      <c r="S25" s="10">
        <v>170.5</v>
      </c>
      <c r="T25" s="10">
        <v>22.2</v>
      </c>
      <c r="U25" s="10">
        <f>SUM(C25:F25)</f>
        <v>68.3</v>
      </c>
      <c r="V25" s="10">
        <f>SUM(G25:J25)</f>
        <v>67.3</v>
      </c>
      <c r="W25" s="10">
        <f>SUM(K25:N25)</f>
        <v>61.424999999999997</v>
      </c>
      <c r="X25" s="1">
        <v>90</v>
      </c>
      <c r="Y25" s="1">
        <v>90</v>
      </c>
      <c r="Z25" s="1">
        <v>90</v>
      </c>
      <c r="AA25" s="1">
        <v>90</v>
      </c>
      <c r="AB25" s="1">
        <v>90</v>
      </c>
      <c r="AC25" s="1">
        <v>90</v>
      </c>
      <c r="AD25" s="1">
        <v>90</v>
      </c>
      <c r="AE25" s="1">
        <v>90</v>
      </c>
      <c r="AF25" s="1">
        <v>90</v>
      </c>
      <c r="AG25" s="1">
        <v>90</v>
      </c>
      <c r="AH25" s="1">
        <v>90</v>
      </c>
      <c r="AI25" s="1">
        <v>90</v>
      </c>
      <c r="AJ25" s="1">
        <v>90</v>
      </c>
      <c r="AK25" s="1">
        <v>90</v>
      </c>
      <c r="AL25" s="1">
        <v>90</v>
      </c>
    </row>
    <row r="26" spans="2:110" s="1" customFormat="1" x14ac:dyDescent="0.2">
      <c r="B26" s="1" t="s">
        <v>22</v>
      </c>
      <c r="C26" s="1">
        <f>+C25+C24</f>
        <v>900.90000000000009</v>
      </c>
      <c r="D26" s="1">
        <f>+D25+D24</f>
        <v>865.6</v>
      </c>
      <c r="E26" s="1">
        <f>+E25+E24</f>
        <v>905.59999999999991</v>
      </c>
      <c r="F26" s="1">
        <f>+F25+F24</f>
        <v>968.30000000000007</v>
      </c>
      <c r="G26" s="1">
        <f>+G25+G24</f>
        <v>935.9</v>
      </c>
      <c r="H26" s="1">
        <f>+H25+H24</f>
        <v>857.3</v>
      </c>
      <c r="I26" s="1">
        <f>+I25+I24</f>
        <v>976.8</v>
      </c>
      <c r="J26" s="1">
        <f>+J25+J24</f>
        <v>1076.4000000000001</v>
      </c>
      <c r="K26" s="1">
        <f t="shared" ref="K26:N26" si="43">+K25+K24</f>
        <v>969.00500000000011</v>
      </c>
      <c r="L26" s="1">
        <f t="shared" si="43"/>
        <v>911.12</v>
      </c>
      <c r="M26" s="1">
        <f t="shared" si="43"/>
        <v>1037.163</v>
      </c>
      <c r="N26" s="1">
        <f t="shared" si="43"/>
        <v>1237.78</v>
      </c>
      <c r="Q26" s="1">
        <f>+Q25+Q24</f>
        <v>3298.4</v>
      </c>
      <c r="R26" s="1">
        <f>+R25+R24</f>
        <v>3304.7</v>
      </c>
      <c r="S26" s="1">
        <f>+S25+S24</f>
        <v>2809</v>
      </c>
      <c r="T26" s="1">
        <f>+T25+T24</f>
        <v>3327.7999999999997</v>
      </c>
      <c r="U26" s="1">
        <f>+U25+U24</f>
        <v>3640.4</v>
      </c>
      <c r="V26" s="1">
        <f>+V25+V24</f>
        <v>3846.4000000000005</v>
      </c>
      <c r="W26" s="1">
        <f>+W25+W24</f>
        <v>4155.0680000000002</v>
      </c>
      <c r="X26" s="1">
        <f t="shared" ref="X26:AL26" si="44">+X25+X24</f>
        <v>4565.7291739050006</v>
      </c>
      <c r="Y26" s="1">
        <f t="shared" si="44"/>
        <v>4987.8517889977511</v>
      </c>
      <c r="Z26" s="1">
        <f t="shared" si="44"/>
        <v>5269.6280712460357</v>
      </c>
      <c r="AA26" s="1">
        <f t="shared" si="44"/>
        <v>5611.7039431931726</v>
      </c>
      <c r="AB26" s="1">
        <f t="shared" si="44"/>
        <v>6025.6907730011089</v>
      </c>
      <c r="AC26" s="1">
        <f t="shared" si="44"/>
        <v>6525.5290545619091</v>
      </c>
      <c r="AD26" s="1">
        <f t="shared" si="44"/>
        <v>7162.2335602433641</v>
      </c>
      <c r="AE26" s="1">
        <f t="shared" si="44"/>
        <v>7232.1583958457977</v>
      </c>
      <c r="AF26" s="1">
        <f t="shared" si="44"/>
        <v>7302.7824798042557</v>
      </c>
      <c r="AG26" s="1">
        <f t="shared" si="44"/>
        <v>7374.1128046022986</v>
      </c>
      <c r="AH26" s="1">
        <f t="shared" si="44"/>
        <v>7446.1564326483212</v>
      </c>
      <c r="AI26" s="1">
        <f t="shared" si="44"/>
        <v>7518.9204969748052</v>
      </c>
      <c r="AJ26" s="1">
        <f t="shared" si="44"/>
        <v>7592.4122019445531</v>
      </c>
      <c r="AK26" s="1">
        <f t="shared" si="44"/>
        <v>7666.6388239639982</v>
      </c>
      <c r="AL26" s="1">
        <f t="shared" si="44"/>
        <v>7741.6077122036395</v>
      </c>
    </row>
    <row r="27" spans="2:110" s="1" customFormat="1" x14ac:dyDescent="0.2">
      <c r="B27" s="1" t="s">
        <v>23</v>
      </c>
      <c r="C27" s="1">
        <f>+C23-C26</f>
        <v>49.699999999999818</v>
      </c>
      <c r="D27" s="1">
        <f>+D23-D26</f>
        <v>166.39999999999998</v>
      </c>
      <c r="E27" s="1">
        <f>+E23-E26</f>
        <v>164.5</v>
      </c>
      <c r="F27" s="1">
        <f>+F23-F26</f>
        <v>317.69999999999993</v>
      </c>
      <c r="G27" s="1">
        <f>+G23-G26</f>
        <v>107.80000000000007</v>
      </c>
      <c r="H27" s="1">
        <f>+H23-H26</f>
        <v>208.50000000000023</v>
      </c>
      <c r="I27" s="1">
        <f>+I23-I26</f>
        <v>178.90000000000009</v>
      </c>
      <c r="J27" s="1">
        <f>+J23-J26</f>
        <v>389.69999999999982</v>
      </c>
      <c r="K27" s="1">
        <f t="shared" ref="K27:N27" si="45">+K23-K26</f>
        <v>145.30152999999996</v>
      </c>
      <c r="L27" s="1">
        <f t="shared" si="45"/>
        <v>153.16635999999983</v>
      </c>
      <c r="M27" s="1">
        <f t="shared" si="45"/>
        <v>237.14280000000008</v>
      </c>
      <c r="N27" s="1">
        <f t="shared" si="45"/>
        <v>433.50694999999973</v>
      </c>
      <c r="Q27" s="1">
        <f>+Q23-Q26</f>
        <v>587.59999999999991</v>
      </c>
      <c r="R27" s="1">
        <f>+R23-R26</f>
        <v>348.60000000000036</v>
      </c>
      <c r="S27" s="1">
        <f>+S23-S26</f>
        <v>52.400000000000091</v>
      </c>
      <c r="T27" s="1">
        <f>+T23-T26</f>
        <v>819.70000000000027</v>
      </c>
      <c r="U27" s="1">
        <f>+U23-U26</f>
        <v>698.30000000000064</v>
      </c>
      <c r="V27" s="1">
        <f>+V23-V26</f>
        <v>884.89999999999964</v>
      </c>
      <c r="W27" s="1">
        <f>SUM(K27:N27)</f>
        <v>969.1176399999996</v>
      </c>
      <c r="X27" s="1">
        <f>X23-X26</f>
        <v>967.89962292300061</v>
      </c>
      <c r="Y27" s="1">
        <f t="shared" ref="Y27:AL27" si="46">Y23-Y26</f>
        <v>1067.6740592176502</v>
      </c>
      <c r="Z27" s="1">
        <f t="shared" si="46"/>
        <v>1134.2757259308819</v>
      </c>
      <c r="AA27" s="1">
        <f t="shared" si="46"/>
        <v>1215.1300229365688</v>
      </c>
      <c r="AB27" s="1">
        <f t="shared" si="46"/>
        <v>1312.9814554366258</v>
      </c>
      <c r="AC27" s="1">
        <f t="shared" si="46"/>
        <v>1431.1250492600875</v>
      </c>
      <c r="AD27" s="1">
        <f t="shared" si="46"/>
        <v>1581.6188415120678</v>
      </c>
      <c r="AE27" s="1">
        <f t="shared" si="46"/>
        <v>1598.1465299271877</v>
      </c>
      <c r="AF27" s="1">
        <f t="shared" si="46"/>
        <v>1614.8394952264616</v>
      </c>
      <c r="AG27" s="1">
        <f t="shared" si="46"/>
        <v>1631.6993901787246</v>
      </c>
      <c r="AH27" s="1">
        <f t="shared" si="46"/>
        <v>1648.7278840805129</v>
      </c>
      <c r="AI27" s="1">
        <f t="shared" si="46"/>
        <v>1665.9266629213171</v>
      </c>
      <c r="AJ27" s="1">
        <f t="shared" si="46"/>
        <v>1683.2974295505319</v>
      </c>
      <c r="AK27" s="1">
        <f t="shared" si="46"/>
        <v>1700.8419038460361</v>
      </c>
      <c r="AL27" s="1">
        <f t="shared" si="46"/>
        <v>1718.5618228844969</v>
      </c>
    </row>
    <row r="28" spans="2:110" s="1" customFormat="1" x14ac:dyDescent="0.2">
      <c r="B28" s="1" t="s">
        <v>24</v>
      </c>
      <c r="C28" s="1">
        <f>-7.1+13.4+2.7</f>
        <v>9</v>
      </c>
      <c r="D28" s="1">
        <f>-10+15.7-1.5</f>
        <v>4.1999999999999993</v>
      </c>
      <c r="E28" s="1">
        <f>-10+15.8-4.8</f>
        <v>1.0000000000000009</v>
      </c>
      <c r="F28" s="1">
        <f>-10.6+2+20.7</f>
        <v>12.1</v>
      </c>
      <c r="G28" s="1">
        <f>-11.6+20.8-5.5</f>
        <v>3.7000000000000011</v>
      </c>
      <c r="H28" s="1">
        <f>-10.9+20.1-1.1</f>
        <v>8.1000000000000014</v>
      </c>
      <c r="I28" s="1">
        <f>-11.4+17.9+2.7</f>
        <v>9.1999999999999993</v>
      </c>
      <c r="J28" s="1">
        <f>-11.6+17.8-12.2</f>
        <v>-5.9999999999999982</v>
      </c>
      <c r="K28" s="1">
        <f>1001*$AO$46/4</f>
        <v>5.0049999999999999</v>
      </c>
      <c r="L28" s="1">
        <f t="shared" ref="L28:N28" si="47">1001*$AO$46/4</f>
        <v>5.0049999999999999</v>
      </c>
      <c r="M28" s="1">
        <f t="shared" si="47"/>
        <v>5.0049999999999999</v>
      </c>
      <c r="N28" s="1">
        <f t="shared" si="47"/>
        <v>5.0049999999999999</v>
      </c>
      <c r="Q28" s="10">
        <f>40.8-20.7+0.6</f>
        <v>20.7</v>
      </c>
      <c r="R28" s="10">
        <f>-17.6+34.4-7.4</f>
        <v>9.3999999999999968</v>
      </c>
      <c r="S28" s="10">
        <f>-48.5+9.7+7.6</f>
        <v>-31.199999999999996</v>
      </c>
      <c r="T28" s="10">
        <f>-54+5.5+4.7</f>
        <v>-43.8</v>
      </c>
      <c r="U28" s="10">
        <f>SUM(C28:F28)</f>
        <v>26.299999999999997</v>
      </c>
      <c r="V28" s="10">
        <f>SUM(G28:J28)</f>
        <v>15.000000000000002</v>
      </c>
      <c r="W28" s="10">
        <f>SUM(K28:N28)</f>
        <v>20.02</v>
      </c>
      <c r="X28" s="10">
        <f>+W46*$AO$46</f>
        <v>15.826202239999994</v>
      </c>
      <c r="Y28" s="1">
        <f t="shared" ref="Y28:AL28" si="48">+X46*$AO$46</f>
        <v>15.739613202608012</v>
      </c>
      <c r="Z28" s="1">
        <f t="shared" si="48"/>
        <v>17.334618758724133</v>
      </c>
      <c r="AA28" s="1">
        <f t="shared" si="48"/>
        <v>18.425765515033699</v>
      </c>
      <c r="AB28" s="1">
        <f t="shared" si="48"/>
        <v>19.736892615225639</v>
      </c>
      <c r="AC28" s="1">
        <f t="shared" si="48"/>
        <v>21.323493568829623</v>
      </c>
      <c r="AD28" s="1">
        <f t="shared" si="48"/>
        <v>23.239176685262674</v>
      </c>
      <c r="AE28" s="1">
        <f t="shared" si="48"/>
        <v>25.677728291157287</v>
      </c>
      <c r="AF28" s="1">
        <f t="shared" si="48"/>
        <v>25.981188131493518</v>
      </c>
      <c r="AG28" s="1">
        <f t="shared" si="48"/>
        <v>26.253130933727284</v>
      </c>
      <c r="AH28" s="1">
        <f t="shared" si="48"/>
        <v>26.527240337799231</v>
      </c>
      <c r="AI28" s="1">
        <f t="shared" si="48"/>
        <v>26.804081990692993</v>
      </c>
      <c r="AJ28" s="1">
        <f t="shared" si="48"/>
        <v>27.083691918592162</v>
      </c>
      <c r="AK28" s="1">
        <f t="shared" si="48"/>
        <v>27.366097943505984</v>
      </c>
      <c r="AL28" s="1">
        <f t="shared" si="48"/>
        <v>27.651328028632676</v>
      </c>
    </row>
    <row r="29" spans="2:110" s="1" customFormat="1" x14ac:dyDescent="0.2">
      <c r="B29" s="1" t="s">
        <v>25</v>
      </c>
      <c r="C29" s="1">
        <f>+C27+C28</f>
        <v>58.699999999999818</v>
      </c>
      <c r="D29" s="1">
        <f>+D27+D28</f>
        <v>170.59999999999997</v>
      </c>
      <c r="E29" s="1">
        <f>+E27+E28</f>
        <v>165.5</v>
      </c>
      <c r="F29" s="1">
        <f>+F27+F28</f>
        <v>329.79999999999995</v>
      </c>
      <c r="G29" s="1">
        <f>+G27+G28</f>
        <v>111.50000000000007</v>
      </c>
      <c r="H29" s="1">
        <f>+H27+H28</f>
        <v>216.60000000000022</v>
      </c>
      <c r="I29" s="1">
        <f>+I27+I28</f>
        <v>188.10000000000008</v>
      </c>
      <c r="J29" s="1">
        <f>+J27+J28</f>
        <v>383.69999999999982</v>
      </c>
      <c r="K29" s="1">
        <f t="shared" ref="K29:N29" si="49">+K27+K28</f>
        <v>150.30652999999995</v>
      </c>
      <c r="L29" s="1">
        <f t="shared" si="49"/>
        <v>158.17135999999982</v>
      </c>
      <c r="M29" s="1">
        <f t="shared" si="49"/>
        <v>242.14780000000007</v>
      </c>
      <c r="N29" s="1">
        <f t="shared" si="49"/>
        <v>438.51194999999973</v>
      </c>
      <c r="Q29" s="1">
        <f>+Q27+Q28</f>
        <v>608.29999999999995</v>
      </c>
      <c r="R29" s="1">
        <f>+R27+R28</f>
        <v>358.00000000000034</v>
      </c>
      <c r="S29" s="1">
        <f>+S27+S28</f>
        <v>21.200000000000095</v>
      </c>
      <c r="T29" s="1">
        <f>+T27+T28</f>
        <v>775.90000000000032</v>
      </c>
      <c r="U29" s="1">
        <f>+U27+U28</f>
        <v>724.60000000000059</v>
      </c>
      <c r="V29" s="1">
        <f>+V27+V28</f>
        <v>899.89999999999964</v>
      </c>
      <c r="W29" s="1">
        <f>+W27+W28</f>
        <v>989.13763999999958</v>
      </c>
      <c r="X29" s="1">
        <f t="shared" ref="X29:AL29" si="50">+X27+X28</f>
        <v>983.72582516300065</v>
      </c>
      <c r="Y29" s="1">
        <f t="shared" si="50"/>
        <v>1083.4136724202583</v>
      </c>
      <c r="Z29" s="1">
        <f t="shared" si="50"/>
        <v>1151.6103446896061</v>
      </c>
      <c r="AA29" s="1">
        <f t="shared" si="50"/>
        <v>1233.5557884516024</v>
      </c>
      <c r="AB29" s="1">
        <f t="shared" si="50"/>
        <v>1332.7183480518513</v>
      </c>
      <c r="AC29" s="1">
        <f t="shared" si="50"/>
        <v>1452.4485428289172</v>
      </c>
      <c r="AD29" s="1">
        <f t="shared" si="50"/>
        <v>1604.8580181973305</v>
      </c>
      <c r="AE29" s="1">
        <f t="shared" si="50"/>
        <v>1623.824258218345</v>
      </c>
      <c r="AF29" s="1">
        <f t="shared" si="50"/>
        <v>1640.8206833579552</v>
      </c>
      <c r="AG29" s="1">
        <f t="shared" si="50"/>
        <v>1657.9525211124519</v>
      </c>
      <c r="AH29" s="1">
        <f t="shared" si="50"/>
        <v>1675.2551244183121</v>
      </c>
      <c r="AI29" s="1">
        <f t="shared" si="50"/>
        <v>1692.7307449120101</v>
      </c>
      <c r="AJ29" s="1">
        <f t="shared" si="50"/>
        <v>1710.3811214691241</v>
      </c>
      <c r="AK29" s="1">
        <f t="shared" si="50"/>
        <v>1728.2080017895421</v>
      </c>
      <c r="AL29" s="1">
        <f t="shared" si="50"/>
        <v>1746.2131509131295</v>
      </c>
    </row>
    <row r="30" spans="2:110" s="1" customFormat="1" x14ac:dyDescent="0.2">
      <c r="B30" s="1" t="s">
        <v>26</v>
      </c>
      <c r="C30" s="1">
        <v>16.899999999999999</v>
      </c>
      <c r="D30" s="1">
        <v>38.5</v>
      </c>
      <c r="E30" s="1">
        <v>18.600000000000001</v>
      </c>
      <c r="F30" s="1">
        <v>53.2</v>
      </c>
      <c r="G30" s="1">
        <v>20.8</v>
      </c>
      <c r="H30" s="1">
        <v>48</v>
      </c>
      <c r="I30" s="1">
        <v>40.200000000000003</v>
      </c>
      <c r="J30" s="1">
        <v>86.3</v>
      </c>
      <c r="K30" s="1">
        <f>+K29*0.2</f>
        <v>30.061305999999991</v>
      </c>
      <c r="L30" s="1">
        <f t="shared" ref="L30:N30" si="51">+L29*0.2</f>
        <v>31.634271999999967</v>
      </c>
      <c r="M30" s="1">
        <f t="shared" si="51"/>
        <v>48.429560000000016</v>
      </c>
      <c r="N30" s="1">
        <f t="shared" si="51"/>
        <v>87.702389999999951</v>
      </c>
      <c r="Q30" s="11">
        <v>151.6</v>
      </c>
      <c r="R30" s="11">
        <v>-57.9</v>
      </c>
      <c r="S30" s="11">
        <v>46.3</v>
      </c>
      <c r="T30" s="11">
        <v>154.5</v>
      </c>
      <c r="U30" s="11">
        <f>SUM(C30:F30)</f>
        <v>127.2</v>
      </c>
      <c r="V30" s="10">
        <f>SUM(G30:J30)</f>
        <v>195.3</v>
      </c>
      <c r="W30" s="10">
        <f>SUM(K30:N30)</f>
        <v>197.82752799999992</v>
      </c>
      <c r="X30" s="1">
        <f>X29*0.2</f>
        <v>196.74516503260014</v>
      </c>
      <c r="Y30" s="1">
        <f t="shared" ref="Y30:AL30" si="52">Y29*0.2</f>
        <v>216.68273448405168</v>
      </c>
      <c r="Z30" s="1">
        <f t="shared" si="52"/>
        <v>230.32206893792124</v>
      </c>
      <c r="AA30" s="1">
        <f t="shared" si="52"/>
        <v>246.7111576903205</v>
      </c>
      <c r="AB30" s="1">
        <f t="shared" si="52"/>
        <v>266.54366961037027</v>
      </c>
      <c r="AC30" s="1">
        <f t="shared" si="52"/>
        <v>290.48970856578347</v>
      </c>
      <c r="AD30" s="1">
        <f t="shared" si="52"/>
        <v>320.97160363946614</v>
      </c>
      <c r="AE30" s="1">
        <f t="shared" si="52"/>
        <v>324.76485164366903</v>
      </c>
      <c r="AF30" s="1">
        <f t="shared" si="52"/>
        <v>328.16413667159105</v>
      </c>
      <c r="AG30" s="1">
        <f t="shared" si="52"/>
        <v>331.59050422249038</v>
      </c>
      <c r="AH30" s="1">
        <f t="shared" si="52"/>
        <v>335.05102488366242</v>
      </c>
      <c r="AI30" s="1">
        <f t="shared" si="52"/>
        <v>338.54614898240203</v>
      </c>
      <c r="AJ30" s="1">
        <f t="shared" si="52"/>
        <v>342.07622429382485</v>
      </c>
      <c r="AK30" s="1">
        <f t="shared" si="52"/>
        <v>345.64160035790843</v>
      </c>
      <c r="AL30" s="1">
        <f t="shared" si="52"/>
        <v>349.24263018262593</v>
      </c>
    </row>
    <row r="31" spans="2:110" s="1" customFormat="1" x14ac:dyDescent="0.2">
      <c r="B31" s="1" t="s">
        <v>27</v>
      </c>
      <c r="C31" s="1">
        <f>+C29-C30</f>
        <v>41.79999999999982</v>
      </c>
      <c r="D31" s="1">
        <f>+D29-D30</f>
        <v>132.09999999999997</v>
      </c>
      <c r="E31" s="1">
        <f>+E29-E30</f>
        <v>146.9</v>
      </c>
      <c r="F31" s="1">
        <f>+F29-F30</f>
        <v>276.59999999999997</v>
      </c>
      <c r="G31" s="1">
        <f>+G29-G30</f>
        <v>90.700000000000074</v>
      </c>
      <c r="H31" s="1">
        <f>+H29-H30</f>
        <v>168.60000000000022</v>
      </c>
      <c r="I31" s="1">
        <f>+I29-I30</f>
        <v>147.90000000000009</v>
      </c>
      <c r="J31" s="1">
        <f>+J29-J30</f>
        <v>297.39999999999981</v>
      </c>
      <c r="K31" s="1">
        <f t="shared" ref="K31:N31" si="53">+K29-K30</f>
        <v>120.24522399999996</v>
      </c>
      <c r="L31" s="1">
        <f t="shared" si="53"/>
        <v>126.53708799999986</v>
      </c>
      <c r="M31" s="1">
        <f t="shared" si="53"/>
        <v>193.71824000000007</v>
      </c>
      <c r="N31" s="1">
        <f t="shared" si="53"/>
        <v>350.80955999999981</v>
      </c>
      <c r="Q31" s="1">
        <f>+Q29-Q30</f>
        <v>456.69999999999993</v>
      </c>
      <c r="R31" s="1">
        <f>+R29-R30</f>
        <v>415.90000000000032</v>
      </c>
      <c r="S31" s="1">
        <f>+S29-S30</f>
        <v>-25.099999999999902</v>
      </c>
      <c r="T31" s="1">
        <f>+T29-T30</f>
        <v>621.40000000000032</v>
      </c>
      <c r="U31" s="1">
        <f>+U29-U30</f>
        <v>597.40000000000055</v>
      </c>
      <c r="V31" s="1">
        <f>+V29-V30</f>
        <v>704.59999999999968</v>
      </c>
      <c r="W31" s="1">
        <f>+W29-W30</f>
        <v>791.31011199999966</v>
      </c>
      <c r="X31" s="1">
        <f t="shared" ref="X31:AL31" si="54">+X29-X30</f>
        <v>786.98066013040057</v>
      </c>
      <c r="Y31" s="1">
        <f t="shared" si="54"/>
        <v>866.7309379362066</v>
      </c>
      <c r="Z31" s="1">
        <f t="shared" si="54"/>
        <v>921.28827575168486</v>
      </c>
      <c r="AA31" s="1">
        <f t="shared" si="54"/>
        <v>986.84463076128191</v>
      </c>
      <c r="AB31" s="1">
        <f t="shared" si="54"/>
        <v>1066.1746784414811</v>
      </c>
      <c r="AC31" s="1">
        <f t="shared" si="54"/>
        <v>1161.9588342631337</v>
      </c>
      <c r="AD31" s="1">
        <f t="shared" si="54"/>
        <v>1283.8864145578643</v>
      </c>
      <c r="AE31" s="1">
        <f t="shared" si="54"/>
        <v>1299.0594065746759</v>
      </c>
      <c r="AF31" s="1">
        <f t="shared" si="54"/>
        <v>1312.6565466863642</v>
      </c>
      <c r="AG31" s="1">
        <f t="shared" si="54"/>
        <v>1326.3620168899615</v>
      </c>
      <c r="AH31" s="1">
        <f t="shared" si="54"/>
        <v>1340.2040995346497</v>
      </c>
      <c r="AI31" s="1">
        <f t="shared" si="54"/>
        <v>1354.1845959296081</v>
      </c>
      <c r="AJ31" s="1">
        <f t="shared" si="54"/>
        <v>1368.3048971752992</v>
      </c>
      <c r="AK31" s="1">
        <f t="shared" si="54"/>
        <v>1382.5664014316337</v>
      </c>
      <c r="AL31" s="1">
        <f t="shared" si="54"/>
        <v>1396.9705207305037</v>
      </c>
      <c r="AM31" s="1">
        <f>AL31*(1+$AO$45)</f>
        <v>1369.0311103158936</v>
      </c>
      <c r="AN31" s="1">
        <f t="shared" ref="AN31:CY31" si="55">AM31*(1+$AO$45)</f>
        <v>1341.6504881095757</v>
      </c>
      <c r="AO31" s="1">
        <f t="shared" si="55"/>
        <v>1314.8174783473842</v>
      </c>
      <c r="AP31" s="1">
        <f t="shared" si="55"/>
        <v>1288.5211287804364</v>
      </c>
      <c r="AQ31" s="1">
        <f t="shared" si="55"/>
        <v>1262.7507062048276</v>
      </c>
      <c r="AR31" s="1">
        <f t="shared" si="55"/>
        <v>1237.495692080731</v>
      </c>
      <c r="AS31" s="1">
        <f t="shared" si="55"/>
        <v>1212.7457782391164</v>
      </c>
      <c r="AT31" s="1">
        <f t="shared" si="55"/>
        <v>1188.490862674334</v>
      </c>
      <c r="AU31" s="1">
        <f t="shared" si="55"/>
        <v>1164.7210454208473</v>
      </c>
      <c r="AV31" s="1">
        <f t="shared" si="55"/>
        <v>1141.4266245124304</v>
      </c>
      <c r="AW31" s="1">
        <f t="shared" si="55"/>
        <v>1118.5980920221818</v>
      </c>
      <c r="AX31" s="1">
        <f t="shared" si="55"/>
        <v>1096.2261301817382</v>
      </c>
      <c r="AY31" s="1">
        <f t="shared" si="55"/>
        <v>1074.3016075781034</v>
      </c>
      <c r="AZ31" s="1">
        <f t="shared" si="55"/>
        <v>1052.8155754265413</v>
      </c>
      <c r="BA31" s="1">
        <f t="shared" si="55"/>
        <v>1031.7592639180104</v>
      </c>
      <c r="BB31" s="1">
        <f t="shared" si="55"/>
        <v>1011.1240786396502</v>
      </c>
      <c r="BC31" s="1">
        <f t="shared" si="55"/>
        <v>990.90159706685711</v>
      </c>
      <c r="BD31" s="1">
        <f t="shared" si="55"/>
        <v>971.08356512551995</v>
      </c>
      <c r="BE31" s="1">
        <f t="shared" si="55"/>
        <v>951.66189382300956</v>
      </c>
      <c r="BF31" s="1">
        <f t="shared" si="55"/>
        <v>932.62865594654932</v>
      </c>
      <c r="BG31" s="1">
        <f t="shared" si="55"/>
        <v>913.97608282761826</v>
      </c>
      <c r="BH31" s="1">
        <f t="shared" si="55"/>
        <v>895.69656117106592</v>
      </c>
      <c r="BI31" s="1">
        <f t="shared" si="55"/>
        <v>877.78262994764464</v>
      </c>
      <c r="BJ31" s="1">
        <f t="shared" si="55"/>
        <v>860.22697734869178</v>
      </c>
      <c r="BK31" s="1">
        <f t="shared" si="55"/>
        <v>843.02243780171796</v>
      </c>
      <c r="BL31" s="1">
        <f t="shared" si="55"/>
        <v>826.16198904568353</v>
      </c>
      <c r="BM31" s="1">
        <f t="shared" si="55"/>
        <v>809.63874926476979</v>
      </c>
      <c r="BN31" s="1">
        <f t="shared" si="55"/>
        <v>793.4459742794744</v>
      </c>
      <c r="BO31" s="1">
        <f t="shared" si="55"/>
        <v>777.57705479388494</v>
      </c>
      <c r="BP31" s="1">
        <f t="shared" si="55"/>
        <v>762.02551369800722</v>
      </c>
      <c r="BQ31" s="1">
        <f t="shared" si="55"/>
        <v>746.78500342404709</v>
      </c>
      <c r="BR31" s="1">
        <f t="shared" si="55"/>
        <v>731.84930335556612</v>
      </c>
      <c r="BS31" s="1">
        <f t="shared" si="55"/>
        <v>717.21231728845476</v>
      </c>
      <c r="BT31" s="1">
        <f t="shared" si="55"/>
        <v>702.86807094268568</v>
      </c>
      <c r="BU31" s="1">
        <f t="shared" si="55"/>
        <v>688.81070952383197</v>
      </c>
      <c r="BV31" s="1">
        <f t="shared" si="55"/>
        <v>675.03449533335527</v>
      </c>
      <c r="BW31" s="1">
        <f t="shared" si="55"/>
        <v>661.5338054266881</v>
      </c>
      <c r="BX31" s="1">
        <f t="shared" si="55"/>
        <v>648.30312931815433</v>
      </c>
      <c r="BY31" s="1">
        <f t="shared" si="55"/>
        <v>635.3370667317912</v>
      </c>
      <c r="BZ31" s="1">
        <f t="shared" si="55"/>
        <v>622.63032539715539</v>
      </c>
      <c r="CA31" s="1">
        <f t="shared" si="55"/>
        <v>610.17771888921231</v>
      </c>
      <c r="CB31" s="1">
        <f t="shared" si="55"/>
        <v>597.97416451142806</v>
      </c>
      <c r="CC31" s="1">
        <f t="shared" si="55"/>
        <v>586.01468122119945</v>
      </c>
      <c r="CD31" s="1">
        <f t="shared" si="55"/>
        <v>574.29438759677544</v>
      </c>
      <c r="CE31" s="1">
        <f t="shared" si="55"/>
        <v>562.80849984483996</v>
      </c>
      <c r="CF31" s="1">
        <f t="shared" si="55"/>
        <v>551.55232984794316</v>
      </c>
      <c r="CG31" s="1">
        <f t="shared" si="55"/>
        <v>540.52128325098431</v>
      </c>
      <c r="CH31" s="1">
        <f t="shared" si="55"/>
        <v>529.71085758596462</v>
      </c>
      <c r="CI31" s="1">
        <f t="shared" si="55"/>
        <v>519.11664043424537</v>
      </c>
      <c r="CJ31" s="1">
        <f t="shared" si="55"/>
        <v>508.73430762556046</v>
      </c>
      <c r="CK31" s="1">
        <f t="shared" si="55"/>
        <v>498.55962147304922</v>
      </c>
      <c r="CL31" s="1">
        <f t="shared" si="55"/>
        <v>488.58842904358823</v>
      </c>
      <c r="CM31" s="1">
        <f t="shared" si="55"/>
        <v>478.81666046271647</v>
      </c>
      <c r="CN31" s="1">
        <f t="shared" si="55"/>
        <v>469.24032725346211</v>
      </c>
      <c r="CO31" s="1">
        <f t="shared" si="55"/>
        <v>459.85552070839287</v>
      </c>
      <c r="CP31" s="1">
        <f t="shared" si="55"/>
        <v>450.65841029422501</v>
      </c>
      <c r="CQ31" s="1">
        <f t="shared" si="55"/>
        <v>441.64524208834052</v>
      </c>
      <c r="CR31" s="1">
        <f t="shared" si="55"/>
        <v>432.81233724657369</v>
      </c>
      <c r="CS31" s="1">
        <f t="shared" si="55"/>
        <v>424.15609050164221</v>
      </c>
      <c r="CT31" s="1">
        <f t="shared" si="55"/>
        <v>415.67296869160936</v>
      </c>
      <c r="CU31" s="1">
        <f t="shared" si="55"/>
        <v>407.35950931777717</v>
      </c>
      <c r="CV31" s="1">
        <f t="shared" si="55"/>
        <v>399.21231913142162</v>
      </c>
      <c r="CW31" s="1">
        <f t="shared" si="55"/>
        <v>391.22807274879318</v>
      </c>
      <c r="CX31" s="1">
        <f t="shared" si="55"/>
        <v>383.4035112938173</v>
      </c>
      <c r="CY31" s="1">
        <f t="shared" si="55"/>
        <v>375.73544106794094</v>
      </c>
      <c r="CZ31" s="1">
        <f t="shared" ref="CZ31:DF31" si="56">CY31*(1+$AO$45)</f>
        <v>368.22073224658209</v>
      </c>
      <c r="DA31" s="1">
        <f t="shared" si="56"/>
        <v>360.85631760165046</v>
      </c>
      <c r="DB31" s="1">
        <f t="shared" si="56"/>
        <v>353.63919124961745</v>
      </c>
      <c r="DC31" s="1">
        <f t="shared" si="56"/>
        <v>346.56640742462508</v>
      </c>
      <c r="DD31" s="1">
        <f t="shared" si="56"/>
        <v>339.63507927613256</v>
      </c>
      <c r="DE31" s="1">
        <f t="shared" si="56"/>
        <v>332.84237769060991</v>
      </c>
      <c r="DF31" s="1">
        <f t="shared" si="56"/>
        <v>326.18553013679769</v>
      </c>
    </row>
    <row r="32" spans="2:110" s="1" customFormat="1" x14ac:dyDescent="0.2">
      <c r="B32" s="1" t="s">
        <v>1</v>
      </c>
      <c r="C32" s="1">
        <v>67.8</v>
      </c>
      <c r="D32" s="1">
        <v>67.400000000000006</v>
      </c>
      <c r="E32" s="1">
        <v>67.2</v>
      </c>
      <c r="F32" s="1">
        <v>66</v>
      </c>
      <c r="G32" s="1">
        <v>65.5</v>
      </c>
      <c r="H32" s="1">
        <v>64.599999999999994</v>
      </c>
      <c r="I32" s="1">
        <v>63.9</v>
      </c>
      <c r="J32" s="1">
        <v>63.8</v>
      </c>
      <c r="K32" s="1">
        <v>64</v>
      </c>
      <c r="L32" s="1">
        <v>64</v>
      </c>
      <c r="M32" s="1">
        <v>63</v>
      </c>
      <c r="N32" s="1">
        <v>63</v>
      </c>
      <c r="Q32" s="1">
        <v>81.7</v>
      </c>
      <c r="R32" s="1">
        <v>77.2</v>
      </c>
      <c r="S32" s="1">
        <v>73.5</v>
      </c>
      <c r="T32" s="1">
        <v>74.3</v>
      </c>
      <c r="U32" s="1">
        <f>AVERAGE(C32:F32)</f>
        <v>67.099999999999994</v>
      </c>
      <c r="V32" s="1">
        <f>AVERAGE(G32:J32)</f>
        <v>64.45</v>
      </c>
      <c r="W32" s="1">
        <f>AVERAGE(K32:N32)</f>
        <v>63.5</v>
      </c>
    </row>
    <row r="33" spans="2:41" s="3" customFormat="1" x14ac:dyDescent="0.2">
      <c r="B33" s="3" t="s">
        <v>28</v>
      </c>
      <c r="C33" s="3">
        <f>+C31/C32</f>
        <v>0.6165191740412953</v>
      </c>
      <c r="D33" s="3">
        <f>+D31/D32</f>
        <v>1.9599406528189904</v>
      </c>
      <c r="E33" s="3">
        <f>+E31/E32</f>
        <v>2.1860119047619047</v>
      </c>
      <c r="F33" s="3">
        <f>+F31/F32</f>
        <v>4.1909090909090905</v>
      </c>
      <c r="G33" s="3">
        <f>+G31/G32</f>
        <v>1.3847328244274821</v>
      </c>
      <c r="H33" s="3">
        <f>+H31/H32</f>
        <v>2.6099071207430375</v>
      </c>
      <c r="I33" s="3">
        <f>+I31/I32</f>
        <v>2.3145539906103303</v>
      </c>
      <c r="J33" s="3">
        <f>+J31/J32</f>
        <v>4.6614420062695894</v>
      </c>
      <c r="K33" s="3">
        <f t="shared" ref="K33:N33" si="57">+K31/K32</f>
        <v>1.8788316249999995</v>
      </c>
      <c r="L33" s="3">
        <f t="shared" si="57"/>
        <v>1.9771419999999977</v>
      </c>
      <c r="M33" s="3">
        <f t="shared" si="57"/>
        <v>3.0748926984126994</v>
      </c>
      <c r="N33" s="3">
        <f t="shared" si="57"/>
        <v>5.5684057142857109</v>
      </c>
      <c r="Q33" s="3">
        <f>+Q31/Q32</f>
        <v>5.5899632802937562</v>
      </c>
      <c r="R33" s="3">
        <f>+R31/R32</f>
        <v>5.3873056994818693</v>
      </c>
      <c r="S33" s="3">
        <f>+S31/S32</f>
        <v>-0.34149659863945447</v>
      </c>
      <c r="T33" s="3">
        <f>+T31/T32</f>
        <v>8.3633916554508794</v>
      </c>
      <c r="U33" s="3">
        <f>+U31/U32</f>
        <v>8.9031296572280265</v>
      </c>
      <c r="V33" s="3">
        <f>+V31/V32</f>
        <v>10.93250581846392</v>
      </c>
      <c r="W33" s="3">
        <f>+W31/W32</f>
        <v>12.461576566929129</v>
      </c>
    </row>
    <row r="36" spans="2:41" s="4" customFormat="1" x14ac:dyDescent="0.2">
      <c r="B36" s="4" t="s">
        <v>31</v>
      </c>
      <c r="G36" s="4">
        <f t="shared" ref="G36:I36" si="58">G21/C21-1</f>
        <v>1.7588265835929429E-2</v>
      </c>
      <c r="H36" s="4">
        <f t="shared" si="58"/>
        <v>1.049114600735046E-2</v>
      </c>
      <c r="I36" s="4">
        <f t="shared" si="58"/>
        <v>5.6950398040416461E-2</v>
      </c>
      <c r="J36" s="4">
        <f>J21/F21-1</f>
        <v>0.1083247156153051</v>
      </c>
      <c r="K36" s="4">
        <f t="shared" ref="K36:N36" si="59">K21/G21-1</f>
        <v>3.0000000000000027E-2</v>
      </c>
      <c r="L36" s="4">
        <f t="shared" si="59"/>
        <v>2.0000000000000018E-2</v>
      </c>
      <c r="M36" s="4">
        <f t="shared" si="59"/>
        <v>7.0000000000000062E-2</v>
      </c>
      <c r="N36" s="4">
        <f t="shared" si="59"/>
        <v>0.12999999999999989</v>
      </c>
      <c r="R36" s="4">
        <f t="shared" ref="R36:V36" si="60">+R21/Q21-1</f>
        <v>-2.4267384761603061E-2</v>
      </c>
      <c r="S36" s="4">
        <f t="shared" si="60"/>
        <v>-0.28556121952011426</v>
      </c>
      <c r="T36" s="4">
        <f t="shared" si="60"/>
        <v>0.413038538447555</v>
      </c>
      <c r="U36" s="4">
        <f t="shared" si="60"/>
        <v>6.2040685052665356E-2</v>
      </c>
      <c r="V36" s="4">
        <f>+V21/U21-1</f>
        <v>5.2284117923171225E-2</v>
      </c>
      <c r="W36" s="4">
        <f>+W21/V21-1</f>
        <v>6.8601933924254732E-2</v>
      </c>
      <c r="X36" s="4">
        <f t="shared" ref="X36:AL36" si="61">+X21/W21-1</f>
        <v>9.5784986216658652E-2</v>
      </c>
      <c r="Y36" s="4">
        <f t="shared" si="61"/>
        <v>9.4313708155950637E-2</v>
      </c>
      <c r="Z36" s="4">
        <f t="shared" si="61"/>
        <v>5.7530585731738748E-2</v>
      </c>
      <c r="AA36" s="4">
        <f t="shared" si="61"/>
        <v>6.6042555033270167E-2</v>
      </c>
      <c r="AB36" s="4">
        <f t="shared" si="61"/>
        <v>7.4974470574119545E-2</v>
      </c>
      <c r="AC36" s="4">
        <f t="shared" si="61"/>
        <v>8.4208948996189026E-2</v>
      </c>
      <c r="AD36" s="4">
        <f t="shared" si="61"/>
        <v>9.8935845100430297E-2</v>
      </c>
      <c r="AE36" s="4">
        <f t="shared" si="61"/>
        <v>9.8872350590224478E-3</v>
      </c>
      <c r="AF36" s="4">
        <f t="shared" si="61"/>
        <v>9.8883390768169654E-3</v>
      </c>
      <c r="AG36" s="4">
        <f t="shared" si="61"/>
        <v>9.8894324066707284E-3</v>
      </c>
      <c r="AH36" s="4">
        <f t="shared" si="61"/>
        <v>9.8905151496972987E-3</v>
      </c>
      <c r="AI36" s="4">
        <f t="shared" si="61"/>
        <v>9.8915874060998554E-3</v>
      </c>
      <c r="AJ36" s="4">
        <f t="shared" si="61"/>
        <v>9.892649275177412E-3</v>
      </c>
      <c r="AK36" s="4">
        <f t="shared" si="61"/>
        <v>9.893700855333698E-3</v>
      </c>
      <c r="AL36" s="4">
        <f t="shared" si="61"/>
        <v>9.8947422440835986E-3</v>
      </c>
    </row>
    <row r="37" spans="2:41" s="4" customFormat="1" x14ac:dyDescent="0.2">
      <c r="B37" s="4" t="s">
        <v>32</v>
      </c>
      <c r="G37" s="4">
        <f t="shared" ref="G37:I37" si="62">+G24/C24-1</f>
        <v>3.2338874971532761E-2</v>
      </c>
      <c r="H37" s="4">
        <f t="shared" si="62"/>
        <v>2.3975903614457783E-2</v>
      </c>
      <c r="I37" s="4">
        <f t="shared" si="62"/>
        <v>6.9284837665960053E-2</v>
      </c>
      <c r="J37" s="4">
        <f>+J24/F24-1</f>
        <v>9.9834642414220687E-2</v>
      </c>
      <c r="K37" s="4">
        <f t="shared" ref="K37:N37" si="63">+K24/G24-1</f>
        <v>5.0000000000000044E-2</v>
      </c>
      <c r="L37" s="4">
        <f t="shared" si="63"/>
        <v>5.0000000000000044E-2</v>
      </c>
      <c r="M37" s="4">
        <f t="shared" si="63"/>
        <v>7.0000000000000062E-2</v>
      </c>
      <c r="N37" s="4">
        <f t="shared" si="63"/>
        <v>0.14999999999999991</v>
      </c>
      <c r="R37" s="4">
        <f t="shared" ref="R37:Y38" si="64">+R24/Q24-1</f>
        <v>2.1841366032256948E-2</v>
      </c>
      <c r="S37" s="4">
        <f t="shared" si="64"/>
        <v>-0.18501930501930497</v>
      </c>
      <c r="T37" s="4">
        <f t="shared" si="64"/>
        <v>0.25283304908091719</v>
      </c>
      <c r="U37" s="4">
        <f t="shared" si="64"/>
        <v>8.0620764762826758E-2</v>
      </c>
      <c r="V37" s="4">
        <f>+V24/U24-1</f>
        <v>5.7949105568153358E-2</v>
      </c>
      <c r="W37" s="4">
        <f>+W24/V24-1</f>
        <v>8.3232251065068263E-2</v>
      </c>
      <c r="X37" s="4">
        <f t="shared" ref="X37:AL37" si="65">+X24/W24-1</f>
        <v>9.3336466786429817E-2</v>
      </c>
      <c r="Y37" s="4">
        <f t="shared" si="65"/>
        <v>9.4313708155950637E-2</v>
      </c>
      <c r="Z37" s="4">
        <f t="shared" si="65"/>
        <v>5.7530585731738748E-2</v>
      </c>
      <c r="AA37" s="4">
        <f t="shared" si="65"/>
        <v>6.6042555033270167E-2</v>
      </c>
      <c r="AB37" s="4">
        <f t="shared" si="65"/>
        <v>7.4974470574119545E-2</v>
      </c>
      <c r="AC37" s="4">
        <f t="shared" si="65"/>
        <v>8.4208948996189026E-2</v>
      </c>
      <c r="AD37" s="4">
        <f t="shared" si="65"/>
        <v>9.8935845100430297E-2</v>
      </c>
      <c r="AE37" s="4">
        <f t="shared" si="65"/>
        <v>9.8872350590224478E-3</v>
      </c>
      <c r="AF37" s="4">
        <f t="shared" si="65"/>
        <v>9.8883390768169654E-3</v>
      </c>
      <c r="AG37" s="4">
        <f t="shared" si="65"/>
        <v>9.8894324066707284E-3</v>
      </c>
      <c r="AH37" s="4">
        <f t="shared" si="65"/>
        <v>9.8905151496972987E-3</v>
      </c>
      <c r="AI37" s="4">
        <f t="shared" si="65"/>
        <v>9.8915874060998554E-3</v>
      </c>
      <c r="AJ37" s="4">
        <f t="shared" si="65"/>
        <v>9.892649275177412E-3</v>
      </c>
      <c r="AK37" s="4">
        <f t="shared" si="65"/>
        <v>9.893700855333698E-3</v>
      </c>
      <c r="AL37" s="4">
        <f t="shared" si="65"/>
        <v>9.8947422440835986E-3</v>
      </c>
    </row>
    <row r="40" spans="2:41" s="4" customFormat="1" x14ac:dyDescent="0.2">
      <c r="B40" s="4" t="s">
        <v>29</v>
      </c>
      <c r="C40" s="4">
        <f t="shared" ref="C40:I40" si="66">+C23/C21</f>
        <v>0.61695223260643817</v>
      </c>
      <c r="D40" s="4">
        <f t="shared" si="66"/>
        <v>0.68960908787170061</v>
      </c>
      <c r="E40" s="4">
        <f t="shared" si="66"/>
        <v>0.65529699938763009</v>
      </c>
      <c r="F40" s="4">
        <f t="shared" si="66"/>
        <v>0.66494312306101344</v>
      </c>
      <c r="G40" s="4">
        <f t="shared" si="66"/>
        <v>0.66566745328145926</v>
      </c>
      <c r="H40" s="4">
        <f t="shared" si="66"/>
        <v>0.70480095225499284</v>
      </c>
      <c r="I40" s="4">
        <f t="shared" si="66"/>
        <v>0.66958285052143685</v>
      </c>
      <c r="J40" s="4">
        <f>+J23/J21</f>
        <v>0.68397480755773266</v>
      </c>
      <c r="K40" s="4">
        <f t="shared" ref="K40:N40" si="67">+K23/K21</f>
        <v>0.69</v>
      </c>
      <c r="L40" s="4">
        <f t="shared" si="67"/>
        <v>0.69</v>
      </c>
      <c r="M40" s="4">
        <f t="shared" si="67"/>
        <v>0.69</v>
      </c>
      <c r="N40" s="4">
        <f t="shared" si="67"/>
        <v>0.69</v>
      </c>
      <c r="Q40" s="4">
        <f t="shared" ref="Q40:T40" si="68">+Q23/Q21</f>
        <v>0.61555520354823379</v>
      </c>
      <c r="R40" s="4">
        <f t="shared" si="68"/>
        <v>0.59308743790382801</v>
      </c>
      <c r="S40" s="4">
        <f t="shared" si="68"/>
        <v>0.65019996364297394</v>
      </c>
      <c r="T40" s="4">
        <f>+T23/T21</f>
        <v>0.66696148588887993</v>
      </c>
      <c r="U40" s="4">
        <f>+U23/U21</f>
        <v>0.65695077449540462</v>
      </c>
      <c r="V40" s="4">
        <f>+V23/V21</f>
        <v>0.68080177276390008</v>
      </c>
      <c r="W40" s="4">
        <f>+W23/W21</f>
        <v>0.69000000000000006</v>
      </c>
      <c r="X40" s="4">
        <f t="shared" ref="X40:AL40" si="69">+X23/X21</f>
        <v>0.68</v>
      </c>
      <c r="Y40" s="4">
        <f t="shared" si="69"/>
        <v>0.68</v>
      </c>
      <c r="Z40" s="4">
        <f t="shared" si="69"/>
        <v>0.68</v>
      </c>
      <c r="AA40" s="4">
        <f t="shared" si="69"/>
        <v>0.68</v>
      </c>
      <c r="AB40" s="4">
        <f t="shared" si="69"/>
        <v>0.68</v>
      </c>
      <c r="AC40" s="4">
        <f t="shared" si="69"/>
        <v>0.68</v>
      </c>
      <c r="AD40" s="4">
        <f t="shared" si="69"/>
        <v>0.68</v>
      </c>
      <c r="AE40" s="4">
        <f t="shared" si="69"/>
        <v>0.67999999999999994</v>
      </c>
      <c r="AF40" s="4">
        <f t="shared" si="69"/>
        <v>0.68000000000000016</v>
      </c>
      <c r="AG40" s="4">
        <f t="shared" si="69"/>
        <v>0.68</v>
      </c>
      <c r="AH40" s="4">
        <f t="shared" si="69"/>
        <v>0.68000000000000016</v>
      </c>
      <c r="AI40" s="4">
        <f t="shared" si="69"/>
        <v>0.68</v>
      </c>
      <c r="AJ40" s="4">
        <f t="shared" si="69"/>
        <v>0.68</v>
      </c>
      <c r="AK40" s="4">
        <f t="shared" si="69"/>
        <v>0.68</v>
      </c>
      <c r="AL40" s="4">
        <f t="shared" si="69"/>
        <v>0.68</v>
      </c>
    </row>
    <row r="41" spans="2:41" s="4" customFormat="1" x14ac:dyDescent="0.2">
      <c r="B41" s="4" t="s">
        <v>30</v>
      </c>
      <c r="C41" s="4">
        <f t="shared" ref="C41:I41" si="70">+C27/C21</f>
        <v>3.2255970924195104E-2</v>
      </c>
      <c r="D41" s="4">
        <f t="shared" si="70"/>
        <v>0.11119278316070831</v>
      </c>
      <c r="E41" s="4">
        <f t="shared" si="70"/>
        <v>0.10073484384568279</v>
      </c>
      <c r="F41" s="4">
        <f t="shared" si="70"/>
        <v>0.16427094105480866</v>
      </c>
      <c r="G41" s="4">
        <f t="shared" si="70"/>
        <v>6.8754384845972363E-2</v>
      </c>
      <c r="H41" s="4">
        <f t="shared" si="70"/>
        <v>0.1378785874884276</v>
      </c>
      <c r="I41" s="4">
        <f t="shared" si="70"/>
        <v>0.10365005793742763</v>
      </c>
      <c r="J41" s="4">
        <f>+J27/J21</f>
        <v>0.18180545836249118</v>
      </c>
      <c r="K41" s="4">
        <f t="shared" ref="K41:N41" si="71">+K27/K21</f>
        <v>8.9973497418165502E-2</v>
      </c>
      <c r="L41" s="4">
        <f t="shared" si="71"/>
        <v>9.9301083215986991E-2</v>
      </c>
      <c r="M41" s="4">
        <f t="shared" si="71"/>
        <v>0.1284060168289276</v>
      </c>
      <c r="N41" s="4">
        <f t="shared" si="71"/>
        <v>0.1789757261612076</v>
      </c>
      <c r="Q41" s="4">
        <f t="shared" ref="Q41:T41" si="72">+Q27/Q21</f>
        <v>9.3077776017741157E-2</v>
      </c>
      <c r="R41" s="4">
        <f t="shared" si="72"/>
        <v>5.6592746517744139E-2</v>
      </c>
      <c r="S41" s="4">
        <f t="shared" si="72"/>
        <v>1.190692601345212E-2</v>
      </c>
      <c r="T41" s="4">
        <f>+T27/T21</f>
        <v>0.13181635442630865</v>
      </c>
      <c r="U41" s="4">
        <f>+U27/U21</f>
        <v>0.10573414290689409</v>
      </c>
      <c r="V41" s="4">
        <f>+V27/V21</f>
        <v>0.12733106941406694</v>
      </c>
      <c r="W41" s="4">
        <f>+W27/W21</f>
        <v>0.13049706208536185</v>
      </c>
      <c r="X41" s="4">
        <f t="shared" ref="X41:AL41" si="73">+X27/X21</f>
        <v>0.11894034958848688</v>
      </c>
      <c r="Y41" s="4">
        <f t="shared" si="73"/>
        <v>0.11989352840133018</v>
      </c>
      <c r="Z41" s="4">
        <f t="shared" si="73"/>
        <v>0.12044332926628618</v>
      </c>
      <c r="AA41" s="4">
        <f t="shared" si="73"/>
        <v>0.12103537594386599</v>
      </c>
      <c r="AB41" s="4">
        <f t="shared" si="73"/>
        <v>0.12166061678530256</v>
      </c>
      <c r="AC41" s="4">
        <f t="shared" si="73"/>
        <v>0.12230832468001815</v>
      </c>
      <c r="AD41" s="4">
        <f t="shared" si="73"/>
        <v>0.12300079676691325</v>
      </c>
      <c r="AE41" s="4">
        <f t="shared" si="73"/>
        <v>0.12306932200932538</v>
      </c>
      <c r="AF41" s="4">
        <f t="shared" si="73"/>
        <v>0.1231371838623168</v>
      </c>
      <c r="AG41" s="4">
        <f t="shared" si="73"/>
        <v>0.12320438860190018</v>
      </c>
      <c r="AH41" s="4">
        <f t="shared" si="73"/>
        <v>0.12327094244756581</v>
      </c>
      <c r="AI41" s="4">
        <f t="shared" si="73"/>
        <v>0.12333685156273276</v>
      </c>
      <c r="AJ41" s="4">
        <f t="shared" si="73"/>
        <v>0.12340212205520121</v>
      </c>
      <c r="AK41" s="4">
        <f t="shared" si="73"/>
        <v>0.12346675997759886</v>
      </c>
      <c r="AL41" s="4">
        <f t="shared" si="73"/>
        <v>0.12353077132782805</v>
      </c>
    </row>
    <row r="42" spans="2:41" s="4" customFormat="1" x14ac:dyDescent="0.2">
      <c r="B42" s="4" t="s">
        <v>26</v>
      </c>
      <c r="C42" s="4">
        <f>+C30/C29</f>
        <v>0.28790459965928539</v>
      </c>
      <c r="D42" s="4">
        <f t="shared" ref="D42:N42" si="74">+D30/D29</f>
        <v>0.22567409144196957</v>
      </c>
      <c r="E42" s="4">
        <f t="shared" si="74"/>
        <v>0.11238670694864049</v>
      </c>
      <c r="F42" s="4">
        <f t="shared" si="74"/>
        <v>0.16130988477865377</v>
      </c>
      <c r="G42" s="4">
        <f t="shared" si="74"/>
        <v>0.18654708520179361</v>
      </c>
      <c r="H42" s="4">
        <f t="shared" si="74"/>
        <v>0.22160664819944575</v>
      </c>
      <c r="I42" s="4">
        <f t="shared" si="74"/>
        <v>0.21371610845295047</v>
      </c>
      <c r="J42" s="4">
        <f t="shared" si="74"/>
        <v>0.2249152984102164</v>
      </c>
      <c r="K42" s="4">
        <f t="shared" si="74"/>
        <v>0.2</v>
      </c>
      <c r="L42" s="4">
        <f t="shared" si="74"/>
        <v>0.2</v>
      </c>
      <c r="M42" s="4">
        <f t="shared" si="74"/>
        <v>0.2</v>
      </c>
      <c r="N42" s="4">
        <f t="shared" si="74"/>
        <v>0.2</v>
      </c>
      <c r="Q42" s="4">
        <f t="shared" ref="Q42:W42" si="75">+Q30/Q29</f>
        <v>0.24921913529508466</v>
      </c>
      <c r="R42" s="4">
        <f t="shared" si="75"/>
        <v>-0.16173184357541884</v>
      </c>
      <c r="S42" s="4">
        <f t="shared" si="75"/>
        <v>2.1839622641509333</v>
      </c>
      <c r="T42" s="4">
        <f t="shared" si="75"/>
        <v>0.19912359840185584</v>
      </c>
      <c r="U42" s="4">
        <f t="shared" si="75"/>
        <v>0.17554512834667388</v>
      </c>
      <c r="V42" s="4">
        <f t="shared" si="75"/>
        <v>0.21702411379042125</v>
      </c>
      <c r="W42" s="4">
        <f t="shared" si="75"/>
        <v>0.2</v>
      </c>
      <c r="X42" s="4">
        <f t="shared" ref="X42:AL42" si="76">+X30/X29</f>
        <v>0.2</v>
      </c>
      <c r="Y42" s="4">
        <f t="shared" si="76"/>
        <v>0.2</v>
      </c>
      <c r="Z42" s="4">
        <f t="shared" si="76"/>
        <v>0.2</v>
      </c>
      <c r="AA42" s="4">
        <f t="shared" si="76"/>
        <v>0.2</v>
      </c>
      <c r="AB42" s="4">
        <f t="shared" si="76"/>
        <v>0.2</v>
      </c>
      <c r="AC42" s="4">
        <f t="shared" si="76"/>
        <v>0.2</v>
      </c>
      <c r="AD42" s="4">
        <f t="shared" si="76"/>
        <v>0.20000000000000004</v>
      </c>
      <c r="AE42" s="4">
        <f t="shared" si="76"/>
        <v>0.2</v>
      </c>
      <c r="AF42" s="4">
        <f t="shared" si="76"/>
        <v>0.2</v>
      </c>
      <c r="AG42" s="4">
        <f t="shared" si="76"/>
        <v>0.2</v>
      </c>
      <c r="AH42" s="4">
        <f t="shared" si="76"/>
        <v>0.2</v>
      </c>
      <c r="AI42" s="4">
        <f t="shared" si="76"/>
        <v>0.2</v>
      </c>
      <c r="AJ42" s="4">
        <f t="shared" si="76"/>
        <v>0.2</v>
      </c>
      <c r="AK42" s="4">
        <f t="shared" si="76"/>
        <v>0.2</v>
      </c>
      <c r="AL42" s="4">
        <f t="shared" si="76"/>
        <v>0.2</v>
      </c>
    </row>
    <row r="43" spans="2:41" s="4" customFormat="1" x14ac:dyDescent="0.2"/>
    <row r="44" spans="2:41" s="4" customFormat="1" x14ac:dyDescent="0.2">
      <c r="B44" s="4" t="s">
        <v>50</v>
      </c>
      <c r="C44" s="4">
        <f t="shared" ref="C44:N44" si="77">+C24/C21</f>
        <v>0.56996365524402914</v>
      </c>
      <c r="D44" s="4">
        <f t="shared" si="77"/>
        <v>0.55462746408286001</v>
      </c>
      <c r="E44" s="4">
        <f t="shared" si="77"/>
        <v>0.5488671157379057</v>
      </c>
      <c r="F44" s="4">
        <f t="shared" si="77"/>
        <v>0.50031023784901762</v>
      </c>
      <c r="G44" s="4">
        <f t="shared" si="77"/>
        <v>0.57822565214618282</v>
      </c>
      <c r="H44" s="4">
        <f t="shared" si="77"/>
        <v>0.5620288321650575</v>
      </c>
      <c r="I44" s="4">
        <f t="shared" si="77"/>
        <v>0.55527230590961763</v>
      </c>
      <c r="J44" s="4">
        <f t="shared" si="77"/>
        <v>0.49647772334966178</v>
      </c>
      <c r="K44" s="4">
        <f t="shared" si="77"/>
        <v>0.58945333471212813</v>
      </c>
      <c r="L44" s="4">
        <f t="shared" si="77"/>
        <v>0.57855909193461807</v>
      </c>
      <c r="M44" s="4">
        <f t="shared" si="77"/>
        <v>0.55527230590961763</v>
      </c>
      <c r="N44" s="4">
        <f>+N24/N21</f>
        <v>0.50526493969213371</v>
      </c>
    </row>
    <row r="45" spans="2:41" s="4" customFormat="1" x14ac:dyDescent="0.2">
      <c r="AN45" s="4" t="s">
        <v>44</v>
      </c>
      <c r="AO45" s="4">
        <v>-0.02</v>
      </c>
    </row>
    <row r="46" spans="2:41" s="1" customFormat="1" x14ac:dyDescent="0.2">
      <c r="B46" s="1" t="s">
        <v>8</v>
      </c>
      <c r="F46" s="1">
        <f>1803.6+113.8-1140</f>
        <v>777.39999999999986</v>
      </c>
      <c r="J46" s="1">
        <v>1001</v>
      </c>
      <c r="K46" s="1">
        <f>+J46+K28</f>
        <v>1006.005</v>
      </c>
      <c r="V46" s="1">
        <v>1006</v>
      </c>
      <c r="W46" s="1">
        <f>+W31</f>
        <v>791.31011199999966</v>
      </c>
      <c r="X46" s="1">
        <f t="shared" ref="X46:AL46" si="78">+X31</f>
        <v>786.98066013040057</v>
      </c>
      <c r="Y46" s="1">
        <f t="shared" si="78"/>
        <v>866.7309379362066</v>
      </c>
      <c r="Z46" s="1">
        <f t="shared" si="78"/>
        <v>921.28827575168486</v>
      </c>
      <c r="AA46" s="1">
        <f t="shared" si="78"/>
        <v>986.84463076128191</v>
      </c>
      <c r="AB46" s="1">
        <f t="shared" si="78"/>
        <v>1066.1746784414811</v>
      </c>
      <c r="AC46" s="1">
        <f t="shared" si="78"/>
        <v>1161.9588342631337</v>
      </c>
      <c r="AD46" s="1">
        <f t="shared" si="78"/>
        <v>1283.8864145578643</v>
      </c>
      <c r="AE46" s="1">
        <f t="shared" si="78"/>
        <v>1299.0594065746759</v>
      </c>
      <c r="AF46" s="1">
        <f t="shared" si="78"/>
        <v>1312.6565466863642</v>
      </c>
      <c r="AG46" s="1">
        <f t="shared" si="78"/>
        <v>1326.3620168899615</v>
      </c>
      <c r="AH46" s="1">
        <f t="shared" si="78"/>
        <v>1340.2040995346497</v>
      </c>
      <c r="AI46" s="1">
        <f t="shared" si="78"/>
        <v>1354.1845959296081</v>
      </c>
      <c r="AJ46" s="1">
        <f t="shared" si="78"/>
        <v>1368.3048971752992</v>
      </c>
      <c r="AK46" s="1">
        <f t="shared" si="78"/>
        <v>1382.5664014316337</v>
      </c>
      <c r="AL46" s="1">
        <f t="shared" si="78"/>
        <v>1396.9705207305037</v>
      </c>
      <c r="AN46" s="1" t="s">
        <v>43</v>
      </c>
      <c r="AO46" s="4">
        <v>0.02</v>
      </c>
    </row>
    <row r="47" spans="2:41" x14ac:dyDescent="0.2">
      <c r="AN47" t="s">
        <v>45</v>
      </c>
      <c r="AO47" s="4">
        <v>0.1</v>
      </c>
    </row>
    <row r="48" spans="2:41" x14ac:dyDescent="0.2">
      <c r="AN48" s="4" t="s">
        <v>51</v>
      </c>
      <c r="AO48" s="13">
        <f>NPV(AO47,W31:DF31)</f>
        <v>10878.736819032923</v>
      </c>
    </row>
    <row r="49" spans="40:41" x14ac:dyDescent="0.2">
      <c r="AN49" s="4" t="s">
        <v>1</v>
      </c>
      <c r="AO49" s="6">
        <v>40</v>
      </c>
    </row>
    <row r="50" spans="40:41" x14ac:dyDescent="0.2">
      <c r="AN50" s="4" t="s">
        <v>0</v>
      </c>
      <c r="AO50" s="1">
        <f>+AO48/AO49</f>
        <v>271.96842047582311</v>
      </c>
    </row>
    <row r="51" spans="40:41" x14ac:dyDescent="0.2">
      <c r="AN51" s="4" t="s">
        <v>52</v>
      </c>
      <c r="AO51">
        <v>271.72000000000003</v>
      </c>
    </row>
    <row r="52" spans="40:41" x14ac:dyDescent="0.2">
      <c r="AN52" s="4" t="s">
        <v>53</v>
      </c>
      <c r="AO52" s="4">
        <f>+AO50/AO51-1</f>
        <v>9.1425171434966757E-4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</dc:creator>
  <cp:lastModifiedBy>Bobby S</cp:lastModifiedBy>
  <dcterms:created xsi:type="dcterms:W3CDTF">2025-03-03T15:44:24Z</dcterms:created>
  <dcterms:modified xsi:type="dcterms:W3CDTF">2025-03-07T00:45:19Z</dcterms:modified>
</cp:coreProperties>
</file>