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878" documentId="8_{6CB3A579-1AF3-0E45-9D21-07B67C686E00}" xr6:coauthVersionLast="47" xr6:coauthVersionMax="47" xr10:uidLastSave="{19872774-1912-A14A-BB4B-435F29EFB106}"/>
  <bookViews>
    <workbookView xWindow="30080" yWindow="-33340" windowWidth="30080" windowHeight="31860" activeTab="1" xr2:uid="{0962E9CE-41AE-504D-9ED1-2D0F13BAC36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2" l="1"/>
  <c r="AM36" i="2" l="1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F24" i="2"/>
  <c r="AG24" i="2" s="1"/>
  <c r="AH24" i="2" s="1"/>
  <c r="AI24" i="2" s="1"/>
  <c r="AJ24" i="2" s="1"/>
  <c r="AK24" i="2" s="1"/>
  <c r="AL24" i="2" s="1"/>
  <c r="AM24" i="2" s="1"/>
  <c r="AE24" i="2"/>
  <c r="AF23" i="2"/>
  <c r="AG23" i="2" s="1"/>
  <c r="AH23" i="2" s="1"/>
  <c r="AI23" i="2" s="1"/>
  <c r="AJ23" i="2" s="1"/>
  <c r="AK23" i="2" s="1"/>
  <c r="AL23" i="2" s="1"/>
  <c r="AM23" i="2" s="1"/>
  <c r="AE23" i="2"/>
  <c r="AG7" i="2"/>
  <c r="AH7" i="2" s="1"/>
  <c r="AI7" i="2" s="1"/>
  <c r="AJ7" i="2" s="1"/>
  <c r="AK7" i="2" s="1"/>
  <c r="AL7" i="2" s="1"/>
  <c r="AM7" i="2" s="1"/>
  <c r="AF7" i="2"/>
  <c r="AP47" i="2" l="1"/>
  <c r="Z7" i="2"/>
  <c r="AA7" i="2" s="1"/>
  <c r="AB7" i="2" s="1"/>
  <c r="AC7" i="2" s="1"/>
  <c r="AD7" i="2" s="1"/>
  <c r="AE7" i="2" s="1"/>
  <c r="Y7" i="2"/>
  <c r="AD4" i="2"/>
  <c r="AB23" i="2"/>
  <c r="AC23" i="2" s="1"/>
  <c r="AD23" i="2" s="1"/>
  <c r="Z24" i="2"/>
  <c r="AA24" i="2" s="1"/>
  <c r="AB24" i="2" s="1"/>
  <c r="AC24" i="2" s="1"/>
  <c r="AD24" i="2" s="1"/>
  <c r="Y24" i="2"/>
  <c r="Z23" i="2"/>
  <c r="AA23" i="2" s="1"/>
  <c r="Y23" i="2"/>
  <c r="X40" i="2"/>
  <c r="W40" i="2"/>
  <c r="V40" i="2"/>
  <c r="X39" i="2"/>
  <c r="W39" i="2"/>
  <c r="V39" i="2"/>
  <c r="W38" i="2"/>
  <c r="V38" i="2"/>
  <c r="X38" i="2"/>
  <c r="V8" i="2"/>
  <c r="Y6" i="2"/>
  <c r="Z6" i="2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Y4" i="2"/>
  <c r="Z4" i="2" s="1"/>
  <c r="AA4" i="2" s="1"/>
  <c r="AB4" i="2" s="1"/>
  <c r="AC4" i="2" s="1"/>
  <c r="AE4" i="2" s="1"/>
  <c r="AF4" i="2" s="1"/>
  <c r="AG4" i="2" s="1"/>
  <c r="AH4" i="2" s="1"/>
  <c r="AI4" i="2" s="1"/>
  <c r="AJ4" i="2" s="1"/>
  <c r="AK4" i="2" s="1"/>
  <c r="AL4" i="2" s="1"/>
  <c r="AM4" i="2" s="1"/>
  <c r="X5" i="2"/>
  <c r="V4" i="2"/>
  <c r="W5" i="2" s="1"/>
  <c r="X64" i="2"/>
  <c r="W64" i="2"/>
  <c r="W55" i="2"/>
  <c r="V56" i="2"/>
  <c r="W56" i="2"/>
  <c r="X55" i="2"/>
  <c r="X56" i="2" s="1"/>
  <c r="U56" i="2"/>
  <c r="F30" i="2"/>
  <c r="F28" i="2"/>
  <c r="F25" i="2"/>
  <c r="F24" i="2"/>
  <c r="F23" i="2"/>
  <c r="F22" i="2"/>
  <c r="F26" i="2" s="1"/>
  <c r="F19" i="2"/>
  <c r="F18" i="2"/>
  <c r="F17" i="2"/>
  <c r="F16" i="2"/>
  <c r="F14" i="2"/>
  <c r="F13" i="2"/>
  <c r="F12" i="2"/>
  <c r="F11" i="2"/>
  <c r="F10" i="2"/>
  <c r="J30" i="2"/>
  <c r="J28" i="2"/>
  <c r="J25" i="2"/>
  <c r="J24" i="2"/>
  <c r="J23" i="2"/>
  <c r="J22" i="2"/>
  <c r="J19" i="2"/>
  <c r="J18" i="2"/>
  <c r="J17" i="2"/>
  <c r="J16" i="2"/>
  <c r="J14" i="2"/>
  <c r="J13" i="2"/>
  <c r="J12" i="2"/>
  <c r="J11" i="2"/>
  <c r="J10" i="2"/>
  <c r="U26" i="2"/>
  <c r="U20" i="2"/>
  <c r="U15" i="2"/>
  <c r="E45" i="2"/>
  <c r="D45" i="2"/>
  <c r="C45" i="2"/>
  <c r="E44" i="2"/>
  <c r="D44" i="2"/>
  <c r="C44" i="2"/>
  <c r="E43" i="2"/>
  <c r="D43" i="2"/>
  <c r="C43" i="2"/>
  <c r="C26" i="2"/>
  <c r="C20" i="2"/>
  <c r="C15" i="2"/>
  <c r="G26" i="2"/>
  <c r="G20" i="2"/>
  <c r="G15" i="2"/>
  <c r="D26" i="2"/>
  <c r="D20" i="2"/>
  <c r="D15" i="2"/>
  <c r="D21" i="2" s="1"/>
  <c r="D27" i="2" s="1"/>
  <c r="D29" i="2" s="1"/>
  <c r="D31" i="2" s="1"/>
  <c r="D33" i="2" s="1"/>
  <c r="H26" i="2"/>
  <c r="H20" i="2"/>
  <c r="H15" i="2"/>
  <c r="H36" i="2" s="1"/>
  <c r="E26" i="2"/>
  <c r="E20" i="2"/>
  <c r="E15" i="2"/>
  <c r="E21" i="2" s="1"/>
  <c r="E46" i="2" s="1"/>
  <c r="I26" i="2"/>
  <c r="I20" i="2"/>
  <c r="I15" i="2"/>
  <c r="N30" i="2"/>
  <c r="N28" i="2"/>
  <c r="N25" i="2"/>
  <c r="N24" i="2"/>
  <c r="N23" i="2"/>
  <c r="N22" i="2"/>
  <c r="N19" i="2"/>
  <c r="N18" i="2"/>
  <c r="N17" i="2"/>
  <c r="N16" i="2"/>
  <c r="N14" i="2"/>
  <c r="N13" i="2"/>
  <c r="N12" i="2"/>
  <c r="N11" i="2"/>
  <c r="N10" i="2"/>
  <c r="R30" i="2"/>
  <c r="R25" i="2"/>
  <c r="R24" i="2"/>
  <c r="R23" i="2"/>
  <c r="R22" i="2"/>
  <c r="R19" i="2"/>
  <c r="R18" i="2"/>
  <c r="R17" i="2"/>
  <c r="R16" i="2"/>
  <c r="R14" i="2"/>
  <c r="R13" i="2"/>
  <c r="R12" i="2"/>
  <c r="R11" i="2"/>
  <c r="R10" i="2"/>
  <c r="M45" i="2"/>
  <c r="L45" i="2"/>
  <c r="K45" i="2"/>
  <c r="I45" i="2"/>
  <c r="H45" i="2"/>
  <c r="G45" i="2"/>
  <c r="M44" i="2"/>
  <c r="L44" i="2"/>
  <c r="K44" i="2"/>
  <c r="I44" i="2"/>
  <c r="H44" i="2"/>
  <c r="G44" i="2"/>
  <c r="M43" i="2"/>
  <c r="L43" i="2"/>
  <c r="K43" i="2"/>
  <c r="I43" i="2"/>
  <c r="H43" i="2"/>
  <c r="G43" i="2"/>
  <c r="P45" i="2"/>
  <c r="O45" i="2"/>
  <c r="P44" i="2"/>
  <c r="O44" i="2"/>
  <c r="P43" i="2"/>
  <c r="O43" i="2"/>
  <c r="Q45" i="2"/>
  <c r="Q44" i="2"/>
  <c r="Q43" i="2"/>
  <c r="O26" i="2"/>
  <c r="O20" i="2"/>
  <c r="O15" i="2"/>
  <c r="K26" i="2"/>
  <c r="K20" i="2"/>
  <c r="K15" i="2"/>
  <c r="L26" i="2"/>
  <c r="L20" i="2"/>
  <c r="L15" i="2"/>
  <c r="P26" i="2"/>
  <c r="P20" i="2"/>
  <c r="P15" i="2"/>
  <c r="M26" i="2"/>
  <c r="M20" i="2"/>
  <c r="M15" i="2"/>
  <c r="Q26" i="2"/>
  <c r="Q20" i="2"/>
  <c r="Q15" i="2"/>
  <c r="X45" i="2"/>
  <c r="W45" i="2"/>
  <c r="V45" i="2"/>
  <c r="X44" i="2"/>
  <c r="W44" i="2"/>
  <c r="V44" i="2"/>
  <c r="W43" i="2"/>
  <c r="V43" i="2"/>
  <c r="X43" i="2"/>
  <c r="X28" i="2"/>
  <c r="R28" i="2" s="1"/>
  <c r="V26" i="2"/>
  <c r="V20" i="2"/>
  <c r="V15" i="2"/>
  <c r="W26" i="2"/>
  <c r="W20" i="2"/>
  <c r="W15" i="2"/>
  <c r="W21" i="2" s="1"/>
  <c r="X26" i="2"/>
  <c r="X20" i="2"/>
  <c r="X15" i="2"/>
  <c r="X7" i="2" s="1"/>
  <c r="Y3" i="2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F44" i="2" l="1"/>
  <c r="W7" i="2"/>
  <c r="W8" i="2" s="1"/>
  <c r="Y15" i="2"/>
  <c r="N26" i="2"/>
  <c r="D49" i="2"/>
  <c r="R45" i="2"/>
  <c r="V36" i="2"/>
  <c r="J43" i="2"/>
  <c r="L36" i="2"/>
  <c r="F15" i="2"/>
  <c r="X8" i="2"/>
  <c r="F45" i="2"/>
  <c r="K36" i="2"/>
  <c r="J20" i="2"/>
  <c r="Q36" i="2"/>
  <c r="O21" i="2"/>
  <c r="O46" i="2" s="1"/>
  <c r="M21" i="2"/>
  <c r="M46" i="2" s="1"/>
  <c r="D47" i="2"/>
  <c r="J26" i="2"/>
  <c r="F20" i="2"/>
  <c r="F43" i="2"/>
  <c r="J15" i="2"/>
  <c r="G21" i="2"/>
  <c r="G46" i="2" s="1"/>
  <c r="R43" i="2"/>
  <c r="J45" i="2"/>
  <c r="R44" i="2"/>
  <c r="I21" i="2"/>
  <c r="I46" i="2" s="1"/>
  <c r="N45" i="2"/>
  <c r="I36" i="2"/>
  <c r="G36" i="2"/>
  <c r="J44" i="2"/>
  <c r="M36" i="2"/>
  <c r="D46" i="2"/>
  <c r="U21" i="2"/>
  <c r="U27" i="2" s="1"/>
  <c r="U29" i="2" s="1"/>
  <c r="U31" i="2" s="1"/>
  <c r="C21" i="2"/>
  <c r="H21" i="2"/>
  <c r="H27" i="2" s="1"/>
  <c r="E27" i="2"/>
  <c r="W27" i="2"/>
  <c r="W29" i="2" s="1"/>
  <c r="W31" i="2" s="1"/>
  <c r="R26" i="2"/>
  <c r="N20" i="2"/>
  <c r="N43" i="2"/>
  <c r="R20" i="2"/>
  <c r="R15" i="2"/>
  <c r="N15" i="2"/>
  <c r="N44" i="2"/>
  <c r="X21" i="2"/>
  <c r="X27" i="2" s="1"/>
  <c r="X29" i="2" s="1"/>
  <c r="P21" i="2"/>
  <c r="P46" i="2" s="1"/>
  <c r="O36" i="2"/>
  <c r="P36" i="2"/>
  <c r="K21" i="2"/>
  <c r="Q21" i="2"/>
  <c r="L21" i="2"/>
  <c r="X36" i="2"/>
  <c r="W36" i="2"/>
  <c r="W46" i="2"/>
  <c r="V21" i="2"/>
  <c r="N8" i="1"/>
  <c r="N7" i="1"/>
  <c r="N14" i="1" s="1"/>
  <c r="N6" i="1"/>
  <c r="Y22" i="2" l="1"/>
  <c r="Y26" i="2" s="1"/>
  <c r="Y21" i="2"/>
  <c r="G27" i="2"/>
  <c r="Z15" i="2"/>
  <c r="J36" i="2"/>
  <c r="M27" i="2"/>
  <c r="F21" i="2"/>
  <c r="J21" i="2"/>
  <c r="J46" i="2" s="1"/>
  <c r="O27" i="2"/>
  <c r="O47" i="2" s="1"/>
  <c r="H46" i="2"/>
  <c r="W47" i="2"/>
  <c r="I27" i="2"/>
  <c r="I47" i="2" s="1"/>
  <c r="W49" i="2"/>
  <c r="U33" i="2"/>
  <c r="U52" i="2"/>
  <c r="E29" i="2"/>
  <c r="E47" i="2"/>
  <c r="C27" i="2"/>
  <c r="C46" i="2"/>
  <c r="R36" i="2"/>
  <c r="R21" i="2"/>
  <c r="W33" i="2"/>
  <c r="W52" i="2"/>
  <c r="X46" i="2"/>
  <c r="J27" i="2"/>
  <c r="G29" i="2"/>
  <c r="G47" i="2"/>
  <c r="H29" i="2"/>
  <c r="H47" i="2"/>
  <c r="X31" i="2"/>
  <c r="X49" i="2"/>
  <c r="P27" i="2"/>
  <c r="P47" i="2" s="1"/>
  <c r="X47" i="2"/>
  <c r="N36" i="2"/>
  <c r="N21" i="2"/>
  <c r="L27" i="2"/>
  <c r="L46" i="2"/>
  <c r="N9" i="1"/>
  <c r="Q27" i="2"/>
  <c r="Q46" i="2"/>
  <c r="M29" i="2"/>
  <c r="M47" i="2"/>
  <c r="K27" i="2"/>
  <c r="K46" i="2"/>
  <c r="V27" i="2"/>
  <c r="V46" i="2"/>
  <c r="Z22" i="2" l="1"/>
  <c r="Z26" i="2" s="1"/>
  <c r="Z21" i="2"/>
  <c r="Z27" i="2" s="1"/>
  <c r="Y27" i="2"/>
  <c r="Y29" i="2" s="1"/>
  <c r="P29" i="2"/>
  <c r="O29" i="2"/>
  <c r="O49" i="2" s="1"/>
  <c r="AA15" i="2"/>
  <c r="F46" i="2"/>
  <c r="F27" i="2"/>
  <c r="I29" i="2"/>
  <c r="J47" i="2"/>
  <c r="J29" i="2"/>
  <c r="C29" i="2"/>
  <c r="C47" i="2"/>
  <c r="R27" i="2"/>
  <c r="R46" i="2"/>
  <c r="X33" i="2"/>
  <c r="X52" i="2"/>
  <c r="E31" i="2"/>
  <c r="E33" i="2" s="1"/>
  <c r="E49" i="2"/>
  <c r="G31" i="2"/>
  <c r="G33" i="2" s="1"/>
  <c r="G49" i="2"/>
  <c r="H49" i="2"/>
  <c r="H31" i="2"/>
  <c r="H33" i="2" s="1"/>
  <c r="N46" i="2"/>
  <c r="N27" i="2"/>
  <c r="I49" i="2"/>
  <c r="I31" i="2"/>
  <c r="I33" i="2" s="1"/>
  <c r="M31" i="2"/>
  <c r="M33" i="2" s="1"/>
  <c r="M49" i="2"/>
  <c r="P31" i="2"/>
  <c r="P33" i="2" s="1"/>
  <c r="P49" i="2"/>
  <c r="O31" i="2"/>
  <c r="O33" i="2" s="1"/>
  <c r="K29" i="2"/>
  <c r="K47" i="2"/>
  <c r="Q29" i="2"/>
  <c r="Q47" i="2"/>
  <c r="L29" i="2"/>
  <c r="L47" i="2"/>
  <c r="V29" i="2"/>
  <c r="V47" i="2"/>
  <c r="Y30" i="2" l="1"/>
  <c r="Y31" i="2" s="1"/>
  <c r="Y51" i="2" s="1"/>
  <c r="Z28" i="2" s="1"/>
  <c r="AA22" i="2"/>
  <c r="AA21" i="2"/>
  <c r="AB15" i="2"/>
  <c r="AB21" i="2" s="1"/>
  <c r="F29" i="2"/>
  <c r="F47" i="2"/>
  <c r="C31" i="2"/>
  <c r="C33" i="2" s="1"/>
  <c r="C49" i="2"/>
  <c r="J31" i="2"/>
  <c r="J33" i="2" s="1"/>
  <c r="J49" i="2"/>
  <c r="R29" i="2"/>
  <c r="R47" i="2"/>
  <c r="N29" i="2"/>
  <c r="N47" i="2"/>
  <c r="Q31" i="2"/>
  <c r="Q33" i="2" s="1"/>
  <c r="Q49" i="2"/>
  <c r="K31" i="2"/>
  <c r="K33" i="2" s="1"/>
  <c r="K49" i="2"/>
  <c r="L31" i="2"/>
  <c r="L33" i="2" s="1"/>
  <c r="L49" i="2"/>
  <c r="V31" i="2"/>
  <c r="V49" i="2"/>
  <c r="AB22" i="2" l="1"/>
  <c r="AA26" i="2"/>
  <c r="AA27" i="2" s="1"/>
  <c r="AC15" i="2"/>
  <c r="AC21" i="2" s="1"/>
  <c r="F31" i="2"/>
  <c r="F33" i="2" s="1"/>
  <c r="F49" i="2"/>
  <c r="R31" i="2"/>
  <c r="R33" i="2" s="1"/>
  <c r="R49" i="2"/>
  <c r="V33" i="2"/>
  <c r="V52" i="2"/>
  <c r="N31" i="2"/>
  <c r="N33" i="2" s="1"/>
  <c r="N49" i="2"/>
  <c r="Z29" i="2" l="1"/>
  <c r="AC22" i="2"/>
  <c r="AC26" i="2" s="1"/>
  <c r="AC27" i="2" s="1"/>
  <c r="AB26" i="2"/>
  <c r="AB27" i="2" s="1"/>
  <c r="AD15" i="2"/>
  <c r="Z30" i="2" l="1"/>
  <c r="Z31" i="2"/>
  <c r="Z51" i="2" s="1"/>
  <c r="AA28" i="2" s="1"/>
  <c r="AD21" i="2"/>
  <c r="AD22" i="2"/>
  <c r="AE15" i="2"/>
  <c r="AE21" i="2" s="1"/>
  <c r="AA29" i="2" l="1"/>
  <c r="AE22" i="2"/>
  <c r="AD26" i="2"/>
  <c r="AD27" i="2" s="1"/>
  <c r="AF15" i="2"/>
  <c r="AF21" i="2" s="1"/>
  <c r="AA30" i="2" l="1"/>
  <c r="AA31" i="2"/>
  <c r="AA51" i="2" s="1"/>
  <c r="AB28" i="2" s="1"/>
  <c r="AF22" i="2"/>
  <c r="AE26" i="2"/>
  <c r="AE27" i="2" s="1"/>
  <c r="AG15" i="2"/>
  <c r="AG21" i="2" s="1"/>
  <c r="AB29" i="2" l="1"/>
  <c r="AG22" i="2"/>
  <c r="AF26" i="2"/>
  <c r="AF27" i="2" s="1"/>
  <c r="AH15" i="2"/>
  <c r="AH21" i="2" s="1"/>
  <c r="AB30" i="2" l="1"/>
  <c r="AB31" i="2" s="1"/>
  <c r="AB51" i="2" s="1"/>
  <c r="AC28" i="2" s="1"/>
  <c r="AH22" i="2"/>
  <c r="AG26" i="2"/>
  <c r="AG27" i="2" s="1"/>
  <c r="AI15" i="2"/>
  <c r="AI21" i="2" s="1"/>
  <c r="AC29" i="2" l="1"/>
  <c r="AC30" i="2" s="1"/>
  <c r="AC31" i="2" s="1"/>
  <c r="AC51" i="2" s="1"/>
  <c r="AD28" i="2" s="1"/>
  <c r="AI22" i="2"/>
  <c r="AH26" i="2"/>
  <c r="AH27" i="2" s="1"/>
  <c r="AJ15" i="2"/>
  <c r="AJ21" i="2" s="1"/>
  <c r="AD29" i="2" l="1"/>
  <c r="AD30" i="2" s="1"/>
  <c r="AJ22" i="2"/>
  <c r="AI26" i="2"/>
  <c r="AI27" i="2" s="1"/>
  <c r="AK15" i="2"/>
  <c r="AK21" i="2" s="1"/>
  <c r="AD31" i="2" l="1"/>
  <c r="AD51" i="2" s="1"/>
  <c r="AE28" i="2" s="1"/>
  <c r="AK22" i="2"/>
  <c r="AJ26" i="2"/>
  <c r="AJ27" i="2" s="1"/>
  <c r="AM15" i="2"/>
  <c r="AM21" i="2" s="1"/>
  <c r="AL15" i="2"/>
  <c r="AL21" i="2" s="1"/>
  <c r="AL22" i="2" l="1"/>
  <c r="AK26" i="2"/>
  <c r="AK27" i="2" s="1"/>
  <c r="AE29" i="2" l="1"/>
  <c r="AM22" i="2"/>
  <c r="AM26" i="2" s="1"/>
  <c r="AM27" i="2" s="1"/>
  <c r="AL26" i="2"/>
  <c r="AL27" i="2" s="1"/>
  <c r="AE30" i="2" l="1"/>
  <c r="AE31" i="2" s="1"/>
  <c r="AE51" i="2" s="1"/>
  <c r="AF28" i="2" s="1"/>
  <c r="AF29" i="2" l="1"/>
  <c r="AF30" i="2" s="1"/>
  <c r="AF31" i="2" s="1"/>
  <c r="AF51" i="2" s="1"/>
  <c r="AG28" i="2" s="1"/>
  <c r="AG29" i="2" l="1"/>
  <c r="AG30" i="2" s="1"/>
  <c r="AG31" i="2" s="1"/>
  <c r="AG51" i="2" s="1"/>
  <c r="AH28" i="2" s="1"/>
  <c r="AH29" i="2" l="1"/>
  <c r="AH30" i="2" s="1"/>
  <c r="AH31" i="2" s="1"/>
  <c r="AH51" i="2" s="1"/>
  <c r="AI28" i="2" s="1"/>
  <c r="AI29" i="2" l="1"/>
  <c r="AI30" i="2" s="1"/>
  <c r="AI31" i="2" s="1"/>
  <c r="AI51" i="2" s="1"/>
  <c r="AJ28" i="2" s="1"/>
  <c r="AJ29" i="2" l="1"/>
  <c r="AJ30" i="2" s="1"/>
  <c r="AJ31" i="2" s="1"/>
  <c r="AJ51" i="2" s="1"/>
  <c r="AK28" i="2" s="1"/>
  <c r="AK29" i="2" l="1"/>
  <c r="AK30" i="2" s="1"/>
  <c r="AK31" i="2" s="1"/>
  <c r="AK51" i="2" s="1"/>
  <c r="AL28" i="2" s="1"/>
  <c r="AL29" i="2" l="1"/>
  <c r="AL30" i="2" s="1"/>
  <c r="AL31" i="2" s="1"/>
  <c r="AL51" i="2" s="1"/>
  <c r="AM28" i="2" s="1"/>
  <c r="AM29" i="2" l="1"/>
  <c r="AM30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EG31" i="2" s="1"/>
  <c r="EH31" i="2" s="1"/>
  <c r="EI31" i="2" s="1"/>
  <c r="EJ31" i="2" s="1"/>
  <c r="EK31" i="2" s="1"/>
  <c r="EL31" i="2" s="1"/>
  <c r="EM31" i="2" s="1"/>
  <c r="EN31" i="2" s="1"/>
  <c r="EO31" i="2" s="1"/>
  <c r="EP31" i="2" s="1"/>
  <c r="EQ31" i="2" s="1"/>
  <c r="ER31" i="2" s="1"/>
  <c r="ES31" i="2" s="1"/>
  <c r="ET31" i="2" s="1"/>
  <c r="EU31" i="2" s="1"/>
  <c r="EV31" i="2" s="1"/>
  <c r="EW31" i="2" s="1"/>
  <c r="EX31" i="2" s="1"/>
  <c r="EY31" i="2" s="1"/>
  <c r="EZ31" i="2" s="1"/>
  <c r="FA31" i="2" s="1"/>
  <c r="FB31" i="2" s="1"/>
  <c r="FC31" i="2" s="1"/>
  <c r="FD31" i="2" s="1"/>
  <c r="FE31" i="2" s="1"/>
  <c r="FF31" i="2" s="1"/>
  <c r="FG31" i="2" s="1"/>
  <c r="FH31" i="2" s="1"/>
  <c r="FI31" i="2" s="1"/>
  <c r="AP37" i="2" s="1"/>
  <c r="AP39" i="2" s="1"/>
  <c r="AP45" i="2" s="1"/>
  <c r="AM51" i="2" l="1"/>
</calcChain>
</file>

<file path=xl/sharedStrings.xml><?xml version="1.0" encoding="utf-8"?>
<sst xmlns="http://schemas.openxmlformats.org/spreadsheetml/2006/main" count="99" uniqueCount="85">
  <si>
    <t>Price</t>
  </si>
  <si>
    <t>Shares</t>
  </si>
  <si>
    <t>MC</t>
  </si>
  <si>
    <t>Cash</t>
  </si>
  <si>
    <t>Debt</t>
  </si>
  <si>
    <t>EV</t>
  </si>
  <si>
    <t>Q415</t>
  </si>
  <si>
    <t>Net cash</t>
  </si>
  <si>
    <t>Revenue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</si>
  <si>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</si>
  <si>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</si>
  <si>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</si>
  <si>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</si>
  <si>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</si>
  <si>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</si>
  <si>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</si>
  <si>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</si>
  <si>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</si>
  <si>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</si>
  <si>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</si>
  <si>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Service</t>
  </si>
  <si>
    <t>Product</t>
  </si>
  <si>
    <t>Insurance</t>
  </si>
  <si>
    <t>Customized Postage</t>
  </si>
  <si>
    <t>COGs service</t>
  </si>
  <si>
    <t>COGS product</t>
  </si>
  <si>
    <t>COGs Insurance</t>
  </si>
  <si>
    <t>COGs custom postage</t>
  </si>
  <si>
    <t>COGs</t>
  </si>
  <si>
    <t>Gross Profit</t>
  </si>
  <si>
    <t xml:space="preserve"> </t>
  </si>
  <si>
    <t>Other</t>
  </si>
  <si>
    <t>S&amp;M</t>
  </si>
  <si>
    <t>R&amp;D</t>
  </si>
  <si>
    <t>G&amp;A</t>
  </si>
  <si>
    <t>Litigation</t>
  </si>
  <si>
    <t>Operating Expense</t>
  </si>
  <si>
    <t>Operating Income</t>
  </si>
  <si>
    <t>Interest Income</t>
  </si>
  <si>
    <t>Pretax Income</t>
  </si>
  <si>
    <t>Taxes</t>
  </si>
  <si>
    <t>Net Income</t>
  </si>
  <si>
    <t>EPS</t>
  </si>
  <si>
    <t>Revenue Growth</t>
  </si>
  <si>
    <t>Gross Margin Service</t>
  </si>
  <si>
    <t>Gross Margin Product</t>
  </si>
  <si>
    <t>Gross Margin Insurance</t>
  </si>
  <si>
    <t>Gross Margin</t>
  </si>
  <si>
    <t>Operating Margin</t>
  </si>
  <si>
    <t>Q112</t>
  </si>
  <si>
    <t>Q212</t>
  </si>
  <si>
    <t>Q312</t>
  </si>
  <si>
    <t>Q412</t>
  </si>
  <si>
    <t>Model NI</t>
  </si>
  <si>
    <t>Reported NI</t>
  </si>
  <si>
    <t>CFFO</t>
  </si>
  <si>
    <t>Capex</t>
  </si>
  <si>
    <t>FCF</t>
  </si>
  <si>
    <t>CFFI</t>
  </si>
  <si>
    <t>ShipStation</t>
  </si>
  <si>
    <t>ShipWorks</t>
  </si>
  <si>
    <t>Endicia</t>
  </si>
  <si>
    <t>Ecom fulfillment</t>
  </si>
  <si>
    <t>Acq</t>
  </si>
  <si>
    <t>Shipping SW</t>
  </si>
  <si>
    <t>Extra</t>
  </si>
  <si>
    <t>21% increase</t>
  </si>
  <si>
    <t>Shipstation + shipworks</t>
  </si>
  <si>
    <t>Shipstation + shipworks Increase</t>
  </si>
  <si>
    <t>Core business</t>
  </si>
  <si>
    <t>Core business growth</t>
  </si>
  <si>
    <t>June acq</t>
  </si>
  <si>
    <t>Nov Acq</t>
  </si>
  <si>
    <t>S&amp;M Growth</t>
  </si>
  <si>
    <t>R&amp;D Growth</t>
  </si>
  <si>
    <t>G&amp;A Growth</t>
  </si>
  <si>
    <t>Net Cash</t>
  </si>
  <si>
    <t>ROIC</t>
  </si>
  <si>
    <t>Maturity</t>
  </si>
  <si>
    <t>NPV</t>
  </si>
  <si>
    <t>Num Shares</t>
  </si>
  <si>
    <t>Value</t>
  </si>
  <si>
    <t>Spot share price</t>
  </si>
  <si>
    <t>Difference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</si>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</sst>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50800</xdr:rowOff>
    </xdr:from>
    <xdr:to>
      <xdr:col>18</xdr:col>
      <xdr:colOff>0</xdr:colOff>
      <xdr:row>73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169FAC-463C-33D6-723C-C61AD488BFAB}"/>
            </a:ext>
          </a:extLst>
        </xdr:cNvPr>
        <xdr:cNvCxnSpPr/>
      </xdr:nvCxnSpPr>
      <xdr:spPr>
        <a:xfrm>
          <a:off x="11557000" y="50800"/>
          <a:ext cx="0" cy="12458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12700</xdr:colOff>
      <xdr:row>0</xdr:row>
      <xdr:rowOff>63500</xdr:rowOff>
    </xdr:from>
    <xdr:to>
      <xdr:col>24</xdr:col>
      <xdr:colOff>12700</xdr:colOff>
      <xdr:row>75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135C665-8BDB-A775-90A5-7EB53332BA10}"/>
            </a:ext>
          </a:extLst>
        </xdr:cNvPr>
        <xdr:cNvCxnSpPr/>
      </xdr:nvCxnSpPr>
      <xdr:spPr>
        <a:xfrm>
          <a:off x="16522700" y="63500"/>
          <a:ext cx="0" cy="1286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3464-8858-A44F-8081-4109AA2F813E}">
  <dimension ref="M4:O14"/>
  <sheetViews>
    <sheetView workbookViewId="0">
      <selection activeCell="N14" sqref="N14"/>
    </sheetView>
  </sheetViews>
  <sheetFormatPr baseColWidth="10" defaultRowHeight="16" x14ac:dyDescent="0.2"/>
  <cols>
    <col min="1" max="16384" width="10.83203125" style="1"/>
  </cols>
  <sheetData>
    <row r="4" spans="13:15" x14ac:dyDescent="0.2">
      <c r="M4" s="1" t="s">
        <v>0</v>
      </c>
      <c r="N4" s="1">
        <v>94.58</v>
      </c>
    </row>
    <row r="5" spans="13:15" x14ac:dyDescent="0.2">
      <c r="M5" s="1" t="s">
        <v>1</v>
      </c>
      <c r="N5" s="3">
        <v>16.712</v>
      </c>
      <c r="O5" s="1" t="s">
        <v>6</v>
      </c>
    </row>
    <row r="6" spans="13:15" x14ac:dyDescent="0.2">
      <c r="M6" s="1" t="s">
        <v>2</v>
      </c>
      <c r="N6" s="3">
        <f>N4*N5</f>
        <v>1580.62096</v>
      </c>
    </row>
    <row r="7" spans="13:15" x14ac:dyDescent="0.2">
      <c r="M7" s="1" t="s">
        <v>3</v>
      </c>
      <c r="N7" s="3">
        <f>65.126+8.553+1.529</f>
        <v>75.207999999999998</v>
      </c>
      <c r="O7" s="1" t="s">
        <v>6</v>
      </c>
    </row>
    <row r="8" spans="13:15" x14ac:dyDescent="0.2">
      <c r="M8" s="1" t="s">
        <v>4</v>
      </c>
      <c r="N8" s="3">
        <f>4.267+157.353</f>
        <v>161.62</v>
      </c>
      <c r="O8" s="1" t="s">
        <v>6</v>
      </c>
    </row>
    <row r="9" spans="13:15" x14ac:dyDescent="0.2">
      <c r="M9" s="1" t="s">
        <v>5</v>
      </c>
      <c r="N9" s="3">
        <f>N5-N7+N8</f>
        <v>103.12400000000001</v>
      </c>
    </row>
    <row r="14" spans="13:15" x14ac:dyDescent="0.2">
      <c r="M14" s="1" t="s">
        <v>7</v>
      </c>
      <c r="N14" s="3">
        <f>N7-N8</f>
        <v>-86.412000000000006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D1AF-099B-1E40-9566-84D3057E87DA}">
  <dimension ref="A2:FI66"/>
  <sheetViews>
    <sheetView tabSelected="1" workbookViewId="0">
      <pane xSplit="2" ySplit="3" topLeftCell="Y4" activePane="bottomRight" state="frozen"/>
      <selection pane="topRight" activeCell="C1" sqref="C1"/>
      <selection pane="bottomLeft" activeCell="A4" sqref="A4"/>
      <selection pane="bottomRight" activeCell="AP35" sqref="AP35"/>
    </sheetView>
  </sheetViews>
  <sheetFormatPr baseColWidth="10" defaultRowHeight="16" x14ac:dyDescent="0.2"/>
  <cols>
    <col min="1" max="1" width="17.6640625" style="1" customWidth="1"/>
    <col min="2" max="2" width="24.83203125" style="1" bestFit="1" customWidth="1"/>
    <col min="3" max="3" width="9.1640625" style="2" customWidth="1"/>
    <col min="4" max="4" width="12" style="2" customWidth="1"/>
    <col min="5" max="5" width="10.33203125" style="2" customWidth="1"/>
    <col min="6" max="6" width="9.1640625" style="2" customWidth="1"/>
    <col min="7" max="41" width="10.83203125" style="2"/>
    <col min="42" max="42" width="12.1640625" style="2" bestFit="1" customWidth="1"/>
    <col min="43" max="64" width="10.83203125" style="2"/>
    <col min="65" max="16384" width="10.83203125" style="1"/>
  </cols>
  <sheetData>
    <row r="2" spans="2:64" x14ac:dyDescent="0.2">
      <c r="W2" s="2" t="s">
        <v>71</v>
      </c>
      <c r="X2" s="2" t="s">
        <v>72</v>
      </c>
    </row>
    <row r="3" spans="2:64" x14ac:dyDescent="0.2">
      <c r="C3" s="2" t="s">
        <v>49</v>
      </c>
      <c r="D3" s="2" t="s">
        <v>50</v>
      </c>
      <c r="E3" s="2" t="s">
        <v>51</v>
      </c>
      <c r="F3" s="2" t="s">
        <v>52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6</v>
      </c>
      <c r="U3" s="2">
        <v>2012</v>
      </c>
      <c r="V3" s="2">
        <v>2013</v>
      </c>
      <c r="W3" s="2">
        <v>2014</v>
      </c>
      <c r="X3" s="2">
        <v>2015</v>
      </c>
      <c r="Y3" s="2">
        <f>X3+1</f>
        <v>2016</v>
      </c>
      <c r="Z3" s="2">
        <f t="shared" ref="Z3:AM3" si="0">Y3+1</f>
        <v>2017</v>
      </c>
      <c r="AA3" s="2">
        <f t="shared" si="0"/>
        <v>2018</v>
      </c>
      <c r="AB3" s="2">
        <f t="shared" si="0"/>
        <v>2019</v>
      </c>
      <c r="AC3" s="2">
        <f t="shared" si="0"/>
        <v>2020</v>
      </c>
      <c r="AD3" s="2">
        <f t="shared" si="0"/>
        <v>2021</v>
      </c>
      <c r="AE3" s="2">
        <f t="shared" si="0"/>
        <v>2022</v>
      </c>
      <c r="AF3" s="2">
        <f t="shared" si="0"/>
        <v>2023</v>
      </c>
      <c r="AG3" s="2">
        <f t="shared" si="0"/>
        <v>2024</v>
      </c>
      <c r="AH3" s="2">
        <f t="shared" si="0"/>
        <v>2025</v>
      </c>
      <c r="AI3" s="2">
        <f t="shared" si="0"/>
        <v>2026</v>
      </c>
      <c r="AJ3" s="2">
        <f t="shared" si="0"/>
        <v>2027</v>
      </c>
      <c r="AK3" s="2">
        <f t="shared" si="0"/>
        <v>2028</v>
      </c>
      <c r="AL3" s="2">
        <f t="shared" si="0"/>
        <v>2029</v>
      </c>
      <c r="AM3" s="2">
        <f t="shared" si="0"/>
        <v>2030</v>
      </c>
    </row>
    <row r="4" spans="2:64" x14ac:dyDescent="0.2">
      <c r="B4" s="1" t="s">
        <v>67</v>
      </c>
      <c r="V4" s="2">
        <f>W4/1.21</f>
        <v>29.58677685950413</v>
      </c>
      <c r="W4" s="2">
        <v>35.799999999999997</v>
      </c>
      <c r="X4" s="2">
        <v>48.8</v>
      </c>
      <c r="Y4" s="2">
        <f>X4*1.2</f>
        <v>58.559999999999995</v>
      </c>
      <c r="Z4" s="2">
        <f t="shared" ref="Z4:AD4" si="1">Y4*1.2</f>
        <v>70.271999999999991</v>
      </c>
      <c r="AA4" s="2">
        <f t="shared" si="1"/>
        <v>84.326399999999992</v>
      </c>
      <c r="AB4" s="2">
        <f t="shared" si="1"/>
        <v>101.19167999999999</v>
      </c>
      <c r="AC4" s="2">
        <f t="shared" si="1"/>
        <v>121.43001599999998</v>
      </c>
      <c r="AD4" s="2">
        <f>AC4*1.1</f>
        <v>133.57301759999999</v>
      </c>
      <c r="AE4" s="2">
        <f>AD4*1.1</f>
        <v>146.93031936</v>
      </c>
      <c r="AF4" s="2">
        <f t="shared" ref="AF4:AM4" si="2">AE4*1.1</f>
        <v>161.62335129600001</v>
      </c>
      <c r="AG4" s="2">
        <f t="shared" si="2"/>
        <v>177.78568642560003</v>
      </c>
      <c r="AH4" s="2">
        <f t="shared" si="2"/>
        <v>195.56425506816007</v>
      </c>
      <c r="AI4" s="2">
        <f t="shared" si="2"/>
        <v>215.12068057497609</v>
      </c>
      <c r="AJ4" s="2">
        <f t="shared" si="2"/>
        <v>236.63274863247372</v>
      </c>
      <c r="AK4" s="2">
        <f t="shared" si="2"/>
        <v>260.2960234957211</v>
      </c>
      <c r="AL4" s="2">
        <f t="shared" si="2"/>
        <v>286.32562584529325</v>
      </c>
      <c r="AM4" s="2">
        <f t="shared" si="2"/>
        <v>314.9581884298226</v>
      </c>
    </row>
    <row r="5" spans="2:64" s="9" customFormat="1" x14ac:dyDescent="0.2">
      <c r="B5" s="1" t="s">
        <v>68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>
        <f>W4/V4-1</f>
        <v>0.20999999999999996</v>
      </c>
      <c r="X5" s="10">
        <f>X4/W4-1</f>
        <v>0.36312849162011185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2:64" x14ac:dyDescent="0.2">
      <c r="B6" s="1" t="s">
        <v>61</v>
      </c>
      <c r="W6" s="2">
        <v>0</v>
      </c>
      <c r="X6" s="2">
        <v>59</v>
      </c>
      <c r="Y6" s="2">
        <f>X6</f>
        <v>59</v>
      </c>
      <c r="Z6" s="2">
        <f>Y6</f>
        <v>59</v>
      </c>
      <c r="AA6" s="2">
        <f t="shared" ref="AA6:AM6" si="3">Z6</f>
        <v>59</v>
      </c>
      <c r="AB6" s="2">
        <f t="shared" si="3"/>
        <v>59</v>
      </c>
      <c r="AC6" s="2">
        <f t="shared" si="3"/>
        <v>59</v>
      </c>
      <c r="AD6" s="2">
        <f t="shared" si="3"/>
        <v>59</v>
      </c>
      <c r="AE6" s="2">
        <f t="shared" si="3"/>
        <v>59</v>
      </c>
      <c r="AF6" s="2">
        <f t="shared" si="3"/>
        <v>59</v>
      </c>
      <c r="AG6" s="2">
        <f t="shared" si="3"/>
        <v>59</v>
      </c>
      <c r="AH6" s="2">
        <f t="shared" si="3"/>
        <v>59</v>
      </c>
      <c r="AI6" s="2">
        <f t="shared" si="3"/>
        <v>59</v>
      </c>
      <c r="AJ6" s="2">
        <f t="shared" si="3"/>
        <v>59</v>
      </c>
      <c r="AK6" s="2">
        <f t="shared" si="3"/>
        <v>59</v>
      </c>
      <c r="AL6" s="2">
        <f t="shared" si="3"/>
        <v>59</v>
      </c>
      <c r="AM6" s="2">
        <f t="shared" si="3"/>
        <v>59</v>
      </c>
    </row>
    <row r="7" spans="2:64" s="11" customFormat="1" x14ac:dyDescent="0.2">
      <c r="B7" s="11" t="s">
        <v>69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>
        <f>W15-W4/2-W6</f>
        <v>129.369</v>
      </c>
      <c r="X7" s="12">
        <f>X15-X4-X6/12</f>
        <v>160.24033333333333</v>
      </c>
      <c r="Y7" s="12">
        <f>X7*1.12</f>
        <v>179.46917333333334</v>
      </c>
      <c r="Z7" s="12">
        <f t="shared" ref="Z7:AM7" si="4">Y7*1.12</f>
        <v>201.00547413333337</v>
      </c>
      <c r="AA7" s="12">
        <f t="shared" si="4"/>
        <v>225.12613102933338</v>
      </c>
      <c r="AB7" s="12">
        <f t="shared" si="4"/>
        <v>252.1412667528534</v>
      </c>
      <c r="AC7" s="12">
        <f t="shared" si="4"/>
        <v>282.39821876319581</v>
      </c>
      <c r="AD7" s="12">
        <f t="shared" si="4"/>
        <v>316.28600501477933</v>
      </c>
      <c r="AE7" s="12">
        <f t="shared" si="4"/>
        <v>354.24032561655287</v>
      </c>
      <c r="AF7" s="12">
        <f>AE7*1.05</f>
        <v>371.95234189738051</v>
      </c>
      <c r="AG7" s="12">
        <f t="shared" ref="AG7:AM7" si="5">AF7*1.05</f>
        <v>390.54995899224957</v>
      </c>
      <c r="AH7" s="12">
        <f t="shared" si="5"/>
        <v>410.07745694186207</v>
      </c>
      <c r="AI7" s="12">
        <f t="shared" si="5"/>
        <v>430.5813297889552</v>
      </c>
      <c r="AJ7" s="12">
        <f t="shared" si="5"/>
        <v>452.11039627840296</v>
      </c>
      <c r="AK7" s="12">
        <f t="shared" si="5"/>
        <v>474.71591609232314</v>
      </c>
      <c r="AL7" s="12">
        <f t="shared" si="5"/>
        <v>498.45171189693934</v>
      </c>
      <c r="AM7" s="12">
        <f t="shared" si="5"/>
        <v>523.37429749178636</v>
      </c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</row>
    <row r="8" spans="2:64" s="9" customFormat="1" x14ac:dyDescent="0.2">
      <c r="B8" s="9" t="s">
        <v>70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>
        <f>V10/U10-1</f>
        <v>0.12294012906445295</v>
      </c>
      <c r="W8" s="10">
        <f>W7/V10-1</f>
        <v>0.30658600385807921</v>
      </c>
      <c r="X8" s="10">
        <f>X7/W7-1</f>
        <v>0.23863006851203394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10" spans="2:64" s="3" customFormat="1" x14ac:dyDescent="0.2">
      <c r="B10" s="3" t="s">
        <v>20</v>
      </c>
      <c r="C10" s="4">
        <v>21.387</v>
      </c>
      <c r="D10" s="4">
        <v>21.780999999999999</v>
      </c>
      <c r="E10" s="4">
        <v>22.631</v>
      </c>
      <c r="F10" s="4">
        <f>U10-SUM(C10:E10)</f>
        <v>22.373999999999995</v>
      </c>
      <c r="G10" s="4">
        <v>24.847999999999999</v>
      </c>
      <c r="H10" s="4">
        <v>24.888000000000002</v>
      </c>
      <c r="I10" s="4">
        <v>24.504999999999999</v>
      </c>
      <c r="J10" s="4">
        <f>V10-SUM(G10:I10)</f>
        <v>24.772000000000006</v>
      </c>
      <c r="K10" s="4">
        <v>25.643000000000001</v>
      </c>
      <c r="L10" s="4">
        <v>26.920999999999999</v>
      </c>
      <c r="M10" s="4">
        <v>30.056999999999999</v>
      </c>
      <c r="N10" s="4">
        <f>W10-SUM(K10:M10)</f>
        <v>33.075000000000003</v>
      </c>
      <c r="O10" s="4">
        <v>35.649000000000001</v>
      </c>
      <c r="P10" s="4">
        <v>40.378</v>
      </c>
      <c r="Q10" s="4">
        <v>42.47</v>
      </c>
      <c r="R10" s="4">
        <f>X10-SUM(O10:Q10)</f>
        <v>58.174999999999997</v>
      </c>
      <c r="S10" s="4"/>
      <c r="T10" s="4"/>
      <c r="U10" s="4">
        <v>88.173000000000002</v>
      </c>
      <c r="V10" s="4">
        <v>99.013000000000005</v>
      </c>
      <c r="W10" s="4">
        <v>115.696</v>
      </c>
      <c r="X10" s="4">
        <v>176.672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spans="2:64" s="3" customFormat="1" x14ac:dyDescent="0.2">
      <c r="B11" s="3" t="s">
        <v>21</v>
      </c>
      <c r="C11" s="4">
        <v>3.9289999999999998</v>
      </c>
      <c r="D11" s="4">
        <v>3.452</v>
      </c>
      <c r="E11" s="4">
        <v>3.4950000000000001</v>
      </c>
      <c r="F11" s="4">
        <f t="shared" ref="F11:F19" si="6">U11-SUM(C11:E11)</f>
        <v>3.8339999999999996</v>
      </c>
      <c r="G11" s="4">
        <v>4.476</v>
      </c>
      <c r="H11" s="4">
        <v>4.0750000000000002</v>
      </c>
      <c r="I11" s="4">
        <v>3.8849999999999998</v>
      </c>
      <c r="J11" s="4">
        <f t="shared" ref="J11:J19" si="7">V11-SUM(G11:I11)</f>
        <v>4.1439999999999984</v>
      </c>
      <c r="K11" s="4">
        <v>4.6130000000000004</v>
      </c>
      <c r="L11" s="4">
        <v>3.9550000000000001</v>
      </c>
      <c r="M11" s="4">
        <v>3.875</v>
      </c>
      <c r="N11" s="4">
        <f t="shared" ref="N11:N25" si="8">W11-SUM(K11:M11)</f>
        <v>4.4399999999999977</v>
      </c>
      <c r="O11" s="4">
        <v>4.7430000000000003</v>
      </c>
      <c r="P11" s="4">
        <v>4.2699999999999996</v>
      </c>
      <c r="Q11" s="4">
        <v>4.1929999999999996</v>
      </c>
      <c r="R11" s="4">
        <f t="shared" ref="R11:R25" si="9">X11-SUM(O11:Q11)</f>
        <v>5.0770000000000017</v>
      </c>
      <c r="S11" s="4"/>
      <c r="T11" s="4"/>
      <c r="U11" s="4">
        <v>14.71</v>
      </c>
      <c r="V11" s="4">
        <v>16.579999999999998</v>
      </c>
      <c r="W11" s="4">
        <v>16.882999999999999</v>
      </c>
      <c r="X11" s="4">
        <v>18.283000000000001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spans="2:64" s="3" customFormat="1" x14ac:dyDescent="0.2">
      <c r="B12" s="3" t="s">
        <v>22</v>
      </c>
      <c r="C12" s="4">
        <v>1.6619999999999999</v>
      </c>
      <c r="D12" s="4">
        <v>1.702</v>
      </c>
      <c r="E12" s="4">
        <v>1.774</v>
      </c>
      <c r="F12" s="4">
        <f t="shared" si="6"/>
        <v>1.9820000000000002</v>
      </c>
      <c r="G12" s="4">
        <v>1.746</v>
      </c>
      <c r="H12" s="4">
        <v>1.917</v>
      </c>
      <c r="I12" s="4">
        <v>1.8540000000000001</v>
      </c>
      <c r="J12" s="4">
        <f t="shared" si="7"/>
        <v>1.9979999999999993</v>
      </c>
      <c r="K12" s="4">
        <v>1.9930000000000001</v>
      </c>
      <c r="L12" s="4">
        <v>2.0470000000000002</v>
      </c>
      <c r="M12" s="4">
        <v>2.36</v>
      </c>
      <c r="N12" s="4">
        <f t="shared" si="8"/>
        <v>2.8170000000000002</v>
      </c>
      <c r="O12" s="4">
        <v>2.6619999999999999</v>
      </c>
      <c r="P12" s="4">
        <v>2.6309999999999998</v>
      </c>
      <c r="Q12" s="4">
        <v>2.5129999999999999</v>
      </c>
      <c r="R12" s="4">
        <f t="shared" si="9"/>
        <v>3.9260000000000002</v>
      </c>
      <c r="S12" s="4"/>
      <c r="T12" s="4"/>
      <c r="U12" s="4">
        <v>7.12</v>
      </c>
      <c r="V12" s="4">
        <v>7.5149999999999997</v>
      </c>
      <c r="W12" s="4">
        <v>9.2170000000000005</v>
      </c>
      <c r="X12" s="4">
        <v>11.731999999999999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spans="2:64" s="3" customFormat="1" x14ac:dyDescent="0.2">
      <c r="B13" s="3" t="s">
        <v>23</v>
      </c>
      <c r="C13" s="4">
        <v>1.3120000000000001</v>
      </c>
      <c r="D13" s="4">
        <v>1.2889999999999999</v>
      </c>
      <c r="E13" s="4">
        <v>1.17</v>
      </c>
      <c r="F13" s="4">
        <f t="shared" si="6"/>
        <v>1.88</v>
      </c>
      <c r="G13" s="4">
        <v>1.03</v>
      </c>
      <c r="H13" s="4">
        <v>1.2290000000000001</v>
      </c>
      <c r="I13" s="4">
        <v>1.0009999999999999</v>
      </c>
      <c r="J13" s="4">
        <f t="shared" si="7"/>
        <v>1.4499999999999997</v>
      </c>
      <c r="K13" s="4">
        <v>1.0489999999999999</v>
      </c>
      <c r="L13" s="4">
        <v>1.359</v>
      </c>
      <c r="M13" s="4">
        <v>1.532</v>
      </c>
      <c r="N13" s="4">
        <f t="shared" si="8"/>
        <v>1.5100000000000002</v>
      </c>
      <c r="O13" s="4">
        <v>0.98899999999999999</v>
      </c>
      <c r="P13" s="4">
        <v>1.0720000000000001</v>
      </c>
      <c r="Q13" s="4">
        <v>2.484</v>
      </c>
      <c r="R13" s="4">
        <f t="shared" si="9"/>
        <v>2.6840000000000002</v>
      </c>
      <c r="S13" s="4"/>
      <c r="T13" s="4"/>
      <c r="U13" s="4">
        <v>5.6509999999999998</v>
      </c>
      <c r="V13" s="4">
        <v>4.71</v>
      </c>
      <c r="W13" s="4">
        <v>5.45</v>
      </c>
      <c r="X13" s="4">
        <v>7.2290000000000001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</row>
    <row r="14" spans="2:64" s="3" customFormat="1" x14ac:dyDescent="0.2">
      <c r="B14" s="3" t="s">
        <v>31</v>
      </c>
      <c r="C14" s="4">
        <v>3.0000000000000001E-3</v>
      </c>
      <c r="D14" s="4">
        <v>3.0000000000000001E-3</v>
      </c>
      <c r="E14" s="4">
        <v>1E-3</v>
      </c>
      <c r="F14" s="4">
        <f t="shared" si="6"/>
        <v>0</v>
      </c>
      <c r="G14" s="4">
        <v>1E-3</v>
      </c>
      <c r="H14" s="4">
        <v>0</v>
      </c>
      <c r="I14" s="4">
        <v>0</v>
      </c>
      <c r="J14" s="4">
        <f t="shared" si="7"/>
        <v>0</v>
      </c>
      <c r="K14" s="4">
        <v>0</v>
      </c>
      <c r="L14" s="4">
        <v>2E-3</v>
      </c>
      <c r="M14" s="4">
        <v>0.01</v>
      </c>
      <c r="N14" s="4">
        <f t="shared" si="8"/>
        <v>1.0999999999999999E-2</v>
      </c>
      <c r="O14" s="4">
        <v>8.9999999999999993E-3</v>
      </c>
      <c r="P14" s="4">
        <v>8.9999999999999993E-3</v>
      </c>
      <c r="Q14" s="4">
        <v>8.9999999999999993E-3</v>
      </c>
      <c r="R14" s="4">
        <f t="shared" si="9"/>
        <v>1.4000000000000005E-2</v>
      </c>
      <c r="S14" s="4"/>
      <c r="T14" s="4"/>
      <c r="U14" s="4">
        <v>7.0000000000000001E-3</v>
      </c>
      <c r="V14" s="4">
        <v>1E-3</v>
      </c>
      <c r="W14" s="4">
        <v>2.3E-2</v>
      </c>
      <c r="X14" s="4">
        <v>4.1000000000000002E-2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</row>
    <row r="15" spans="2:64" s="5" customFormat="1" x14ac:dyDescent="0.2">
      <c r="B15" s="5" t="s">
        <v>8</v>
      </c>
      <c r="C15" s="6">
        <f>SUM(C10:C14)</f>
        <v>28.292999999999999</v>
      </c>
      <c r="D15" s="6">
        <f>SUM(D10:D14)</f>
        <v>28.226999999999997</v>
      </c>
      <c r="E15" s="6">
        <f>SUM(E10:E14)</f>
        <v>29.071000000000002</v>
      </c>
      <c r="F15" s="6">
        <f>SUM(F10:F14)</f>
        <v>30.069999999999993</v>
      </c>
      <c r="G15" s="6">
        <f>SUM(G10:G14)</f>
        <v>32.100999999999992</v>
      </c>
      <c r="H15" s="6">
        <f>SUM(H10:H14)</f>
        <v>32.109000000000002</v>
      </c>
      <c r="I15" s="6">
        <f>SUM(I10:I14)</f>
        <v>31.245000000000001</v>
      </c>
      <c r="J15" s="6">
        <f>SUM(J10:J14)</f>
        <v>32.364000000000004</v>
      </c>
      <c r="K15" s="6">
        <f>SUM(K10:K14)</f>
        <v>33.298000000000002</v>
      </c>
      <c r="L15" s="6">
        <f>SUM(L10:L14)</f>
        <v>34.283999999999999</v>
      </c>
      <c r="M15" s="6">
        <f>SUM(M10:M14)</f>
        <v>37.833999999999996</v>
      </c>
      <c r="N15" s="6">
        <f>SUM(N10:N14)</f>
        <v>41.853000000000002</v>
      </c>
      <c r="O15" s="6">
        <f>SUM(O10:O14)</f>
        <v>44.052</v>
      </c>
      <c r="P15" s="6">
        <f>SUM(P10:P14)</f>
        <v>48.36</v>
      </c>
      <c r="Q15" s="6">
        <f>SUM(Q10:Q14)</f>
        <v>51.668999999999997</v>
      </c>
      <c r="R15" s="6">
        <f>SUM(R10:R14)</f>
        <v>69.875999999999991</v>
      </c>
      <c r="S15" s="6"/>
      <c r="T15" s="6"/>
      <c r="U15" s="6">
        <f>SUM(U10:U14)</f>
        <v>115.66100000000002</v>
      </c>
      <c r="V15" s="6">
        <f>SUM(V10:V14)</f>
        <v>127.819</v>
      </c>
      <c r="W15" s="6">
        <f>SUM(W10:W14)</f>
        <v>147.26900000000001</v>
      </c>
      <c r="X15" s="6">
        <f>SUM(X10:X14)</f>
        <v>213.95699999999999</v>
      </c>
      <c r="Y15" s="6">
        <f>Y7+Y6+Y4</f>
        <v>297.02917333333335</v>
      </c>
      <c r="Z15" s="6">
        <f t="shared" ref="Z15:AM15" si="10">Z7+Z6+Z4</f>
        <v>330.27747413333333</v>
      </c>
      <c r="AA15" s="6">
        <f t="shared" si="10"/>
        <v>368.45253102933333</v>
      </c>
      <c r="AB15" s="6">
        <f t="shared" si="10"/>
        <v>412.33294675285345</v>
      </c>
      <c r="AC15" s="6">
        <f t="shared" si="10"/>
        <v>462.82823476319578</v>
      </c>
      <c r="AD15" s="6">
        <f t="shared" si="10"/>
        <v>508.85902261477929</v>
      </c>
      <c r="AE15" s="6">
        <f t="shared" si="10"/>
        <v>560.17064497655292</v>
      </c>
      <c r="AF15" s="6">
        <f t="shared" si="10"/>
        <v>592.57569319338052</v>
      </c>
      <c r="AG15" s="6">
        <f t="shared" si="10"/>
        <v>627.33564541784961</v>
      </c>
      <c r="AH15" s="6">
        <f t="shared" si="10"/>
        <v>664.64171201002216</v>
      </c>
      <c r="AI15" s="6">
        <f t="shared" si="10"/>
        <v>704.70201036393132</v>
      </c>
      <c r="AJ15" s="6">
        <f t="shared" si="10"/>
        <v>747.74314491087671</v>
      </c>
      <c r="AK15" s="6">
        <f t="shared" si="10"/>
        <v>794.01193958804424</v>
      </c>
      <c r="AL15" s="6">
        <f t="shared" si="10"/>
        <v>843.77733774223248</v>
      </c>
      <c r="AM15" s="6">
        <f t="shared" si="10"/>
        <v>897.33248592160896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2:64" s="3" customFormat="1" x14ac:dyDescent="0.2">
      <c r="B16" s="3" t="s">
        <v>24</v>
      </c>
      <c r="C16" s="4">
        <v>4.2389999999999999</v>
      </c>
      <c r="D16" s="4">
        <v>3.8290000000000002</v>
      </c>
      <c r="E16" s="4">
        <v>3.72</v>
      </c>
      <c r="F16" s="4">
        <f t="shared" si="6"/>
        <v>3.9320000000000004</v>
      </c>
      <c r="G16" s="4">
        <v>4.5549999999999997</v>
      </c>
      <c r="H16" s="4">
        <v>4.0149999999999997</v>
      </c>
      <c r="I16" s="4">
        <v>3.8330000000000002</v>
      </c>
      <c r="J16" s="4">
        <f t="shared" si="7"/>
        <v>3.0190000000000001</v>
      </c>
      <c r="K16" s="4">
        <v>4.3689999999999998</v>
      </c>
      <c r="L16" s="4">
        <v>4.4489999999999998</v>
      </c>
      <c r="M16" s="4">
        <v>5.1230000000000002</v>
      </c>
      <c r="N16" s="4">
        <f t="shared" si="8"/>
        <v>5.7460000000000022</v>
      </c>
      <c r="O16" s="4">
        <v>6.2709999999999999</v>
      </c>
      <c r="P16" s="4">
        <v>6.6950000000000003</v>
      </c>
      <c r="Q16" s="4">
        <v>6.8090000000000002</v>
      </c>
      <c r="R16" s="4">
        <f t="shared" si="9"/>
        <v>8.1919999999999966</v>
      </c>
      <c r="S16" s="4"/>
      <c r="T16" s="4"/>
      <c r="U16" s="4">
        <v>15.72</v>
      </c>
      <c r="V16" s="4">
        <v>15.422000000000001</v>
      </c>
      <c r="W16" s="4">
        <v>19.687000000000001</v>
      </c>
      <c r="X16" s="4">
        <v>27.966999999999999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</row>
    <row r="17" spans="2:165" s="3" customFormat="1" x14ac:dyDescent="0.2">
      <c r="B17" s="3" t="s">
        <v>25</v>
      </c>
      <c r="C17" s="4">
        <v>1.46</v>
      </c>
      <c r="D17" s="4">
        <v>1.278</v>
      </c>
      <c r="E17" s="4">
        <v>1.27</v>
      </c>
      <c r="F17" s="4">
        <f t="shared" si="6"/>
        <v>1.4269999999999996</v>
      </c>
      <c r="G17" s="4">
        <v>1.625</v>
      </c>
      <c r="H17" s="4">
        <v>1.3819999999999999</v>
      </c>
      <c r="I17" s="4">
        <v>1.3149999999999999</v>
      </c>
      <c r="J17" s="4">
        <f t="shared" si="7"/>
        <v>1.3720000000000008</v>
      </c>
      <c r="K17" s="4">
        <v>1.542</v>
      </c>
      <c r="L17" s="4">
        <v>1.292</v>
      </c>
      <c r="M17" s="4">
        <v>1.2849999999999999</v>
      </c>
      <c r="N17" s="4">
        <f t="shared" si="8"/>
        <v>1.3970000000000002</v>
      </c>
      <c r="O17" s="4">
        <v>1.601</v>
      </c>
      <c r="P17" s="4">
        <v>1.4350000000000001</v>
      </c>
      <c r="Q17" s="4">
        <v>1.3640000000000001</v>
      </c>
      <c r="R17" s="4">
        <f t="shared" si="9"/>
        <v>1.5709999999999997</v>
      </c>
      <c r="S17" s="4"/>
      <c r="T17" s="4"/>
      <c r="U17" s="4">
        <v>5.4349999999999996</v>
      </c>
      <c r="V17" s="4">
        <v>5.694</v>
      </c>
      <c r="W17" s="4">
        <v>5.516</v>
      </c>
      <c r="X17" s="4">
        <v>5.9710000000000001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2:165" s="3" customFormat="1" x14ac:dyDescent="0.2">
      <c r="B18" s="3" t="s">
        <v>26</v>
      </c>
      <c r="C18" s="4">
        <v>0.53500000000000003</v>
      </c>
      <c r="D18" s="4">
        <v>0.56200000000000006</v>
      </c>
      <c r="E18" s="4">
        <v>0.57299999999999995</v>
      </c>
      <c r="F18" s="4">
        <f t="shared" si="6"/>
        <v>0.66400000000000015</v>
      </c>
      <c r="G18" s="4">
        <v>0.64100000000000001</v>
      </c>
      <c r="H18" s="4">
        <v>0.67600000000000005</v>
      </c>
      <c r="I18" s="4">
        <v>0.65900000000000003</v>
      </c>
      <c r="J18" s="4">
        <f t="shared" si="7"/>
        <v>0.70899999999999985</v>
      </c>
      <c r="K18" s="4">
        <v>0.68799999999999994</v>
      </c>
      <c r="L18" s="4">
        <v>0.71699999999999997</v>
      </c>
      <c r="M18" s="4">
        <v>0.84299999999999997</v>
      </c>
      <c r="N18" s="4">
        <f t="shared" si="8"/>
        <v>0.96200000000000019</v>
      </c>
      <c r="O18" s="4">
        <v>0.92300000000000004</v>
      </c>
      <c r="P18" s="4">
        <v>0.92700000000000005</v>
      </c>
      <c r="Q18" s="4">
        <v>0.89600000000000002</v>
      </c>
      <c r="R18" s="4">
        <f t="shared" si="9"/>
        <v>1.238</v>
      </c>
      <c r="S18" s="4"/>
      <c r="T18" s="4"/>
      <c r="U18" s="4">
        <v>2.3340000000000001</v>
      </c>
      <c r="V18" s="4">
        <v>2.6850000000000001</v>
      </c>
      <c r="W18" s="4">
        <v>3.21</v>
      </c>
      <c r="X18" s="4">
        <v>3.984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</row>
    <row r="19" spans="2:165" s="3" customFormat="1" x14ac:dyDescent="0.2">
      <c r="B19" s="3" t="s">
        <v>27</v>
      </c>
      <c r="C19" s="4">
        <v>1.0289999999999999</v>
      </c>
      <c r="D19" s="4">
        <v>0.96899999999999997</v>
      </c>
      <c r="E19" s="4">
        <v>0.92900000000000005</v>
      </c>
      <c r="F19" s="4">
        <f t="shared" si="6"/>
        <v>1.3400000000000007</v>
      </c>
      <c r="G19" s="4">
        <v>0.83099999999999996</v>
      </c>
      <c r="H19" s="4">
        <v>1.0149999999999999</v>
      </c>
      <c r="I19" s="4">
        <v>0.77700000000000002</v>
      </c>
      <c r="J19" s="4">
        <f t="shared" si="7"/>
        <v>1.0760000000000001</v>
      </c>
      <c r="K19" s="4">
        <v>0.84599999999999997</v>
      </c>
      <c r="L19" s="4">
        <v>1.1579999999999999</v>
      </c>
      <c r="M19" s="4">
        <v>1.2929999999999999</v>
      </c>
      <c r="N19" s="4">
        <f t="shared" si="8"/>
        <v>1.1960000000000006</v>
      </c>
      <c r="O19" s="4">
        <v>0.83</v>
      </c>
      <c r="P19" s="4">
        <v>0.88100000000000001</v>
      </c>
      <c r="Q19" s="4">
        <v>2.12</v>
      </c>
      <c r="R19" s="4">
        <f t="shared" si="9"/>
        <v>2.1819999999999999</v>
      </c>
      <c r="S19" s="4"/>
      <c r="T19" s="4"/>
      <c r="U19" s="4">
        <v>4.2670000000000003</v>
      </c>
      <c r="V19" s="4">
        <v>3.6989999999999998</v>
      </c>
      <c r="W19" s="4">
        <v>4.4930000000000003</v>
      </c>
      <c r="X19" s="4">
        <v>6.0129999999999999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</row>
    <row r="20" spans="2:165" s="3" customFormat="1" x14ac:dyDescent="0.2">
      <c r="B20" s="3" t="s">
        <v>28</v>
      </c>
      <c r="C20" s="4">
        <f>SUM(C16:C19)</f>
        <v>7.2629999999999999</v>
      </c>
      <c r="D20" s="4">
        <f>SUM(D16:D19)</f>
        <v>6.6380000000000008</v>
      </c>
      <c r="E20" s="4">
        <f>SUM(E16:E19)</f>
        <v>6.4920000000000009</v>
      </c>
      <c r="F20" s="4">
        <f>SUM(F16:F19)</f>
        <v>7.3630000000000004</v>
      </c>
      <c r="G20" s="4">
        <f>SUM(G16:G19)</f>
        <v>7.6519999999999992</v>
      </c>
      <c r="H20" s="4">
        <f>SUM(H16:H19)</f>
        <v>7.0879999999999992</v>
      </c>
      <c r="I20" s="4">
        <f>SUM(I16:I19)</f>
        <v>6.5839999999999996</v>
      </c>
      <c r="J20" s="4">
        <f>SUM(J16:J19)</f>
        <v>6.1760000000000002</v>
      </c>
      <c r="K20" s="4">
        <f>SUM(K16:K19)</f>
        <v>7.4449999999999994</v>
      </c>
      <c r="L20" s="4">
        <f>SUM(L16:L19)</f>
        <v>7.6159999999999997</v>
      </c>
      <c r="M20" s="4">
        <f>SUM(M16:M19)</f>
        <v>8.5440000000000005</v>
      </c>
      <c r="N20" s="4">
        <f t="shared" si="8"/>
        <v>9.3010000000000055</v>
      </c>
      <c r="O20" s="4">
        <f>SUM(O16:O19)</f>
        <v>9.625</v>
      </c>
      <c r="P20" s="4">
        <f>SUM(P16:P19)</f>
        <v>9.9380000000000006</v>
      </c>
      <c r="Q20" s="4">
        <f>SUM(Q16:Q19)</f>
        <v>11.189</v>
      </c>
      <c r="R20" s="4">
        <f t="shared" si="9"/>
        <v>13.183</v>
      </c>
      <c r="S20" s="4"/>
      <c r="T20" s="4"/>
      <c r="U20" s="4">
        <f>SUM(U16:U19)</f>
        <v>27.756</v>
      </c>
      <c r="V20" s="4">
        <f>SUM(V16:V19)</f>
        <v>27.5</v>
      </c>
      <c r="W20" s="4">
        <f>SUM(W16:W19)</f>
        <v>32.906000000000006</v>
      </c>
      <c r="X20" s="4">
        <f>SUM(X16:X19)</f>
        <v>43.935000000000002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</row>
    <row r="21" spans="2:165" s="5" customFormat="1" x14ac:dyDescent="0.2">
      <c r="B21" s="5" t="s">
        <v>29</v>
      </c>
      <c r="C21" s="6">
        <f>C15-C20</f>
        <v>21.03</v>
      </c>
      <c r="D21" s="6">
        <f>D15-D20</f>
        <v>21.588999999999995</v>
      </c>
      <c r="E21" s="6">
        <f>E15-E20</f>
        <v>22.579000000000001</v>
      </c>
      <c r="F21" s="6">
        <f>F15-F20</f>
        <v>22.706999999999994</v>
      </c>
      <c r="G21" s="6">
        <f>G15-G20</f>
        <v>24.448999999999991</v>
      </c>
      <c r="H21" s="6">
        <f>H15-H20</f>
        <v>25.021000000000001</v>
      </c>
      <c r="I21" s="6">
        <f>I15-I20</f>
        <v>24.661000000000001</v>
      </c>
      <c r="J21" s="6">
        <f>J15-J20</f>
        <v>26.188000000000002</v>
      </c>
      <c r="K21" s="6">
        <f>K15-K20</f>
        <v>25.853000000000002</v>
      </c>
      <c r="L21" s="6">
        <f>L15-L20</f>
        <v>26.667999999999999</v>
      </c>
      <c r="M21" s="6">
        <f>M15-M20</f>
        <v>29.289999999999996</v>
      </c>
      <c r="N21" s="6">
        <f>N15-N20</f>
        <v>32.551999999999992</v>
      </c>
      <c r="O21" s="6">
        <f>O15-O20</f>
        <v>34.427</v>
      </c>
      <c r="P21" s="6">
        <f>P15-P20</f>
        <v>38.421999999999997</v>
      </c>
      <c r="Q21" s="6">
        <f>Q15-Q20</f>
        <v>40.479999999999997</v>
      </c>
      <c r="R21" s="6">
        <f>R15-R20</f>
        <v>56.692999999999991</v>
      </c>
      <c r="S21" s="6"/>
      <c r="T21" s="6"/>
      <c r="U21" s="6">
        <f>U15-U20</f>
        <v>87.905000000000015</v>
      </c>
      <c r="V21" s="6">
        <f>V15-V20</f>
        <v>100.319</v>
      </c>
      <c r="W21" s="6">
        <f>W15-W20</f>
        <v>114.363</v>
      </c>
      <c r="X21" s="6">
        <f>X15-X20</f>
        <v>170.02199999999999</v>
      </c>
      <c r="Y21" s="6">
        <f>Y15*0.8</f>
        <v>237.62333866666668</v>
      </c>
      <c r="Z21" s="6">
        <f t="shared" ref="Z21:AM21" si="11">Z15*0.8</f>
        <v>264.2219793066667</v>
      </c>
      <c r="AA21" s="6">
        <f t="shared" si="11"/>
        <v>294.76202482346667</v>
      </c>
      <c r="AB21" s="6">
        <f t="shared" si="11"/>
        <v>329.8663574022828</v>
      </c>
      <c r="AC21" s="6">
        <f t="shared" si="11"/>
        <v>370.26258781055662</v>
      </c>
      <c r="AD21" s="6">
        <f t="shared" si="11"/>
        <v>407.08721809182344</v>
      </c>
      <c r="AE21" s="6">
        <f t="shared" si="11"/>
        <v>448.13651598124238</v>
      </c>
      <c r="AF21" s="6">
        <f t="shared" si="11"/>
        <v>474.06055455470442</v>
      </c>
      <c r="AG21" s="6">
        <f t="shared" si="11"/>
        <v>501.86851633427972</v>
      </c>
      <c r="AH21" s="6">
        <f t="shared" si="11"/>
        <v>531.71336960801773</v>
      </c>
      <c r="AI21" s="6">
        <f t="shared" si="11"/>
        <v>563.76160829114508</v>
      </c>
      <c r="AJ21" s="6">
        <f t="shared" si="11"/>
        <v>598.19451592870143</v>
      </c>
      <c r="AK21" s="6">
        <f t="shared" si="11"/>
        <v>635.20955167043542</v>
      </c>
      <c r="AL21" s="6">
        <f t="shared" si="11"/>
        <v>675.02187019378607</v>
      </c>
      <c r="AM21" s="6">
        <f t="shared" si="11"/>
        <v>717.86598873728724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</row>
    <row r="22" spans="2:165" s="3" customFormat="1" x14ac:dyDescent="0.2">
      <c r="B22" s="3" t="s">
        <v>32</v>
      </c>
      <c r="C22" s="4">
        <v>10.106999999999999</v>
      </c>
      <c r="D22" s="4">
        <v>9.7750000000000004</v>
      </c>
      <c r="E22" s="4">
        <v>8.9149999999999991</v>
      </c>
      <c r="F22" s="4">
        <f t="shared" ref="F22:F25" si="12">U22-SUM(C22:E22)</f>
        <v>9.9580000000000055</v>
      </c>
      <c r="G22" s="4">
        <v>10.382999999999999</v>
      </c>
      <c r="H22" s="4">
        <v>9.7919999999999998</v>
      </c>
      <c r="I22" s="4">
        <v>9.0950000000000006</v>
      </c>
      <c r="J22" s="4">
        <f t="shared" ref="J22:J25" si="13">V22-SUM(G22:I22)</f>
        <v>10.179000000000002</v>
      </c>
      <c r="K22" s="4">
        <v>11.37</v>
      </c>
      <c r="L22" s="4">
        <v>10.663</v>
      </c>
      <c r="M22" s="4">
        <v>9.516</v>
      </c>
      <c r="N22" s="4">
        <f t="shared" si="8"/>
        <v>12.11</v>
      </c>
      <c r="O22" s="4">
        <v>14.021000000000001</v>
      </c>
      <c r="P22" s="4">
        <v>12.536</v>
      </c>
      <c r="Q22" s="4">
        <v>11.340999999999999</v>
      </c>
      <c r="R22" s="4">
        <f t="shared" si="9"/>
        <v>18.245999999999995</v>
      </c>
      <c r="S22" s="4"/>
      <c r="T22" s="4"/>
      <c r="U22" s="4">
        <v>38.755000000000003</v>
      </c>
      <c r="V22" s="4">
        <v>39.448999999999998</v>
      </c>
      <c r="W22" s="4">
        <v>43.658999999999999</v>
      </c>
      <c r="X22" s="4">
        <v>56.143999999999998</v>
      </c>
      <c r="Y22" s="4">
        <f>(1+(Y15/X15-1)*2/3)*X22</f>
        <v>70.67652787437558</v>
      </c>
      <c r="Z22" s="4">
        <f>(1+(Z15/Y15-1)*2/3)*Y22</f>
        <v>75.95069995180927</v>
      </c>
      <c r="AA22" s="4">
        <f t="shared" ref="AA22:AM22" si="14">(1+(AA15/Z15-1)*2/3)*Z22</f>
        <v>81.803197763554962</v>
      </c>
      <c r="AB22" s="4">
        <f t="shared" si="14"/>
        <v>88.298034091317632</v>
      </c>
      <c r="AC22" s="4">
        <f t="shared" si="14"/>
        <v>95.506827692540668</v>
      </c>
      <c r="AD22" s="4">
        <f t="shared" si="14"/>
        <v>101.83927703146573</v>
      </c>
      <c r="AE22" s="4">
        <f t="shared" si="14"/>
        <v>108.6853624793672</v>
      </c>
      <c r="AF22" s="4">
        <f t="shared" si="14"/>
        <v>112.87688809534528</v>
      </c>
      <c r="AG22" s="4">
        <f t="shared" si="14"/>
        <v>117.29105861961678</v>
      </c>
      <c r="AH22" s="4">
        <f t="shared" si="14"/>
        <v>121.9410606565278</v>
      </c>
      <c r="AI22" s="4">
        <f t="shared" si="14"/>
        <v>126.84093897514785</v>
      </c>
      <c r="AJ22" s="4">
        <f t="shared" si="14"/>
        <v>132.0056543112758</v>
      </c>
      <c r="AK22" s="4">
        <f t="shared" si="14"/>
        <v>137.45114501408619</v>
      </c>
      <c r="AL22" s="4">
        <f t="shared" si="14"/>
        <v>143.19439278936443</v>
      </c>
      <c r="AM22" s="4">
        <f t="shared" si="14"/>
        <v>149.25349280802601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spans="2:165" s="3" customFormat="1" x14ac:dyDescent="0.2">
      <c r="B23" s="3" t="s">
        <v>33</v>
      </c>
      <c r="C23" s="4">
        <v>2.657</v>
      </c>
      <c r="D23" s="4">
        <v>2.5550000000000002</v>
      </c>
      <c r="E23" s="4">
        <v>2.625</v>
      </c>
      <c r="F23" s="4">
        <f t="shared" si="12"/>
        <v>2.4060000000000006</v>
      </c>
      <c r="G23" s="4">
        <v>2.625</v>
      </c>
      <c r="H23" s="4">
        <v>2.718</v>
      </c>
      <c r="I23" s="4">
        <v>2.8439999999999999</v>
      </c>
      <c r="J23" s="4">
        <f t="shared" si="13"/>
        <v>2.7710000000000008</v>
      </c>
      <c r="K23" s="4">
        <v>2.9159999999999999</v>
      </c>
      <c r="L23" s="4">
        <v>3.036</v>
      </c>
      <c r="M23" s="4">
        <v>3.407</v>
      </c>
      <c r="N23" s="4">
        <f t="shared" si="8"/>
        <v>3.9499999999999993</v>
      </c>
      <c r="O23" s="4">
        <v>4.282</v>
      </c>
      <c r="P23" s="4">
        <v>4.68</v>
      </c>
      <c r="Q23" s="4">
        <v>4.758</v>
      </c>
      <c r="R23" s="4">
        <f t="shared" si="9"/>
        <v>6.9909999999999997</v>
      </c>
      <c r="S23" s="4"/>
      <c r="T23" s="4"/>
      <c r="U23" s="4">
        <v>10.243</v>
      </c>
      <c r="V23" s="4">
        <v>10.958</v>
      </c>
      <c r="W23" s="4">
        <v>13.308999999999999</v>
      </c>
      <c r="X23" s="4">
        <v>20.710999999999999</v>
      </c>
      <c r="Y23" s="4">
        <f>X23*1.5</f>
        <v>31.066499999999998</v>
      </c>
      <c r="Z23" s="4">
        <f t="shared" ref="Z23:AD23" si="15">Y23*1.5</f>
        <v>46.59975</v>
      </c>
      <c r="AA23" s="4">
        <f t="shared" si="15"/>
        <v>69.899625</v>
      </c>
      <c r="AB23" s="4">
        <f t="shared" si="15"/>
        <v>104.84943749999999</v>
      </c>
      <c r="AC23" s="4">
        <f t="shared" si="15"/>
        <v>157.27415624999998</v>
      </c>
      <c r="AD23" s="4">
        <f t="shared" si="15"/>
        <v>235.91123437499996</v>
      </c>
      <c r="AE23" s="4">
        <f>AD23*1.05</f>
        <v>247.70679609374997</v>
      </c>
      <c r="AF23" s="4">
        <f t="shared" ref="AF23:AM23" si="16">AE23*1.05</f>
        <v>260.0921358984375</v>
      </c>
      <c r="AG23" s="4">
        <f t="shared" si="16"/>
        <v>273.09674269335937</v>
      </c>
      <c r="AH23" s="4">
        <f t="shared" si="16"/>
        <v>286.75157982802733</v>
      </c>
      <c r="AI23" s="4">
        <f t="shared" si="16"/>
        <v>301.08915881942869</v>
      </c>
      <c r="AJ23" s="4">
        <f t="shared" si="16"/>
        <v>316.14361676040016</v>
      </c>
      <c r="AK23" s="4">
        <f t="shared" si="16"/>
        <v>331.95079759842019</v>
      </c>
      <c r="AL23" s="4">
        <f t="shared" si="16"/>
        <v>348.54833747834124</v>
      </c>
      <c r="AM23" s="4">
        <f t="shared" si="16"/>
        <v>365.97575435225832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spans="2:165" s="3" customFormat="1" x14ac:dyDescent="0.2">
      <c r="B24" s="3" t="s">
        <v>34</v>
      </c>
      <c r="C24" s="4">
        <v>3.8450000000000002</v>
      </c>
      <c r="D24" s="4">
        <v>3.4350000000000001</v>
      </c>
      <c r="E24" s="4">
        <v>3.9529999999999998</v>
      </c>
      <c r="F24" s="4">
        <f t="shared" si="12"/>
        <v>3.5169999999999995</v>
      </c>
      <c r="G24" s="4">
        <v>3.6259999999999999</v>
      </c>
      <c r="H24" s="4">
        <v>3.9660000000000002</v>
      </c>
      <c r="I24" s="4">
        <v>3.9609999999999999</v>
      </c>
      <c r="J24" s="4">
        <f t="shared" si="13"/>
        <v>4.2409999999999997</v>
      </c>
      <c r="K24" s="4">
        <v>4.1970000000000001</v>
      </c>
      <c r="L24" s="4">
        <v>5.35</v>
      </c>
      <c r="M24" s="4">
        <v>6.1909999999999998</v>
      </c>
      <c r="N24" s="4">
        <f t="shared" si="8"/>
        <v>9.4089999999999989</v>
      </c>
      <c r="O24" s="4">
        <v>7.7709999999999999</v>
      </c>
      <c r="P24" s="4">
        <v>12.763</v>
      </c>
      <c r="Q24" s="4">
        <v>9.4700000000000006</v>
      </c>
      <c r="R24" s="4">
        <f t="shared" si="9"/>
        <v>12.395000000000003</v>
      </c>
      <c r="S24" s="4"/>
      <c r="T24" s="4"/>
      <c r="U24" s="4">
        <v>14.75</v>
      </c>
      <c r="V24" s="4">
        <v>15.794</v>
      </c>
      <c r="W24" s="4">
        <v>25.146999999999998</v>
      </c>
      <c r="X24" s="4">
        <v>42.399000000000001</v>
      </c>
      <c r="Y24" s="4">
        <f>X24*1.07</f>
        <v>45.366930000000004</v>
      </c>
      <c r="Z24" s="4">
        <f t="shared" ref="Z24:AM24" si="17">Y24*1.07</f>
        <v>48.542615100000006</v>
      </c>
      <c r="AA24" s="4">
        <f t="shared" si="17"/>
        <v>51.940598157000011</v>
      </c>
      <c r="AB24" s="4">
        <f t="shared" si="17"/>
        <v>55.576440027990017</v>
      </c>
      <c r="AC24" s="4">
        <f t="shared" si="17"/>
        <v>59.466790829949325</v>
      </c>
      <c r="AD24" s="4">
        <f t="shared" si="17"/>
        <v>63.629466188045782</v>
      </c>
      <c r="AE24" s="4">
        <f>AD24*1.05</f>
        <v>66.810939497448075</v>
      </c>
      <c r="AF24" s="4">
        <f t="shared" ref="AF24:AM24" si="18">AE24*1.05</f>
        <v>70.151486472320485</v>
      </c>
      <c r="AG24" s="4">
        <f t="shared" si="18"/>
        <v>73.659060795936512</v>
      </c>
      <c r="AH24" s="4">
        <f t="shared" si="18"/>
        <v>77.34201383573334</v>
      </c>
      <c r="AI24" s="4">
        <f t="shared" si="18"/>
        <v>81.209114527520015</v>
      </c>
      <c r="AJ24" s="4">
        <f t="shared" si="18"/>
        <v>85.269570253896021</v>
      </c>
      <c r="AK24" s="4">
        <f t="shared" si="18"/>
        <v>89.533048766590824</v>
      </c>
      <c r="AL24" s="4">
        <f t="shared" si="18"/>
        <v>94.009701204920376</v>
      </c>
      <c r="AM24" s="4">
        <f t="shared" si="18"/>
        <v>98.710186265166399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</row>
    <row r="25" spans="2:165" s="3" customFormat="1" x14ac:dyDescent="0.2">
      <c r="B25" s="3" t="s">
        <v>35</v>
      </c>
      <c r="C25" s="4">
        <v>0</v>
      </c>
      <c r="D25" s="4">
        <v>0</v>
      </c>
      <c r="E25" s="4">
        <v>0</v>
      </c>
      <c r="F25" s="4">
        <f t="shared" si="12"/>
        <v>0</v>
      </c>
      <c r="G25" s="4">
        <v>0</v>
      </c>
      <c r="H25" s="4">
        <v>0</v>
      </c>
      <c r="I25" s="4">
        <v>0</v>
      </c>
      <c r="J25" s="4">
        <f t="shared" si="13"/>
        <v>0</v>
      </c>
      <c r="K25" s="4">
        <v>0</v>
      </c>
      <c r="L25" s="4">
        <v>0</v>
      </c>
      <c r="M25" s="4">
        <v>0</v>
      </c>
      <c r="N25" s="4">
        <f t="shared" si="8"/>
        <v>0</v>
      </c>
      <c r="O25" s="4">
        <v>0</v>
      </c>
      <c r="P25" s="4">
        <v>10</v>
      </c>
      <c r="Q25" s="4">
        <v>0</v>
      </c>
      <c r="R25" s="4">
        <f t="shared" si="9"/>
        <v>0</v>
      </c>
      <c r="S25" s="4"/>
      <c r="T25" s="4"/>
      <c r="U25" s="4">
        <v>0</v>
      </c>
      <c r="V25" s="4">
        <v>0</v>
      </c>
      <c r="W25" s="4">
        <v>0</v>
      </c>
      <c r="X25" s="4">
        <v>10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2:165" s="3" customFormat="1" x14ac:dyDescent="0.2">
      <c r="B26" s="3" t="s">
        <v>36</v>
      </c>
      <c r="C26" s="4">
        <f>SUM(C22:C25)</f>
        <v>16.608999999999998</v>
      </c>
      <c r="D26" s="4">
        <f>SUM(D22:D25)</f>
        <v>15.765000000000001</v>
      </c>
      <c r="E26" s="4">
        <f>SUM(E22:E25)</f>
        <v>15.492999999999999</v>
      </c>
      <c r="F26" s="4">
        <f>SUM(F22:F25)</f>
        <v>15.881000000000006</v>
      </c>
      <c r="G26" s="4">
        <f>SUM(G22:G25)</f>
        <v>16.634</v>
      </c>
      <c r="H26" s="4">
        <f>SUM(H22:H25)</f>
        <v>16.475999999999999</v>
      </c>
      <c r="I26" s="4">
        <f>SUM(I22:I25)</f>
        <v>15.9</v>
      </c>
      <c r="J26" s="4">
        <f>SUM(J22:J25)</f>
        <v>17.191000000000003</v>
      </c>
      <c r="K26" s="4">
        <f>SUM(K22:K25)</f>
        <v>18.483000000000001</v>
      </c>
      <c r="L26" s="4">
        <f>SUM(L22:L25)</f>
        <v>19.048999999999999</v>
      </c>
      <c r="M26" s="4">
        <f>SUM(M22:M25)</f>
        <v>19.114000000000001</v>
      </c>
      <c r="N26" s="4">
        <f>SUM(N22:N25)</f>
        <v>25.468999999999998</v>
      </c>
      <c r="O26" s="4">
        <f>SUM(O22:O25)</f>
        <v>26.074000000000002</v>
      </c>
      <c r="P26" s="4">
        <f>SUM(P22:P25)</f>
        <v>39.978999999999999</v>
      </c>
      <c r="Q26" s="4">
        <f>SUM(Q22:Q25)</f>
        <v>25.569000000000003</v>
      </c>
      <c r="R26" s="4">
        <f>SUM(R22:R25)</f>
        <v>37.631999999999998</v>
      </c>
      <c r="S26" s="4"/>
      <c r="T26" s="4"/>
      <c r="U26" s="4">
        <f>SUM(U22:U25)</f>
        <v>63.748000000000005</v>
      </c>
      <c r="V26" s="4">
        <f>SUM(V22:V25)</f>
        <v>66.200999999999993</v>
      </c>
      <c r="W26" s="4">
        <f>SUM(W22:W25)</f>
        <v>82.114999999999995</v>
      </c>
      <c r="X26" s="4">
        <f>SUM(X22:X25)</f>
        <v>129.25399999999999</v>
      </c>
      <c r="Y26" s="4">
        <f t="shared" ref="Y26:AM26" si="19">SUM(Y22:Y25)</f>
        <v>147.10995787437557</v>
      </c>
      <c r="Z26" s="4">
        <f t="shared" si="19"/>
        <v>171.09306505180928</v>
      </c>
      <c r="AA26" s="4">
        <f t="shared" si="19"/>
        <v>203.64342092055497</v>
      </c>
      <c r="AB26" s="4">
        <f t="shared" si="19"/>
        <v>248.72391161930767</v>
      </c>
      <c r="AC26" s="4">
        <f t="shared" si="19"/>
        <v>312.24777477248995</v>
      </c>
      <c r="AD26" s="4">
        <f t="shared" si="19"/>
        <v>401.3799775945115</v>
      </c>
      <c r="AE26" s="4">
        <f t="shared" si="19"/>
        <v>423.20309807056526</v>
      </c>
      <c r="AF26" s="4">
        <f t="shared" si="19"/>
        <v>443.12051046610327</v>
      </c>
      <c r="AG26" s="4">
        <f t="shared" si="19"/>
        <v>464.04686210891265</v>
      </c>
      <c r="AH26" s="4">
        <f t="shared" si="19"/>
        <v>486.03465432028844</v>
      </c>
      <c r="AI26" s="4">
        <f t="shared" si="19"/>
        <v>509.13921232209657</v>
      </c>
      <c r="AJ26" s="4">
        <f t="shared" si="19"/>
        <v>533.41884132557198</v>
      </c>
      <c r="AK26" s="4">
        <f t="shared" si="19"/>
        <v>558.93499137909726</v>
      </c>
      <c r="AL26" s="4">
        <f t="shared" si="19"/>
        <v>585.75243147262609</v>
      </c>
      <c r="AM26" s="4">
        <f t="shared" si="19"/>
        <v>613.93943342545072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2:165" s="5" customFormat="1" x14ac:dyDescent="0.2">
      <c r="B27" s="5" t="s">
        <v>37</v>
      </c>
      <c r="C27" s="6">
        <f>C21-C26</f>
        <v>4.4210000000000029</v>
      </c>
      <c r="D27" s="6">
        <f>D21-D26</f>
        <v>5.8239999999999945</v>
      </c>
      <c r="E27" s="6">
        <f>E21-E26</f>
        <v>7.0860000000000021</v>
      </c>
      <c r="F27" s="6">
        <f>F21-F26</f>
        <v>6.8259999999999881</v>
      </c>
      <c r="G27" s="6">
        <f>G21-G26</f>
        <v>7.8149999999999906</v>
      </c>
      <c r="H27" s="6">
        <f>H21-H26</f>
        <v>8.5450000000000017</v>
      </c>
      <c r="I27" s="6">
        <f>I21-I26</f>
        <v>8.761000000000001</v>
      </c>
      <c r="J27" s="6">
        <f>J21-J26</f>
        <v>8.9969999999999999</v>
      </c>
      <c r="K27" s="6">
        <f>K21-K26</f>
        <v>7.370000000000001</v>
      </c>
      <c r="L27" s="6">
        <f>L21-L26</f>
        <v>7.6189999999999998</v>
      </c>
      <c r="M27" s="6">
        <f>M21-M26</f>
        <v>10.175999999999995</v>
      </c>
      <c r="N27" s="6">
        <f>N21-N26</f>
        <v>7.0829999999999949</v>
      </c>
      <c r="O27" s="6">
        <f>O21-O26</f>
        <v>8.352999999999998</v>
      </c>
      <c r="P27" s="6">
        <f>P21-P26</f>
        <v>-1.5570000000000022</v>
      </c>
      <c r="Q27" s="6">
        <f>Q21-Q26</f>
        <v>14.910999999999994</v>
      </c>
      <c r="R27" s="6">
        <f>R21-R26</f>
        <v>19.060999999999993</v>
      </c>
      <c r="S27" s="6"/>
      <c r="T27" s="6"/>
      <c r="U27" s="6">
        <f>U21-U26</f>
        <v>24.157000000000011</v>
      </c>
      <c r="V27" s="6">
        <f>V21-V26</f>
        <v>34.118000000000009</v>
      </c>
      <c r="W27" s="6">
        <f>W21-W26</f>
        <v>32.248000000000005</v>
      </c>
      <c r="X27" s="6">
        <f>X21-X26</f>
        <v>40.768000000000001</v>
      </c>
      <c r="Y27" s="6">
        <f t="shared" ref="Y27:AM27" si="20">Y21-Y26</f>
        <v>90.513380792291116</v>
      </c>
      <c r="Z27" s="6">
        <f t="shared" si="20"/>
        <v>93.12891425485742</v>
      </c>
      <c r="AA27" s="6">
        <f t="shared" si="20"/>
        <v>91.118603902911701</v>
      </c>
      <c r="AB27" s="6">
        <f t="shared" si="20"/>
        <v>81.14244578297513</v>
      </c>
      <c r="AC27" s="6">
        <f t="shared" si="20"/>
        <v>58.014813038066677</v>
      </c>
      <c r="AD27" s="6">
        <f t="shared" si="20"/>
        <v>5.7072404973119433</v>
      </c>
      <c r="AE27" s="6">
        <f t="shared" si="20"/>
        <v>24.933417910677122</v>
      </c>
      <c r="AF27" s="6">
        <f t="shared" si="20"/>
        <v>30.940044088601155</v>
      </c>
      <c r="AG27" s="6">
        <f t="shared" si="20"/>
        <v>37.82165422536707</v>
      </c>
      <c r="AH27" s="6">
        <f t="shared" si="20"/>
        <v>45.67871528772929</v>
      </c>
      <c r="AI27" s="6">
        <f t="shared" si="20"/>
        <v>54.622395969048512</v>
      </c>
      <c r="AJ27" s="6">
        <f t="shared" si="20"/>
        <v>64.77567460312946</v>
      </c>
      <c r="AK27" s="6">
        <f t="shared" si="20"/>
        <v>76.274560291338162</v>
      </c>
      <c r="AL27" s="6">
        <f t="shared" si="20"/>
        <v>89.269438721159986</v>
      </c>
      <c r="AM27" s="6">
        <f t="shared" si="20"/>
        <v>103.92655531183652</v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 spans="2:165" s="3" customFormat="1" x14ac:dyDescent="0.2">
      <c r="B28" s="3" t="s">
        <v>38</v>
      </c>
      <c r="C28" s="4">
        <v>0.124</v>
      </c>
      <c r="D28" s="4">
        <v>0.16300000000000001</v>
      </c>
      <c r="E28" s="4">
        <v>0.122</v>
      </c>
      <c r="F28" s="4">
        <f t="shared" ref="F28:F30" si="21">U28-SUM(C28:E28)</f>
        <v>0.13200000000000001</v>
      </c>
      <c r="G28" s="4">
        <v>0.154</v>
      </c>
      <c r="H28" s="4">
        <v>9.5000000000000001E-2</v>
      </c>
      <c r="I28" s="4">
        <v>9.1999999999999998E-2</v>
      </c>
      <c r="J28" s="4">
        <f t="shared" ref="J28" si="22">V28-SUM(G28:I28)</f>
        <v>0.13900000000000001</v>
      </c>
      <c r="K28" s="4">
        <v>0.13600000000000001</v>
      </c>
      <c r="L28" s="4">
        <v>8.8999999999999996E-2</v>
      </c>
      <c r="M28" s="4">
        <v>7.0999999999999994E-2</v>
      </c>
      <c r="N28" s="4">
        <f t="shared" ref="N28" si="23">W28-SUM(K28:M28)</f>
        <v>7.9000000000000015E-2</v>
      </c>
      <c r="O28" s="4">
        <v>6.9000000000000006E-2</v>
      </c>
      <c r="P28" s="4">
        <v>-1.4E-2</v>
      </c>
      <c r="Q28" s="4">
        <v>4.8000000000000001E-2</v>
      </c>
      <c r="R28" s="4">
        <f t="shared" ref="R28" si="24">X28-SUM(O28:Q28)</f>
        <v>-0.35399999999999998</v>
      </c>
      <c r="S28" s="4"/>
      <c r="T28" s="4"/>
      <c r="U28" s="4">
        <v>0.54100000000000004</v>
      </c>
      <c r="V28" s="4">
        <v>0.48</v>
      </c>
      <c r="W28" s="4">
        <v>0.375</v>
      </c>
      <c r="X28" s="4">
        <f>-0.397+0.146</f>
        <v>-0.251</v>
      </c>
      <c r="Y28" s="4">
        <f>X51*$AP$35</f>
        <v>-0.86</v>
      </c>
      <c r="Z28" s="4">
        <f t="shared" ref="Z28:AM28" si="25">Y51*$AP$35</f>
        <v>-5.3119572869379968E-2</v>
      </c>
      <c r="AA28" s="4">
        <f t="shared" si="25"/>
        <v>0.78456257926851236</v>
      </c>
      <c r="AB28" s="4">
        <f t="shared" si="25"/>
        <v>1.6116910776081343</v>
      </c>
      <c r="AC28" s="4">
        <f t="shared" si="25"/>
        <v>2.3564783093533839</v>
      </c>
      <c r="AD28" s="4">
        <f t="shared" si="25"/>
        <v>2.899819931480164</v>
      </c>
      <c r="AE28" s="4">
        <f t="shared" si="25"/>
        <v>2.9772834753392932</v>
      </c>
      <c r="AF28" s="4">
        <f t="shared" si="25"/>
        <v>3.2284797878134408</v>
      </c>
      <c r="AG28" s="4">
        <f t="shared" si="25"/>
        <v>3.5359965027011722</v>
      </c>
      <c r="AH28" s="4">
        <f t="shared" si="25"/>
        <v>3.908215359253786</v>
      </c>
      <c r="AI28" s="4">
        <f t="shared" si="25"/>
        <v>4.3544977350766336</v>
      </c>
      <c r="AJ28" s="4">
        <f t="shared" si="25"/>
        <v>4.8852897784137603</v>
      </c>
      <c r="AK28" s="4">
        <f t="shared" si="25"/>
        <v>5.5122384578476504</v>
      </c>
      <c r="AL28" s="4">
        <f t="shared" si="25"/>
        <v>6.2483196465903221</v>
      </c>
      <c r="AM28" s="4">
        <f t="shared" si="25"/>
        <v>7.1079794719000748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spans="2:165" s="3" customFormat="1" x14ac:dyDescent="0.2">
      <c r="B29" s="3" t="s">
        <v>39</v>
      </c>
      <c r="C29" s="4">
        <f>C27+C28</f>
        <v>4.5450000000000026</v>
      </c>
      <c r="D29" s="4">
        <f>D27+D28</f>
        <v>5.9869999999999948</v>
      </c>
      <c r="E29" s="4">
        <f>E27+E28</f>
        <v>7.208000000000002</v>
      </c>
      <c r="F29" s="4">
        <f>F27+F28</f>
        <v>6.9579999999999878</v>
      </c>
      <c r="G29" s="4">
        <f>G27+G28</f>
        <v>7.9689999999999905</v>
      </c>
      <c r="H29" s="4">
        <f>H27+H28</f>
        <v>8.6400000000000023</v>
      </c>
      <c r="I29" s="4">
        <f>I27+I28</f>
        <v>8.8530000000000015</v>
      </c>
      <c r="J29" s="4">
        <f>J27+J28</f>
        <v>9.1359999999999992</v>
      </c>
      <c r="K29" s="4">
        <f>K27+K28</f>
        <v>7.5060000000000011</v>
      </c>
      <c r="L29" s="4">
        <f>L27+L28</f>
        <v>7.7080000000000002</v>
      </c>
      <c r="M29" s="4">
        <f>M27+M28</f>
        <v>10.246999999999995</v>
      </c>
      <c r="N29" s="4">
        <f>N27+N28</f>
        <v>7.1619999999999946</v>
      </c>
      <c r="O29" s="4">
        <f>O27+O28</f>
        <v>8.4219999999999988</v>
      </c>
      <c r="P29" s="4">
        <f>P27+P28</f>
        <v>-1.5710000000000022</v>
      </c>
      <c r="Q29" s="4">
        <f>Q27+Q28</f>
        <v>14.958999999999994</v>
      </c>
      <c r="R29" s="4">
        <f>R27+R28</f>
        <v>18.706999999999994</v>
      </c>
      <c r="S29" s="4"/>
      <c r="T29" s="4"/>
      <c r="U29" s="4">
        <f>U27+U28</f>
        <v>24.698000000000011</v>
      </c>
      <c r="V29" s="4">
        <f>V27+V28</f>
        <v>34.598000000000006</v>
      </c>
      <c r="W29" s="4">
        <f>W27+W28</f>
        <v>32.623000000000005</v>
      </c>
      <c r="X29" s="4">
        <f>X27+X28</f>
        <v>40.517000000000003</v>
      </c>
      <c r="Y29" s="4">
        <f t="shared" ref="Y29:AM29" si="26">Y27+Y28</f>
        <v>89.653380792291117</v>
      </c>
      <c r="Z29" s="4">
        <f t="shared" si="26"/>
        <v>93.075794681988043</v>
      </c>
      <c r="AA29" s="4">
        <f t="shared" si="26"/>
        <v>91.903166482180211</v>
      </c>
      <c r="AB29" s="4">
        <f t="shared" si="26"/>
        <v>82.754136860583259</v>
      </c>
      <c r="AC29" s="4">
        <f t="shared" si="26"/>
        <v>60.371291347420062</v>
      </c>
      <c r="AD29" s="4">
        <f t="shared" si="26"/>
        <v>8.6070604287921064</v>
      </c>
      <c r="AE29" s="4">
        <f t="shared" si="26"/>
        <v>27.910701386016413</v>
      </c>
      <c r="AF29" s="4">
        <f t="shared" si="26"/>
        <v>34.168523876414596</v>
      </c>
      <c r="AG29" s="4">
        <f t="shared" si="26"/>
        <v>41.357650728068243</v>
      </c>
      <c r="AH29" s="4">
        <f t="shared" si="26"/>
        <v>49.586930646983078</v>
      </c>
      <c r="AI29" s="4">
        <f t="shared" si="26"/>
        <v>58.976893704125146</v>
      </c>
      <c r="AJ29" s="4">
        <f t="shared" si="26"/>
        <v>69.660964381543224</v>
      </c>
      <c r="AK29" s="4">
        <f t="shared" si="26"/>
        <v>81.786798749185806</v>
      </c>
      <c r="AL29" s="4">
        <f t="shared" si="26"/>
        <v>95.517758367750304</v>
      </c>
      <c r="AM29" s="4">
        <f t="shared" si="26"/>
        <v>111.0345347837366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2:165" s="3" customFormat="1" x14ac:dyDescent="0.2">
      <c r="B30" s="3" t="s">
        <v>40</v>
      </c>
      <c r="C30" s="4">
        <v>-11.815</v>
      </c>
      <c r="D30" s="4">
        <v>6.4000000000000001E-2</v>
      </c>
      <c r="E30" s="4">
        <v>0.23</v>
      </c>
      <c r="F30" s="4">
        <f t="shared" si="21"/>
        <v>-2.338000000000001</v>
      </c>
      <c r="G30" s="4">
        <v>6.3E-2</v>
      </c>
      <c r="H30" s="4">
        <v>2.7E-2</v>
      </c>
      <c r="I30" s="4">
        <v>0.09</v>
      </c>
      <c r="J30" s="4">
        <f t="shared" ref="J30" si="27">V30-SUM(G30:I30)</f>
        <v>-9.7349999999999994</v>
      </c>
      <c r="K30" s="4">
        <v>0.17199999999999999</v>
      </c>
      <c r="L30" s="4">
        <v>-3.4660000000000002</v>
      </c>
      <c r="M30" s="4">
        <v>-8.5000000000000006E-2</v>
      </c>
      <c r="N30" s="4">
        <f t="shared" ref="N30" si="28">W30-SUM(K30:M30)</f>
        <v>-9.3179999999999996</v>
      </c>
      <c r="O30" s="4">
        <v>-1.1200000000000001</v>
      </c>
      <c r="P30" s="4">
        <v>-4.7350000000000003</v>
      </c>
      <c r="Q30" s="4">
        <v>5.7649999999999997</v>
      </c>
      <c r="R30" s="4">
        <f t="shared" ref="R30" si="29">X30-SUM(O30:Q30)</f>
        <v>-1.2829999999999993</v>
      </c>
      <c r="S30" s="4"/>
      <c r="T30" s="4"/>
      <c r="U30" s="4">
        <v>-13.859</v>
      </c>
      <c r="V30" s="4">
        <v>-9.5549999999999997</v>
      </c>
      <c r="W30" s="4">
        <v>-12.696999999999999</v>
      </c>
      <c r="X30" s="4">
        <v>-1.373</v>
      </c>
      <c r="Y30" s="4">
        <f>Y29*0.1</f>
        <v>8.9653380792291113</v>
      </c>
      <c r="Z30" s="4">
        <f t="shared" ref="Z30:AM30" si="30">Z29*0.1</f>
        <v>9.3075794681988047</v>
      </c>
      <c r="AA30" s="4">
        <f t="shared" si="30"/>
        <v>9.1903166482180207</v>
      </c>
      <c r="AB30" s="4">
        <f t="shared" si="30"/>
        <v>8.2754136860583269</v>
      </c>
      <c r="AC30" s="4">
        <f t="shared" si="30"/>
        <v>6.0371291347420062</v>
      </c>
      <c r="AD30" s="4">
        <f t="shared" si="30"/>
        <v>0.86070604287921071</v>
      </c>
      <c r="AE30" s="4">
        <f t="shared" si="30"/>
        <v>2.7910701386016417</v>
      </c>
      <c r="AF30" s="4">
        <f t="shared" si="30"/>
        <v>3.4168523876414598</v>
      </c>
      <c r="AG30" s="4">
        <f t="shared" si="30"/>
        <v>4.1357650728068247</v>
      </c>
      <c r="AH30" s="4">
        <f t="shared" si="30"/>
        <v>4.9586930646983083</v>
      </c>
      <c r="AI30" s="4">
        <f t="shared" si="30"/>
        <v>5.8976893704125146</v>
      </c>
      <c r="AJ30" s="4">
        <f t="shared" si="30"/>
        <v>6.9660964381543229</v>
      </c>
      <c r="AK30" s="4">
        <f t="shared" si="30"/>
        <v>8.1786798749185809</v>
      </c>
      <c r="AL30" s="4">
        <f t="shared" si="30"/>
        <v>9.5517758367750307</v>
      </c>
      <c r="AM30" s="4">
        <f t="shared" si="30"/>
        <v>11.103453478373661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2:165" s="3" customFormat="1" x14ac:dyDescent="0.2">
      <c r="B31" s="3" t="s">
        <v>41</v>
      </c>
      <c r="C31" s="4">
        <f>C29-C30</f>
        <v>16.360000000000003</v>
      </c>
      <c r="D31" s="4">
        <f>D29-D30</f>
        <v>5.9229999999999947</v>
      </c>
      <c r="E31" s="4">
        <f>E29-E30</f>
        <v>6.9780000000000015</v>
      </c>
      <c r="F31" s="4">
        <f>F29-F30</f>
        <v>9.2959999999999887</v>
      </c>
      <c r="G31" s="4">
        <f>G29-G30</f>
        <v>7.9059999999999908</v>
      </c>
      <c r="H31" s="4">
        <f>H29-H30</f>
        <v>8.6130000000000031</v>
      </c>
      <c r="I31" s="4">
        <f>I29-I30</f>
        <v>8.7630000000000017</v>
      </c>
      <c r="J31" s="4">
        <f>J29-J30</f>
        <v>18.870999999999999</v>
      </c>
      <c r="K31" s="4">
        <f>K29-K30</f>
        <v>7.3340000000000014</v>
      </c>
      <c r="L31" s="4">
        <f>L29-L30</f>
        <v>11.173999999999999</v>
      </c>
      <c r="M31" s="4">
        <f>M29-M30</f>
        <v>10.331999999999995</v>
      </c>
      <c r="N31" s="4">
        <f>N29-N30</f>
        <v>16.479999999999993</v>
      </c>
      <c r="O31" s="4">
        <f>O29-O30</f>
        <v>9.541999999999998</v>
      </c>
      <c r="P31" s="4">
        <f>P29-P30</f>
        <v>3.1639999999999979</v>
      </c>
      <c r="Q31" s="4">
        <f>Q29-Q30</f>
        <v>9.1939999999999955</v>
      </c>
      <c r="R31" s="4">
        <f>R29-R30</f>
        <v>19.989999999999991</v>
      </c>
      <c r="S31" s="4"/>
      <c r="T31" s="4"/>
      <c r="U31" s="4">
        <f>U29-U30</f>
        <v>38.557000000000009</v>
      </c>
      <c r="V31" s="4">
        <f>V29-V30</f>
        <v>44.153000000000006</v>
      </c>
      <c r="W31" s="4">
        <f>W29-W30</f>
        <v>45.320000000000007</v>
      </c>
      <c r="X31" s="4">
        <f>X29-X30</f>
        <v>41.89</v>
      </c>
      <c r="Y31" s="4">
        <f t="shared" ref="Y31:AM31" si="31">Y29-Y30</f>
        <v>80.688042713062003</v>
      </c>
      <c r="Z31" s="4">
        <f t="shared" si="31"/>
        <v>83.768215213789233</v>
      </c>
      <c r="AA31" s="4">
        <f t="shared" si="31"/>
        <v>82.712849833962196</v>
      </c>
      <c r="AB31" s="4">
        <f t="shared" si="31"/>
        <v>74.47872317452493</v>
      </c>
      <c r="AC31" s="4">
        <f t="shared" si="31"/>
        <v>54.334162212678052</v>
      </c>
      <c r="AD31" s="4">
        <f t="shared" si="31"/>
        <v>7.7463543859128956</v>
      </c>
      <c r="AE31" s="4">
        <f t="shared" si="31"/>
        <v>25.119631247414773</v>
      </c>
      <c r="AF31" s="4">
        <f t="shared" si="31"/>
        <v>30.751671488773137</v>
      </c>
      <c r="AG31" s="4">
        <f t="shared" si="31"/>
        <v>37.221885655261417</v>
      </c>
      <c r="AH31" s="4">
        <f t="shared" si="31"/>
        <v>44.628237582284768</v>
      </c>
      <c r="AI31" s="4">
        <f t="shared" si="31"/>
        <v>53.079204333712632</v>
      </c>
      <c r="AJ31" s="4">
        <f t="shared" si="31"/>
        <v>62.6948679433889</v>
      </c>
      <c r="AK31" s="4">
        <f t="shared" si="31"/>
        <v>73.60811887426722</v>
      </c>
      <c r="AL31" s="4">
        <f t="shared" si="31"/>
        <v>85.965982530975268</v>
      </c>
      <c r="AM31" s="4">
        <f t="shared" si="31"/>
        <v>99.931081305362937</v>
      </c>
      <c r="AN31" s="4">
        <f>AM31*(1+$AP$36)</f>
        <v>98.931770492309312</v>
      </c>
      <c r="AO31" s="4">
        <f t="shared" ref="AO31:CZ31" si="32">AN31*(1+$AP$36)</f>
        <v>97.942452787386216</v>
      </c>
      <c r="AP31" s="4">
        <f t="shared" si="32"/>
        <v>96.963028259512356</v>
      </c>
      <c r="AQ31" s="4">
        <f t="shared" si="32"/>
        <v>95.993397976917237</v>
      </c>
      <c r="AR31" s="4">
        <f t="shared" si="32"/>
        <v>95.033463997148061</v>
      </c>
      <c r="AS31" s="4">
        <f t="shared" si="32"/>
        <v>94.083129357176574</v>
      </c>
      <c r="AT31" s="4">
        <f t="shared" si="32"/>
        <v>93.142298063604812</v>
      </c>
      <c r="AU31" s="4">
        <f t="shared" si="32"/>
        <v>92.210875082968769</v>
      </c>
      <c r="AV31" s="4">
        <f t="shared" si="32"/>
        <v>91.288766332139076</v>
      </c>
      <c r="AW31" s="4">
        <f t="shared" si="32"/>
        <v>90.375878668817691</v>
      </c>
      <c r="AX31" s="4">
        <f t="shared" si="32"/>
        <v>89.472119882129519</v>
      </c>
      <c r="AY31" s="4">
        <f t="shared" si="32"/>
        <v>88.577398683308218</v>
      </c>
      <c r="AZ31" s="4">
        <f t="shared" si="32"/>
        <v>87.691624696475131</v>
      </c>
      <c r="BA31" s="4">
        <f t="shared" si="32"/>
        <v>86.814708449510377</v>
      </c>
      <c r="BB31" s="4">
        <f t="shared" si="32"/>
        <v>85.94656136501527</v>
      </c>
      <c r="BC31" s="4">
        <f t="shared" si="32"/>
        <v>85.087095751365112</v>
      </c>
      <c r="BD31" s="4">
        <f t="shared" si="32"/>
        <v>84.236224793851463</v>
      </c>
      <c r="BE31" s="4">
        <f t="shared" si="32"/>
        <v>83.393862545912953</v>
      </c>
      <c r="BF31" s="4">
        <f t="shared" si="32"/>
        <v>82.559923920453826</v>
      </c>
      <c r="BG31" s="4">
        <f t="shared" si="32"/>
        <v>81.734324681249291</v>
      </c>
      <c r="BH31" s="4">
        <f t="shared" si="32"/>
        <v>80.916981434436792</v>
      </c>
      <c r="BI31" s="4">
        <f t="shared" si="32"/>
        <v>80.10781162009242</v>
      </c>
      <c r="BJ31" s="4">
        <f t="shared" si="32"/>
        <v>79.306733503891493</v>
      </c>
      <c r="BK31" s="4">
        <f t="shared" si="32"/>
        <v>78.513666168852581</v>
      </c>
      <c r="BL31" s="4">
        <f t="shared" si="32"/>
        <v>77.728529507164055</v>
      </c>
      <c r="BM31" s="4">
        <f t="shared" si="32"/>
        <v>76.951244212092419</v>
      </c>
      <c r="BN31" s="4">
        <f t="shared" si="32"/>
        <v>76.181731769971492</v>
      </c>
      <c r="BO31" s="4">
        <f t="shared" si="32"/>
        <v>75.419914452271783</v>
      </c>
      <c r="BP31" s="4">
        <f t="shared" si="32"/>
        <v>74.665715307749068</v>
      </c>
      <c r="BQ31" s="4">
        <f t="shared" si="32"/>
        <v>73.919058154671575</v>
      </c>
      <c r="BR31" s="4">
        <f t="shared" si="32"/>
        <v>73.179867573124852</v>
      </c>
      <c r="BS31" s="4">
        <f t="shared" si="32"/>
        <v>72.448068897393597</v>
      </c>
      <c r="BT31" s="4">
        <f t="shared" si="32"/>
        <v>71.723588208419656</v>
      </c>
      <c r="BU31" s="4">
        <f t="shared" si="32"/>
        <v>71.00635232633546</v>
      </c>
      <c r="BV31" s="4">
        <f t="shared" si="32"/>
        <v>70.296288803072102</v>
      </c>
      <c r="BW31" s="4">
        <f t="shared" si="32"/>
        <v>69.593325915041376</v>
      </c>
      <c r="BX31" s="4">
        <f t="shared" si="32"/>
        <v>68.897392655890968</v>
      </c>
      <c r="BY31" s="4">
        <f t="shared" si="32"/>
        <v>68.208418729332053</v>
      </c>
      <c r="BZ31" s="4">
        <f t="shared" si="32"/>
        <v>67.526334542038725</v>
      </c>
      <c r="CA31" s="4">
        <f t="shared" si="32"/>
        <v>66.851071196618335</v>
      </c>
      <c r="CB31" s="4">
        <f t="shared" si="32"/>
        <v>66.182560484652157</v>
      </c>
      <c r="CC31" s="4">
        <f t="shared" si="32"/>
        <v>65.52073487980563</v>
      </c>
      <c r="CD31" s="4">
        <f t="shared" si="32"/>
        <v>64.865527531007572</v>
      </c>
      <c r="CE31" s="4">
        <f t="shared" si="32"/>
        <v>64.216872255697496</v>
      </c>
      <c r="CF31" s="4">
        <f t="shared" si="32"/>
        <v>63.574703533140521</v>
      </c>
      <c r="CG31" s="4">
        <f t="shared" si="32"/>
        <v>62.938956497809116</v>
      </c>
      <c r="CH31" s="4">
        <f t="shared" si="32"/>
        <v>62.309566932831025</v>
      </c>
      <c r="CI31" s="4">
        <f t="shared" si="32"/>
        <v>61.686471263502717</v>
      </c>
      <c r="CJ31" s="4">
        <f t="shared" si="32"/>
        <v>61.06960655086769</v>
      </c>
      <c r="CK31" s="4">
        <f t="shared" si="32"/>
        <v>60.458910485359013</v>
      </c>
      <c r="CL31" s="4">
        <f t="shared" si="32"/>
        <v>59.854321380505425</v>
      </c>
      <c r="CM31" s="4">
        <f t="shared" si="32"/>
        <v>59.255778166700374</v>
      </c>
      <c r="CN31" s="4">
        <f t="shared" si="32"/>
        <v>58.66322038503337</v>
      </c>
      <c r="CO31" s="4">
        <f t="shared" si="32"/>
        <v>58.076588181183034</v>
      </c>
      <c r="CP31" s="4">
        <f t="shared" si="32"/>
        <v>57.495822299371206</v>
      </c>
      <c r="CQ31" s="4">
        <f t="shared" si="32"/>
        <v>56.920864076377491</v>
      </c>
      <c r="CR31" s="4">
        <f t="shared" si="32"/>
        <v>56.351655435613715</v>
      </c>
      <c r="CS31" s="4">
        <f t="shared" si="32"/>
        <v>55.788138881257581</v>
      </c>
      <c r="CT31" s="4">
        <f t="shared" si="32"/>
        <v>55.230257492445006</v>
      </c>
      <c r="CU31" s="4">
        <f t="shared" si="32"/>
        <v>54.677954917520552</v>
      </c>
      <c r="CV31" s="4">
        <f t="shared" si="32"/>
        <v>54.131175368345346</v>
      </c>
      <c r="CW31" s="4">
        <f t="shared" si="32"/>
        <v>53.589863614661894</v>
      </c>
      <c r="CX31" s="4">
        <f t="shared" si="32"/>
        <v>53.053964978515275</v>
      </c>
      <c r="CY31" s="4">
        <f t="shared" si="32"/>
        <v>52.52342532873012</v>
      </c>
      <c r="CZ31" s="4">
        <f t="shared" si="32"/>
        <v>51.998191075442818</v>
      </c>
      <c r="DA31" s="4">
        <f t="shared" ref="DA31:FI31" si="33">CZ31*(1+$AP$36)</f>
        <v>51.478209164688387</v>
      </c>
      <c r="DB31" s="4">
        <f t="shared" si="33"/>
        <v>50.963427073041501</v>
      </c>
      <c r="DC31" s="4">
        <f t="shared" si="33"/>
        <v>50.453792802311085</v>
      </c>
      <c r="DD31" s="4">
        <f t="shared" si="33"/>
        <v>49.949254874287973</v>
      </c>
      <c r="DE31" s="4">
        <f t="shared" si="33"/>
        <v>49.449762325545095</v>
      </c>
      <c r="DF31" s="4">
        <f t="shared" si="33"/>
        <v>48.955264702289647</v>
      </c>
      <c r="DG31" s="4">
        <f t="shared" si="33"/>
        <v>48.465712055266749</v>
      </c>
      <c r="DH31" s="4">
        <f t="shared" si="33"/>
        <v>47.981054934714081</v>
      </c>
      <c r="DI31" s="4">
        <f t="shared" si="33"/>
        <v>47.501244385366938</v>
      </c>
      <c r="DJ31" s="4">
        <f t="shared" si="33"/>
        <v>47.026231941513267</v>
      </c>
      <c r="DK31" s="4">
        <f t="shared" si="33"/>
        <v>46.555969622098132</v>
      </c>
      <c r="DL31" s="4">
        <f t="shared" si="33"/>
        <v>46.090409925877154</v>
      </c>
      <c r="DM31" s="4">
        <f t="shared" si="33"/>
        <v>45.629505826618384</v>
      </c>
      <c r="DN31" s="4">
        <f t="shared" si="33"/>
        <v>45.173210768352199</v>
      </c>
      <c r="DO31" s="4">
        <f t="shared" si="33"/>
        <v>44.721478660668673</v>
      </c>
      <c r="DP31" s="4">
        <f t="shared" si="33"/>
        <v>44.274263874061987</v>
      </c>
      <c r="DQ31" s="4">
        <f t="shared" si="33"/>
        <v>43.831521235321368</v>
      </c>
      <c r="DR31" s="4">
        <f t="shared" si="33"/>
        <v>43.393206022968151</v>
      </c>
      <c r="DS31" s="4">
        <f t="shared" si="33"/>
        <v>42.959273962738472</v>
      </c>
      <c r="DT31" s="4">
        <f t="shared" si="33"/>
        <v>42.529681223111083</v>
      </c>
      <c r="DU31" s="4">
        <f t="shared" si="33"/>
        <v>42.104384410879973</v>
      </c>
      <c r="DV31" s="4">
        <f t="shared" si="33"/>
        <v>41.683340566771172</v>
      </c>
      <c r="DW31" s="4">
        <f t="shared" si="33"/>
        <v>41.266507161103462</v>
      </c>
      <c r="DX31" s="4">
        <f t="shared" si="33"/>
        <v>40.853842089492424</v>
      </c>
      <c r="DY31" s="4">
        <f t="shared" si="33"/>
        <v>40.445303668597496</v>
      </c>
      <c r="DZ31" s="4">
        <f t="shared" si="33"/>
        <v>40.040850631911518</v>
      </c>
      <c r="EA31" s="4">
        <f t="shared" si="33"/>
        <v>39.640442125592401</v>
      </c>
      <c r="EB31" s="4">
        <f t="shared" si="33"/>
        <v>39.244037704336478</v>
      </c>
      <c r="EC31" s="4">
        <f t="shared" si="33"/>
        <v>38.851597327293113</v>
      </c>
      <c r="ED31" s="4">
        <f t="shared" si="33"/>
        <v>38.463081354020183</v>
      </c>
      <c r="EE31" s="4">
        <f t="shared" si="33"/>
        <v>38.078450540479977</v>
      </c>
      <c r="EF31" s="4">
        <f t="shared" si="33"/>
        <v>37.69766603507518</v>
      </c>
      <c r="EG31" s="4">
        <f t="shared" si="33"/>
        <v>37.320689374724431</v>
      </c>
      <c r="EH31" s="4">
        <f t="shared" si="33"/>
        <v>36.947482480977186</v>
      </c>
      <c r="EI31" s="4">
        <f t="shared" si="33"/>
        <v>36.578007656167415</v>
      </c>
      <c r="EJ31" s="4">
        <f t="shared" si="33"/>
        <v>36.212227579605738</v>
      </c>
      <c r="EK31" s="4">
        <f t="shared" si="33"/>
        <v>35.850105303809677</v>
      </c>
      <c r="EL31" s="4">
        <f t="shared" si="33"/>
        <v>35.49160425077158</v>
      </c>
      <c r="EM31" s="4">
        <f t="shared" si="33"/>
        <v>35.136688208263863</v>
      </c>
      <c r="EN31" s="4">
        <f t="shared" si="33"/>
        <v>34.785321326181226</v>
      </c>
      <c r="EO31" s="4">
        <f t="shared" si="33"/>
        <v>34.437468112919412</v>
      </c>
      <c r="EP31" s="4">
        <f t="shared" si="33"/>
        <v>34.093093431790216</v>
      </c>
      <c r="EQ31" s="4">
        <f t="shared" si="33"/>
        <v>33.752162497472312</v>
      </c>
      <c r="ER31" s="4">
        <f t="shared" si="33"/>
        <v>33.414640872497586</v>
      </c>
      <c r="ES31" s="4">
        <f t="shared" si="33"/>
        <v>33.080494463772609</v>
      </c>
      <c r="ET31" s="4">
        <f t="shared" si="33"/>
        <v>32.749689519134883</v>
      </c>
      <c r="EU31" s="4">
        <f t="shared" si="33"/>
        <v>32.422192623943531</v>
      </c>
      <c r="EV31" s="4">
        <f t="shared" si="33"/>
        <v>32.097970697704092</v>
      </c>
      <c r="EW31" s="4">
        <f t="shared" si="33"/>
        <v>31.77699099072705</v>
      </c>
      <c r="EX31" s="4">
        <f t="shared" si="33"/>
        <v>31.459221080819781</v>
      </c>
      <c r="EY31" s="4">
        <f t="shared" si="33"/>
        <v>31.144628870011584</v>
      </c>
      <c r="EZ31" s="4">
        <f t="shared" si="33"/>
        <v>30.833182581311469</v>
      </c>
      <c r="FA31" s="4">
        <f t="shared" si="33"/>
        <v>30.524850755498353</v>
      </c>
      <c r="FB31" s="4">
        <f t="shared" si="33"/>
        <v>30.219602247943367</v>
      </c>
      <c r="FC31" s="4">
        <f t="shared" si="33"/>
        <v>29.917406225463932</v>
      </c>
      <c r="FD31" s="4">
        <f t="shared" si="33"/>
        <v>29.618232163209292</v>
      </c>
      <c r="FE31" s="4">
        <f t="shared" si="33"/>
        <v>29.322049841577201</v>
      </c>
      <c r="FF31" s="4">
        <f t="shared" si="33"/>
        <v>29.02882934316143</v>
      </c>
      <c r="FG31" s="4">
        <f t="shared" si="33"/>
        <v>28.738541049729815</v>
      </c>
      <c r="FH31" s="4">
        <f t="shared" si="33"/>
        <v>28.451155639232518</v>
      </c>
      <c r="FI31" s="4">
        <f t="shared" si="33"/>
        <v>28.166644082840193</v>
      </c>
    </row>
    <row r="32" spans="2:165" s="3" customFormat="1" x14ac:dyDescent="0.2">
      <c r="B32" s="3" t="s">
        <v>1</v>
      </c>
      <c r="C32" s="4">
        <v>17.172999999999998</v>
      </c>
      <c r="D32" s="4">
        <v>17.196000000000002</v>
      </c>
      <c r="E32" s="4">
        <v>16.675000000000001</v>
      </c>
      <c r="F32" s="4">
        <v>16.675000000000001</v>
      </c>
      <c r="G32" s="4">
        <v>16</v>
      </c>
      <c r="H32" s="4">
        <v>16.163</v>
      </c>
      <c r="I32" s="4">
        <v>16.388999999999999</v>
      </c>
      <c r="J32" s="4">
        <v>16</v>
      </c>
      <c r="K32" s="4">
        <v>16.664000000000001</v>
      </c>
      <c r="L32" s="4">
        <v>16.378</v>
      </c>
      <c r="M32" s="4">
        <v>15.881</v>
      </c>
      <c r="N32" s="4">
        <v>16</v>
      </c>
      <c r="O32" s="4">
        <v>16.155999999999999</v>
      </c>
      <c r="P32" s="4">
        <v>16.402000000000001</v>
      </c>
      <c r="Q32" s="4">
        <v>17.516999999999999</v>
      </c>
      <c r="R32" s="4">
        <v>18</v>
      </c>
      <c r="S32" s="4"/>
      <c r="T32" s="4"/>
      <c r="U32" s="4">
        <v>16.792999999999999</v>
      </c>
      <c r="V32" s="4">
        <v>16.297999999999998</v>
      </c>
      <c r="W32" s="4">
        <v>16.417000000000002</v>
      </c>
      <c r="X32" s="4">
        <v>16.436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spans="2:64" s="7" customFormat="1" x14ac:dyDescent="0.2">
      <c r="B33" s="7" t="s">
        <v>42</v>
      </c>
      <c r="C33" s="8">
        <f>C31/C32</f>
        <v>0.95265824259011267</v>
      </c>
      <c r="D33" s="8">
        <f>D31/D32</f>
        <v>0.34444056757385405</v>
      </c>
      <c r="E33" s="8">
        <f>E31/E32</f>
        <v>0.41847076461769123</v>
      </c>
      <c r="F33" s="8">
        <f>F31/F32</f>
        <v>0.55748125937031412</v>
      </c>
      <c r="G33" s="8">
        <f>G31/G32</f>
        <v>0.49412499999999943</v>
      </c>
      <c r="H33" s="8">
        <f>H31/H32</f>
        <v>0.53288374682917794</v>
      </c>
      <c r="I33" s="8">
        <f>I31/I32</f>
        <v>0.53468790042101422</v>
      </c>
      <c r="J33" s="8">
        <f>J31/J32</f>
        <v>1.1794374999999999</v>
      </c>
      <c r="K33" s="8">
        <f>K31/K32</f>
        <v>0.44011041766682674</v>
      </c>
      <c r="L33" s="8">
        <f>L31/L32</f>
        <v>0.68225668579802168</v>
      </c>
      <c r="M33" s="8">
        <f>M31/M32</f>
        <v>0.6505887538568097</v>
      </c>
      <c r="N33" s="8">
        <f>N31/N32</f>
        <v>1.0299999999999996</v>
      </c>
      <c r="O33" s="8">
        <f>O31/O32</f>
        <v>0.59061648923000731</v>
      </c>
      <c r="P33" s="8">
        <f>P31/P32</f>
        <v>0.19290330447506387</v>
      </c>
      <c r="Q33" s="8">
        <f>Q31/Q32</f>
        <v>0.524861563053034</v>
      </c>
      <c r="R33" s="4">
        <f>R31/R32</f>
        <v>1.1105555555555551</v>
      </c>
      <c r="S33" s="8"/>
      <c r="T33" s="8"/>
      <c r="U33" s="8">
        <f>U31/U32</f>
        <v>2.2960161972250348</v>
      </c>
      <c r="V33" s="8">
        <f>V31/V32</f>
        <v>2.7091054117069584</v>
      </c>
      <c r="W33" s="8">
        <f t="shared" ref="W33:X33" si="34">W31/W32</f>
        <v>2.7605530852165439</v>
      </c>
      <c r="X33" s="8">
        <f t="shared" si="34"/>
        <v>2.548673643222195</v>
      </c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</row>
    <row r="34" spans="2:64" x14ac:dyDescent="0.2">
      <c r="P34" s="2" t="s">
        <v>30</v>
      </c>
      <c r="Q34" s="2" t="s">
        <v>30</v>
      </c>
      <c r="U34" s="2" t="s">
        <v>30</v>
      </c>
      <c r="V34" s="2" t="s">
        <v>30</v>
      </c>
      <c r="AO34" s="2" t="s">
        <v>84</v>
      </c>
      <c r="AP34" s="10">
        <v>7.0000000000000007E-2</v>
      </c>
    </row>
    <row r="35" spans="2:64" x14ac:dyDescent="0.2">
      <c r="AO35" s="2" t="s">
        <v>77</v>
      </c>
      <c r="AP35" s="10">
        <v>0.01</v>
      </c>
    </row>
    <row r="36" spans="2:64" s="9" customFormat="1" x14ac:dyDescent="0.2">
      <c r="B36" s="9" t="s">
        <v>43</v>
      </c>
      <c r="C36" s="10"/>
      <c r="D36" s="10"/>
      <c r="E36" s="10"/>
      <c r="F36" s="10"/>
      <c r="G36" s="10">
        <f t="shared" ref="G36" si="35">G15/C15-1</f>
        <v>0.13459159509419272</v>
      </c>
      <c r="H36" s="10">
        <f t="shared" ref="H36" si="36">H15/D15-1</f>
        <v>0.1375278988202786</v>
      </c>
      <c r="I36" s="10">
        <f t="shared" ref="I36" si="37">I15/E15-1</f>
        <v>7.4782429225000779E-2</v>
      </c>
      <c r="J36" s="10">
        <f t="shared" ref="J36" si="38">J15/F15-1</f>
        <v>7.6288659793814828E-2</v>
      </c>
      <c r="K36" s="10">
        <f t="shared" ref="K36" si="39">K15/G15-1</f>
        <v>3.7288557988848003E-2</v>
      </c>
      <c r="L36" s="10">
        <f t="shared" ref="L36" si="40">L15/H15-1</f>
        <v>6.7738017378305093E-2</v>
      </c>
      <c r="M36" s="10">
        <f t="shared" ref="M36" si="41">M15/I15-1</f>
        <v>0.21088174107857238</v>
      </c>
      <c r="N36" s="10">
        <f t="shared" ref="N36:P36" si="42">N15/J15-1</f>
        <v>0.29319614386355197</v>
      </c>
      <c r="O36" s="10">
        <f t="shared" si="42"/>
        <v>0.3229623400804853</v>
      </c>
      <c r="P36" s="10">
        <f t="shared" si="42"/>
        <v>0.41057052852642628</v>
      </c>
      <c r="Q36" s="10">
        <f>Q15/M15-1</f>
        <v>0.36567637574668299</v>
      </c>
      <c r="R36" s="10">
        <f>R15/N15-1</f>
        <v>0.66955773779657335</v>
      </c>
      <c r="S36" s="10"/>
      <c r="T36" s="10"/>
      <c r="U36" s="10"/>
      <c r="V36" s="10">
        <f>V15/U15-1</f>
        <v>0.10511754178158572</v>
      </c>
      <c r="W36" s="10">
        <f>W15/V15-1</f>
        <v>0.15216830048740793</v>
      </c>
      <c r="X36" s="10">
        <f>X15/W15-1</f>
        <v>0.45283121362948076</v>
      </c>
      <c r="Y36" s="10">
        <f t="shared" ref="Y36:AM36" si="43">Y15/X15-1</f>
        <v>0.38826574187025131</v>
      </c>
      <c r="Z36" s="10">
        <f t="shared" si="43"/>
        <v>0.11193614562125154</v>
      </c>
      <c r="AA36" s="10">
        <f t="shared" si="43"/>
        <v>0.11558480334201859</v>
      </c>
      <c r="AB36" s="10">
        <f t="shared" si="43"/>
        <v>0.11909380999754005</v>
      </c>
      <c r="AC36" s="10">
        <f t="shared" si="43"/>
        <v>0.12246241394968727</v>
      </c>
      <c r="AD36" s="10">
        <f t="shared" si="43"/>
        <v>9.9455444577911223E-2</v>
      </c>
      <c r="AE36" s="10">
        <f t="shared" si="43"/>
        <v>0.10083661698304591</v>
      </c>
      <c r="AF36" s="10">
        <f t="shared" si="43"/>
        <v>5.7848529742546617E-2</v>
      </c>
      <c r="AG36" s="10">
        <f t="shared" si="43"/>
        <v>5.8659092203307006E-2</v>
      </c>
      <c r="AH36" s="10">
        <f t="shared" si="43"/>
        <v>5.9467474651984986E-2</v>
      </c>
      <c r="AI36" s="10">
        <f t="shared" si="43"/>
        <v>6.0273524261301725E-2</v>
      </c>
      <c r="AJ36" s="10">
        <f t="shared" si="43"/>
        <v>6.1077070753235763E-2</v>
      </c>
      <c r="AK36" s="10">
        <f t="shared" si="43"/>
        <v>6.1877925584570059E-2</v>
      </c>
      <c r="AL36" s="10">
        <f t="shared" si="43"/>
        <v>6.2675881397964872E-2</v>
      </c>
      <c r="AM36" s="10">
        <f t="shared" si="43"/>
        <v>6.3470711743311981E-2</v>
      </c>
      <c r="AN36" s="10"/>
      <c r="AO36" s="10" t="s">
        <v>78</v>
      </c>
      <c r="AP36" s="10">
        <v>-0.01</v>
      </c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2:64" s="9" customFormat="1" x14ac:dyDescent="0.2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 t="s">
        <v>79</v>
      </c>
      <c r="AP37" s="13">
        <f>NPV(AP34,Y31:FI31)</f>
        <v>994.63981667562359</v>
      </c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2:64" s="9" customFormat="1" x14ac:dyDescent="0.2">
      <c r="B38" s="9" t="s">
        <v>73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>
        <f t="shared" ref="U38:X40" si="44">V22/U22-1</f>
        <v>1.7907366791381607E-2</v>
      </c>
      <c r="W38" s="10">
        <f t="shared" si="44"/>
        <v>0.10672006894978336</v>
      </c>
      <c r="X38" s="10">
        <f>X22/W22-1</f>
        <v>0.28596623834719082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 t="s">
        <v>80</v>
      </c>
      <c r="AP38" s="12">
        <v>17</v>
      </c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2:64" s="9" customFormat="1" x14ac:dyDescent="0.2">
      <c r="B39" s="9" t="s">
        <v>74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>
        <f t="shared" si="44"/>
        <v>6.9803768427218582E-2</v>
      </c>
      <c r="W39" s="10">
        <f t="shared" si="44"/>
        <v>0.21454645008213169</v>
      </c>
      <c r="X39" s="10">
        <f>X23/W23-1</f>
        <v>0.55616500112705691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 t="s">
        <v>81</v>
      </c>
      <c r="AP39" s="12">
        <f>AP37/AP38</f>
        <v>58.508224510330798</v>
      </c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2:64" s="9" customFormat="1" x14ac:dyDescent="0.2">
      <c r="B40" s="9" t="s">
        <v>75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>
        <f t="shared" si="44"/>
        <v>7.0779661016949103E-2</v>
      </c>
      <c r="W40" s="10">
        <f t="shared" si="44"/>
        <v>0.59218690642015948</v>
      </c>
      <c r="X40" s="10">
        <f>X24/W24-1</f>
        <v>0.6860460492305247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2:64" s="9" customFormat="1" x14ac:dyDescent="0.2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2:64" s="9" customFormat="1" x14ac:dyDescent="0.2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 t="s">
        <v>82</v>
      </c>
      <c r="AP42" s="8">
        <v>98</v>
      </c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2:64" s="9" customFormat="1" x14ac:dyDescent="0.2">
      <c r="B43" s="9" t="s">
        <v>44</v>
      </c>
      <c r="C43" s="10">
        <f t="shared" ref="C43:F43" si="45">(C10-C16)/C10</f>
        <v>0.80179548323748073</v>
      </c>
      <c r="D43" s="10">
        <f t="shared" si="45"/>
        <v>0.82420458197511592</v>
      </c>
      <c r="E43" s="10">
        <f t="shared" si="45"/>
        <v>0.83562370200167913</v>
      </c>
      <c r="F43" s="10">
        <f t="shared" si="45"/>
        <v>0.82426030213640822</v>
      </c>
      <c r="G43" s="10">
        <f t="shared" ref="G43:M43" si="46">(G10-G16)/G10</f>
        <v>0.8166854475209272</v>
      </c>
      <c r="H43" s="10">
        <f t="shared" si="46"/>
        <v>0.83867727418836391</v>
      </c>
      <c r="I43" s="10">
        <f t="shared" si="46"/>
        <v>0.84358294225668218</v>
      </c>
      <c r="J43" s="10">
        <f t="shared" si="46"/>
        <v>0.87812853221378984</v>
      </c>
      <c r="K43" s="10">
        <f t="shared" si="46"/>
        <v>0.82962211909682959</v>
      </c>
      <c r="L43" s="10">
        <f t="shared" si="46"/>
        <v>0.83473867984101635</v>
      </c>
      <c r="M43" s="10">
        <f t="shared" si="46"/>
        <v>0.82955717470140067</v>
      </c>
      <c r="N43" s="10">
        <f t="shared" ref="N43:P43" si="47">(N10-N16)/N10</f>
        <v>0.82627362055933484</v>
      </c>
      <c r="O43" s="10">
        <f t="shared" si="47"/>
        <v>0.82409043731941989</v>
      </c>
      <c r="P43" s="10">
        <f t="shared" si="47"/>
        <v>0.83419188667095945</v>
      </c>
      <c r="Q43" s="10">
        <f t="shared" ref="Q43:R43" si="48">(Q10-Q16)/Q10</f>
        <v>0.83967506475158937</v>
      </c>
      <c r="R43" s="10">
        <f t="shared" si="48"/>
        <v>0.85918349806617977</v>
      </c>
      <c r="S43" s="10"/>
      <c r="T43" s="10"/>
      <c r="U43" s="10"/>
      <c r="V43" s="10">
        <f t="shared" ref="V43:W43" si="49">(V10-V16)/V10</f>
        <v>0.8442426752042661</v>
      </c>
      <c r="W43" s="10">
        <f t="shared" si="49"/>
        <v>0.8298385423869451</v>
      </c>
      <c r="X43" s="10">
        <f>(X10-X16)/X10</f>
        <v>0.84170100525267155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2:64" s="9" customFormat="1" x14ac:dyDescent="0.2">
      <c r="B44" s="9" t="s">
        <v>45</v>
      </c>
      <c r="C44" s="10">
        <f t="shared" ref="C44:F44" si="50">(C11-C17)/C11</f>
        <v>0.6284041740900993</v>
      </c>
      <c r="D44" s="10">
        <f t="shared" si="50"/>
        <v>0.62977983777520274</v>
      </c>
      <c r="E44" s="10">
        <f t="shared" si="50"/>
        <v>0.63662374821173107</v>
      </c>
      <c r="F44" s="10">
        <f t="shared" si="50"/>
        <v>0.62780386019822643</v>
      </c>
      <c r="G44" s="10">
        <f t="shared" ref="G44:M44" si="51">(G11-G17)/G11</f>
        <v>0.63695263628239496</v>
      </c>
      <c r="H44" s="10">
        <f t="shared" si="51"/>
        <v>0.66085889570552159</v>
      </c>
      <c r="I44" s="10">
        <f t="shared" si="51"/>
        <v>0.66151866151866157</v>
      </c>
      <c r="J44" s="10">
        <f t="shared" si="51"/>
        <v>0.66891891891891864</v>
      </c>
      <c r="K44" s="10">
        <f t="shared" si="51"/>
        <v>0.66572729243442452</v>
      </c>
      <c r="L44" s="10">
        <f t="shared" si="51"/>
        <v>0.67332490518331234</v>
      </c>
      <c r="M44" s="10">
        <f t="shared" si="51"/>
        <v>0.6683870967741935</v>
      </c>
      <c r="N44" s="10">
        <f t="shared" ref="N44:P44" si="52">(N11-N17)/N11</f>
        <v>0.68536036036036019</v>
      </c>
      <c r="O44" s="10">
        <f t="shared" si="52"/>
        <v>0.66244992620704202</v>
      </c>
      <c r="P44" s="10">
        <f t="shared" si="52"/>
        <v>0.66393442622950816</v>
      </c>
      <c r="Q44" s="10">
        <f t="shared" ref="Q44:R44" si="53">(Q11-Q17)/Q11</f>
        <v>0.67469592177438586</v>
      </c>
      <c r="R44" s="10">
        <f t="shared" si="53"/>
        <v>0.69056529446523551</v>
      </c>
      <c r="S44" s="10"/>
      <c r="T44" s="10"/>
      <c r="U44" s="10"/>
      <c r="V44" s="10">
        <f t="shared" ref="V44:X45" si="54">(V11-V17)/V11</f>
        <v>0.65657418576598314</v>
      </c>
      <c r="W44" s="10">
        <f t="shared" si="54"/>
        <v>0.6732808150210271</v>
      </c>
      <c r="X44" s="10">
        <f t="shared" si="54"/>
        <v>0.67341245966198104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2:64" s="9" customFormat="1" x14ac:dyDescent="0.2">
      <c r="B45" s="9" t="s">
        <v>46</v>
      </c>
      <c r="C45" s="10">
        <f t="shared" ref="C45:F45" si="55">(C12-C18)/C12</f>
        <v>0.67809867629362208</v>
      </c>
      <c r="D45" s="10">
        <f t="shared" si="55"/>
        <v>0.66980023501762631</v>
      </c>
      <c r="E45" s="10">
        <f t="shared" si="55"/>
        <v>0.67700112739571594</v>
      </c>
      <c r="F45" s="10">
        <f t="shared" si="55"/>
        <v>0.66498486377396571</v>
      </c>
      <c r="G45" s="10">
        <f t="shared" ref="G45:M45" si="56">(G12-G18)/G12</f>
        <v>0.63287514318442151</v>
      </c>
      <c r="H45" s="10">
        <f t="shared" si="56"/>
        <v>0.64736567553468971</v>
      </c>
      <c r="I45" s="10">
        <f t="shared" si="56"/>
        <v>0.64455231930960089</v>
      </c>
      <c r="J45" s="10">
        <f t="shared" si="56"/>
        <v>0.64514514514514509</v>
      </c>
      <c r="K45" s="10">
        <f t="shared" si="56"/>
        <v>0.65479177119919718</v>
      </c>
      <c r="L45" s="10">
        <f t="shared" si="56"/>
        <v>0.64973131411822183</v>
      </c>
      <c r="M45" s="10">
        <f t="shared" si="56"/>
        <v>0.64279661016949152</v>
      </c>
      <c r="N45" s="10">
        <f t="shared" ref="N45:P45" si="57">(N12-N18)/N12</f>
        <v>0.65850195243166487</v>
      </c>
      <c r="O45" s="10">
        <f t="shared" si="57"/>
        <v>0.65326821938392188</v>
      </c>
      <c r="P45" s="10">
        <f t="shared" si="57"/>
        <v>0.64766248574686425</v>
      </c>
      <c r="Q45" s="10">
        <f t="shared" ref="Q45:R45" si="58">(Q12-Q18)/Q12</f>
        <v>0.64345403899721454</v>
      </c>
      <c r="R45" s="10">
        <f t="shared" si="58"/>
        <v>0.68466632705043307</v>
      </c>
      <c r="S45" s="10"/>
      <c r="T45" s="10"/>
      <c r="U45" s="10"/>
      <c r="V45" s="10">
        <f t="shared" si="54"/>
        <v>0.64271457085828343</v>
      </c>
      <c r="W45" s="10">
        <f t="shared" si="54"/>
        <v>0.65173049799283933</v>
      </c>
      <c r="X45" s="10">
        <f t="shared" si="54"/>
        <v>0.66041595635867711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 t="s">
        <v>83</v>
      </c>
      <c r="AP45" s="10">
        <f>AP39/AP42-1</f>
        <v>-0.40297730091499184</v>
      </c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2:64" s="9" customFormat="1" x14ac:dyDescent="0.2">
      <c r="B46" s="9" t="s">
        <v>47</v>
      </c>
      <c r="C46" s="10">
        <f t="shared" ref="C46:F46" si="59">C21/C15</f>
        <v>0.74329339412575557</v>
      </c>
      <c r="D46" s="10">
        <f t="shared" si="59"/>
        <v>0.76483508697346503</v>
      </c>
      <c r="E46" s="10">
        <f t="shared" si="59"/>
        <v>0.77668466857005258</v>
      </c>
      <c r="F46" s="10">
        <f t="shared" si="59"/>
        <v>0.75513801130695046</v>
      </c>
      <c r="G46" s="10">
        <f t="shared" ref="G46:M46" si="60">G21/G15</f>
        <v>0.76162736363353156</v>
      </c>
      <c r="H46" s="10">
        <f t="shared" si="60"/>
        <v>0.77925192313681524</v>
      </c>
      <c r="I46" s="10">
        <f t="shared" si="60"/>
        <v>0.78927828452552407</v>
      </c>
      <c r="J46" s="10">
        <f t="shared" si="60"/>
        <v>0.8091706834754665</v>
      </c>
      <c r="K46" s="10">
        <f t="shared" si="60"/>
        <v>0.77641299777764428</v>
      </c>
      <c r="L46" s="10">
        <f t="shared" si="60"/>
        <v>0.77785555944463891</v>
      </c>
      <c r="M46" s="10">
        <f t="shared" si="60"/>
        <v>0.77417138023999577</v>
      </c>
      <c r="N46" s="10">
        <f t="shared" ref="N46:P46" si="61">N21/N15</f>
        <v>0.77776981339449958</v>
      </c>
      <c r="O46" s="10">
        <f t="shared" si="61"/>
        <v>0.78150821756106414</v>
      </c>
      <c r="P46" s="10">
        <f t="shared" si="61"/>
        <v>0.79449958643507024</v>
      </c>
      <c r="Q46" s="10">
        <f t="shared" ref="Q46:R46" si="62">Q21/Q15</f>
        <v>0.78344848942305834</v>
      </c>
      <c r="R46" s="10">
        <f t="shared" si="62"/>
        <v>0.81133722594309921</v>
      </c>
      <c r="S46" s="10"/>
      <c r="T46" s="10"/>
      <c r="U46" s="10"/>
      <c r="V46" s="10">
        <f t="shared" ref="V46:W46" si="63">V21/V15</f>
        <v>0.78485201730572141</v>
      </c>
      <c r="W46" s="10">
        <f t="shared" si="63"/>
        <v>0.77655854253101464</v>
      </c>
      <c r="X46" s="10">
        <f>X21/X15</f>
        <v>0.79465500077118301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2:64" s="9" customFormat="1" x14ac:dyDescent="0.2">
      <c r="B47" s="9" t="s">
        <v>48</v>
      </c>
      <c r="C47" s="10">
        <f t="shared" ref="C47:F47" si="64">C27/C15</f>
        <v>0.15625773159438741</v>
      </c>
      <c r="D47" s="10">
        <f t="shared" si="64"/>
        <v>0.20632727530378697</v>
      </c>
      <c r="E47" s="10">
        <f t="shared" si="64"/>
        <v>0.24374806508204058</v>
      </c>
      <c r="F47" s="10">
        <f t="shared" si="64"/>
        <v>0.22700365813102727</v>
      </c>
      <c r="G47" s="10">
        <f t="shared" ref="G47:M47" si="65">G27/G15</f>
        <v>0.2434503598018751</v>
      </c>
      <c r="H47" s="10">
        <f t="shared" si="65"/>
        <v>0.26612476252764028</v>
      </c>
      <c r="I47" s="10">
        <f t="shared" si="65"/>
        <v>0.28039686349815973</v>
      </c>
      <c r="J47" s="10">
        <f t="shared" si="65"/>
        <v>0.27799406748238781</v>
      </c>
      <c r="K47" s="10">
        <f t="shared" si="65"/>
        <v>0.22133461469157309</v>
      </c>
      <c r="L47" s="10">
        <f t="shared" si="65"/>
        <v>0.22223194493057985</v>
      </c>
      <c r="M47" s="10">
        <f t="shared" si="65"/>
        <v>0.26896442353438693</v>
      </c>
      <c r="N47" s="10">
        <f t="shared" ref="N47:Q47" si="66">N27/N15</f>
        <v>0.16923518027381537</v>
      </c>
      <c r="O47" s="10">
        <f t="shared" si="66"/>
        <v>0.18961681648960316</v>
      </c>
      <c r="P47" s="10">
        <f t="shared" si="66"/>
        <v>-3.2196029776674982E-2</v>
      </c>
      <c r="Q47" s="10">
        <f t="shared" si="66"/>
        <v>0.28858696704019809</v>
      </c>
      <c r="R47" s="10">
        <f t="shared" ref="R47" si="67">R27/R15</f>
        <v>0.27278321598259769</v>
      </c>
      <c r="S47" s="10"/>
      <c r="T47" s="10"/>
      <c r="U47" s="10"/>
      <c r="V47" s="10">
        <f t="shared" ref="V47:W47" si="68">V27/V15</f>
        <v>0.26692432267503274</v>
      </c>
      <c r="W47" s="10">
        <f t="shared" si="68"/>
        <v>0.21897344315504283</v>
      </c>
      <c r="X47" s="10">
        <f>X27/X15</f>
        <v>0.19054295956664191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>
        <f>329/346</f>
        <v>0.95086705202312138</v>
      </c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9" spans="1:64" x14ac:dyDescent="0.2">
      <c r="B49" s="1" t="s">
        <v>40</v>
      </c>
      <c r="C49" s="10">
        <f t="shared" ref="C49:F49" si="69">C30/C29</f>
        <v>-2.599559955995598</v>
      </c>
      <c r="D49" s="10">
        <f t="shared" si="69"/>
        <v>1.068982796058127E-2</v>
      </c>
      <c r="E49" s="10">
        <f t="shared" si="69"/>
        <v>3.1908990011098773E-2</v>
      </c>
      <c r="F49" s="10">
        <f t="shared" si="69"/>
        <v>-0.33601609657947762</v>
      </c>
      <c r="G49" s="10">
        <f t="shared" ref="G49:Q49" si="70">G30/G29</f>
        <v>7.9056343330405413E-3</v>
      </c>
      <c r="H49" s="10">
        <f t="shared" si="70"/>
        <v>3.1249999999999993E-3</v>
      </c>
      <c r="I49" s="10">
        <f t="shared" si="70"/>
        <v>1.0166045408336155E-2</v>
      </c>
      <c r="J49" s="10">
        <f t="shared" si="70"/>
        <v>-1.0655647985989491</v>
      </c>
      <c r="K49" s="10">
        <f t="shared" si="70"/>
        <v>2.2915001332267513E-2</v>
      </c>
      <c r="L49" s="10">
        <f t="shared" si="70"/>
        <v>-0.44966268811624288</v>
      </c>
      <c r="M49" s="10">
        <f t="shared" si="70"/>
        <v>-8.2951107641260902E-3</v>
      </c>
      <c r="N49" s="10">
        <f t="shared" si="70"/>
        <v>-1.3010332309410788</v>
      </c>
      <c r="O49" s="10">
        <f t="shared" si="70"/>
        <v>-0.13298503918309193</v>
      </c>
      <c r="P49" s="10">
        <f t="shared" si="70"/>
        <v>3.0140038192234204</v>
      </c>
      <c r="Q49" s="10">
        <f t="shared" si="70"/>
        <v>0.38538672371147814</v>
      </c>
      <c r="R49" s="10">
        <f t="shared" ref="R49" si="71">R30/R29</f>
        <v>-6.8583952531138054E-2</v>
      </c>
      <c r="V49" s="10">
        <f t="shared" ref="V49:W49" si="72">V30/V29</f>
        <v>-0.27617203306549504</v>
      </c>
      <c r="W49" s="10">
        <f t="shared" si="72"/>
        <v>-0.38920393587346341</v>
      </c>
      <c r="X49" s="10">
        <f>X30/X29</f>
        <v>-3.3887010390700197E-2</v>
      </c>
    </row>
    <row r="51" spans="1:64" x14ac:dyDescent="0.2">
      <c r="B51" s="1" t="s">
        <v>76</v>
      </c>
      <c r="X51" s="2">
        <v>-86</v>
      </c>
      <c r="Y51" s="4">
        <f>X51+Y31</f>
        <v>-5.3119572869379965</v>
      </c>
      <c r="Z51" s="4">
        <f t="shared" ref="Z51:AM51" si="73">Y51+Z31</f>
        <v>78.456257926851237</v>
      </c>
      <c r="AA51" s="4">
        <f t="shared" si="73"/>
        <v>161.16910776081343</v>
      </c>
      <c r="AB51" s="4">
        <f t="shared" si="73"/>
        <v>235.64783093533836</v>
      </c>
      <c r="AC51" s="4">
        <f t="shared" si="73"/>
        <v>289.98199314801639</v>
      </c>
      <c r="AD51" s="4">
        <f t="shared" si="73"/>
        <v>297.72834753392931</v>
      </c>
      <c r="AE51" s="4">
        <f t="shared" si="73"/>
        <v>322.84797878134407</v>
      </c>
      <c r="AF51" s="4">
        <f t="shared" si="73"/>
        <v>353.59965027011719</v>
      </c>
      <c r="AG51" s="4">
        <f t="shared" si="73"/>
        <v>390.82153592537861</v>
      </c>
      <c r="AH51" s="4">
        <f t="shared" si="73"/>
        <v>435.44977350766339</v>
      </c>
      <c r="AI51" s="4">
        <f t="shared" si="73"/>
        <v>488.52897784137605</v>
      </c>
      <c r="AJ51" s="4">
        <f t="shared" si="73"/>
        <v>551.22384578476499</v>
      </c>
      <c r="AK51" s="4">
        <f t="shared" si="73"/>
        <v>624.83196465903222</v>
      </c>
      <c r="AL51" s="4">
        <f t="shared" si="73"/>
        <v>710.79794719000745</v>
      </c>
      <c r="AM51" s="4">
        <f t="shared" si="73"/>
        <v>810.72902849537036</v>
      </c>
    </row>
    <row r="52" spans="1:64" x14ac:dyDescent="0.2">
      <c r="B52" s="1" t="s">
        <v>53</v>
      </c>
      <c r="U52" s="4">
        <f t="shared" ref="U52:X52" si="74">U31</f>
        <v>38.557000000000009</v>
      </c>
      <c r="V52" s="4">
        <f t="shared" si="74"/>
        <v>44.153000000000006</v>
      </c>
      <c r="W52" s="4">
        <f t="shared" si="74"/>
        <v>45.320000000000007</v>
      </c>
      <c r="X52" s="4">
        <f>X31</f>
        <v>41.89</v>
      </c>
    </row>
    <row r="53" spans="1:64" s="3" customFormat="1" x14ac:dyDescent="0.2">
      <c r="B53" s="3" t="s">
        <v>54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>
        <v>38.557000000000002</v>
      </c>
      <c r="V53" s="4">
        <v>44.152999999999999</v>
      </c>
      <c r="W53" s="4">
        <v>36.881999999999998</v>
      </c>
      <c r="X53" s="4">
        <v>-4.1980000000000004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spans="1:64" s="11" customFormat="1" x14ac:dyDescent="0.2">
      <c r="B54" s="11" t="s">
        <v>55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>
        <v>27.29</v>
      </c>
      <c r="V54" s="12">
        <v>35.756</v>
      </c>
      <c r="W54" s="12">
        <v>51.725000000000001</v>
      </c>
      <c r="X54" s="12">
        <v>46.116</v>
      </c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</row>
    <row r="55" spans="1:64" s="3" customFormat="1" x14ac:dyDescent="0.2">
      <c r="B55" s="3" t="s">
        <v>56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>
        <v>26.481000000000002</v>
      </c>
      <c r="V55" s="4">
        <v>5.282</v>
      </c>
      <c r="W55" s="6">
        <f>2.858+48.883+21.149</f>
        <v>72.89</v>
      </c>
      <c r="X55" s="6">
        <f>214.165+2.291</f>
        <v>216.45599999999999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1:64" x14ac:dyDescent="0.2">
      <c r="B56" s="1" t="s">
        <v>57</v>
      </c>
      <c r="U56" s="12">
        <f>U54-U55</f>
        <v>0.8089999999999975</v>
      </c>
      <c r="V56" s="12">
        <f>V54-V55</f>
        <v>30.474</v>
      </c>
      <c r="W56" s="12">
        <f>W54-W55</f>
        <v>-21.164999999999999</v>
      </c>
      <c r="X56" s="12">
        <f>X54-X55</f>
        <v>-170.33999999999997</v>
      </c>
    </row>
    <row r="57" spans="1:64" s="3" customFormat="1" x14ac:dyDescent="0.2">
      <c r="B57" s="3" t="s">
        <v>58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>
        <v>-23.518999999999998</v>
      </c>
      <c r="V57" s="4">
        <v>10.228</v>
      </c>
      <c r="W57" s="4">
        <v>-8.3360000000000003</v>
      </c>
      <c r="X57" s="4">
        <v>187.96100000000001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60" spans="1:64" x14ac:dyDescent="0.2">
      <c r="A60" s="2" t="s">
        <v>62</v>
      </c>
      <c r="B60" s="1" t="s">
        <v>59</v>
      </c>
      <c r="W60" s="2" t="s">
        <v>63</v>
      </c>
    </row>
    <row r="61" spans="1:64" x14ac:dyDescent="0.2">
      <c r="A61" s="2" t="s">
        <v>64</v>
      </c>
      <c r="B61" s="1" t="s">
        <v>60</v>
      </c>
      <c r="W61" s="2" t="s">
        <v>63</v>
      </c>
    </row>
    <row r="62" spans="1:64" x14ac:dyDescent="0.2">
      <c r="A62" s="2" t="s">
        <v>64</v>
      </c>
      <c r="B62" s="1" t="s">
        <v>61</v>
      </c>
      <c r="X62" s="2" t="s">
        <v>63</v>
      </c>
    </row>
    <row r="63" spans="1:64" x14ac:dyDescent="0.2">
      <c r="W63" s="2" t="s">
        <v>65</v>
      </c>
      <c r="X63" s="2" t="s">
        <v>65</v>
      </c>
    </row>
    <row r="64" spans="1:64" x14ac:dyDescent="0.2">
      <c r="W64" s="2">
        <f>W10*0.04</f>
        <v>4.62784</v>
      </c>
      <c r="X64" s="2">
        <f>X10*0.3</f>
        <v>53.001599999999996</v>
      </c>
    </row>
    <row r="65" spans="22:23" x14ac:dyDescent="0.2">
      <c r="V65" s="2" t="s">
        <v>67</v>
      </c>
      <c r="W65" s="2" t="s">
        <v>66</v>
      </c>
    </row>
    <row r="66" spans="22:23" x14ac:dyDescent="0.2">
      <c r="W66" s="2">
        <v>35.799999999999997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2025-02-04T15:17:48Z</dcterms:created>
  <dcterms:modified xsi:type="dcterms:W3CDTF">2025-02-06T16:01:57Z</dcterms:modified>
</cp:coreProperties>
</file>