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907474b3756498a/Value Investing/"/>
    </mc:Choice>
  </mc:AlternateContent>
  <xr:revisionPtr revIDLastSave="910" documentId="8_{F139F41B-28C1-BF49-B525-9900D2545235}" xr6:coauthVersionLast="47" xr6:coauthVersionMax="47" xr10:uidLastSave="{A6932706-98BB-9B44-BBED-339D937C2BD9}"/>
  <bookViews>
    <workbookView xWindow="-28800" yWindow="-11860" windowWidth="28800" windowHeight="31500" activeTab="1" xr2:uid="{FCC866A8-6466-C648-8580-1940249465A2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C3" i="2" l="1"/>
  <c r="AB3" i="2"/>
  <c r="AC8" i="2" l="1"/>
  <c r="AB8" i="2"/>
  <c r="AA8" i="2"/>
  <c r="Z8" i="2"/>
  <c r="Y15" i="2"/>
  <c r="Y11" i="2"/>
  <c r="Y8" i="2"/>
  <c r="Y7" i="2"/>
  <c r="Z7" i="2" s="1"/>
  <c r="W20" i="2"/>
  <c r="W19" i="2"/>
  <c r="W15" i="2"/>
  <c r="V15" i="2"/>
  <c r="V13" i="2"/>
  <c r="V8" i="2"/>
  <c r="AF8" i="2" s="1"/>
  <c r="V7" i="2"/>
  <c r="V6" i="2"/>
  <c r="V9" i="2" s="1"/>
  <c r="V4" i="2"/>
  <c r="V3" i="2"/>
  <c r="W13" i="2"/>
  <c r="W8" i="2"/>
  <c r="AD8" i="2" s="1"/>
  <c r="W7" i="2"/>
  <c r="W21" i="2" s="1"/>
  <c r="W6" i="2"/>
  <c r="W4" i="2"/>
  <c r="W3" i="2"/>
  <c r="W5" i="2" s="1"/>
  <c r="X15" i="2"/>
  <c r="X13" i="2"/>
  <c r="X8" i="2"/>
  <c r="X7" i="2"/>
  <c r="X21" i="2" s="1"/>
  <c r="X6" i="2"/>
  <c r="X9" i="2" s="1"/>
  <c r="V5" i="2"/>
  <c r="X4" i="2"/>
  <c r="X3" i="2"/>
  <c r="X19" i="2" s="1"/>
  <c r="D41" i="2"/>
  <c r="D40" i="2"/>
  <c r="D43" i="2"/>
  <c r="D37" i="2"/>
  <c r="D44" i="2" s="1"/>
  <c r="E41" i="2"/>
  <c r="E40" i="2"/>
  <c r="E43" i="2"/>
  <c r="E37" i="2"/>
  <c r="E44" i="2" s="1"/>
  <c r="F41" i="2"/>
  <c r="F43" i="2" s="1"/>
  <c r="F40" i="2"/>
  <c r="F37" i="2"/>
  <c r="F44" i="2" s="1"/>
  <c r="G61" i="2"/>
  <c r="G60" i="2"/>
  <c r="G63" i="2"/>
  <c r="G57" i="2"/>
  <c r="G64" i="2" s="1"/>
  <c r="H41" i="2"/>
  <c r="H40" i="2"/>
  <c r="H44" i="2" s="1"/>
  <c r="I41" i="2"/>
  <c r="I40" i="2"/>
  <c r="I43" i="2" s="1"/>
  <c r="H43" i="2"/>
  <c r="H37" i="2"/>
  <c r="I37" i="2"/>
  <c r="J41" i="2"/>
  <c r="J40" i="2"/>
  <c r="J43" i="2"/>
  <c r="J37" i="2"/>
  <c r="J44" i="2" s="1"/>
  <c r="K61" i="2"/>
  <c r="K60" i="2"/>
  <c r="K63" i="2" s="1"/>
  <c r="K57" i="2"/>
  <c r="K64" i="2" s="1"/>
  <c r="L41" i="2"/>
  <c r="L40" i="2"/>
  <c r="L43" i="2" s="1"/>
  <c r="L37" i="2"/>
  <c r="L44" i="2" s="1"/>
  <c r="M41" i="2"/>
  <c r="M40" i="2"/>
  <c r="M43" i="2" s="1"/>
  <c r="M37" i="2"/>
  <c r="M44" i="2" s="1"/>
  <c r="N42" i="2"/>
  <c r="N41" i="2"/>
  <c r="N40" i="2"/>
  <c r="N39" i="2"/>
  <c r="N38" i="2"/>
  <c r="N36" i="2"/>
  <c r="N35" i="2"/>
  <c r="N34" i="2"/>
  <c r="N33" i="2"/>
  <c r="N32" i="2"/>
  <c r="C57" i="2"/>
  <c r="C48" i="2" a="1"/>
  <c r="C48" i="2" s="1"/>
  <c r="C61" i="2"/>
  <c r="C60" i="2"/>
  <c r="R7" i="2"/>
  <c r="Q7" i="2"/>
  <c r="P7" i="2"/>
  <c r="O7" i="2"/>
  <c r="O21" i="2" s="1"/>
  <c r="R6" i="2"/>
  <c r="Q6" i="2"/>
  <c r="Q20" i="2" s="1"/>
  <c r="P6" i="2"/>
  <c r="O6" i="2"/>
  <c r="O9" i="2" s="1"/>
  <c r="O10" i="2" s="1"/>
  <c r="O24" i="2" s="1"/>
  <c r="R3" i="2"/>
  <c r="Q3" i="2"/>
  <c r="Y3" i="2" s="1"/>
  <c r="P3" i="2"/>
  <c r="P5" i="2" s="1"/>
  <c r="P23" i="2" s="1"/>
  <c r="D53" i="1"/>
  <c r="C53" i="1"/>
  <c r="F46" i="1"/>
  <c r="C54" i="1" s="1"/>
  <c r="D54" i="1" s="1"/>
  <c r="B54" i="1" s="1"/>
  <c r="A54" i="1" s="1"/>
  <c r="F47" i="1"/>
  <c r="F48" i="1" s="1"/>
  <c r="F49" i="1" s="1"/>
  <c r="C57" i="1" s="1"/>
  <c r="D57" i="1" s="1"/>
  <c r="B57" i="1" s="1"/>
  <c r="D35" i="1"/>
  <c r="O5" i="2"/>
  <c r="O23" i="2" s="1"/>
  <c r="R21" i="2"/>
  <c r="Q21" i="2"/>
  <c r="P21" i="2"/>
  <c r="R20" i="2"/>
  <c r="P20" i="2"/>
  <c r="O19" i="2"/>
  <c r="C16" i="1"/>
  <c r="M21" i="2"/>
  <c r="L21" i="2"/>
  <c r="K21" i="2"/>
  <c r="J21" i="2"/>
  <c r="I21" i="2"/>
  <c r="H21" i="2"/>
  <c r="G21" i="2"/>
  <c r="M20" i="2"/>
  <c r="L20" i="2"/>
  <c r="K20" i="2"/>
  <c r="J20" i="2"/>
  <c r="I20" i="2"/>
  <c r="H20" i="2"/>
  <c r="G20" i="2"/>
  <c r="M19" i="2"/>
  <c r="L19" i="2"/>
  <c r="K19" i="2"/>
  <c r="J19" i="2"/>
  <c r="I19" i="2"/>
  <c r="H19" i="2"/>
  <c r="G19" i="2"/>
  <c r="N21" i="2"/>
  <c r="N20" i="2"/>
  <c r="N19" i="2"/>
  <c r="C11" i="2"/>
  <c r="V11" i="2" s="1"/>
  <c r="C9" i="2"/>
  <c r="C5" i="2"/>
  <c r="C10" i="2" s="1"/>
  <c r="C24" i="2" s="1"/>
  <c r="D11" i="2"/>
  <c r="D9" i="2"/>
  <c r="D5" i="2"/>
  <c r="D23" i="2" s="1"/>
  <c r="E11" i="2"/>
  <c r="E9" i="2"/>
  <c r="E5" i="2"/>
  <c r="E10" i="2" s="1"/>
  <c r="F11" i="2"/>
  <c r="F9" i="2"/>
  <c r="F5" i="2"/>
  <c r="F23" i="2" s="1"/>
  <c r="G11" i="2"/>
  <c r="W11" i="2" s="1"/>
  <c r="G9" i="2"/>
  <c r="G5" i="2"/>
  <c r="G23" i="2" s="1"/>
  <c r="H11" i="2"/>
  <c r="H9" i="2"/>
  <c r="H5" i="2"/>
  <c r="I11" i="2"/>
  <c r="I9" i="2"/>
  <c r="I5" i="2"/>
  <c r="I10" i="2" s="1"/>
  <c r="I12" i="2" s="1"/>
  <c r="I14" i="2" s="1"/>
  <c r="I16" i="2" s="1"/>
  <c r="J11" i="2"/>
  <c r="J9" i="2"/>
  <c r="J5" i="2"/>
  <c r="J23" i="2" s="1"/>
  <c r="K11" i="2"/>
  <c r="X11" i="2" s="1"/>
  <c r="K9" i="2"/>
  <c r="K5" i="2"/>
  <c r="K10" i="2" s="1"/>
  <c r="K12" i="2" s="1"/>
  <c r="K14" i="2" s="1"/>
  <c r="K16" i="2" s="1"/>
  <c r="L11" i="2"/>
  <c r="L9" i="2"/>
  <c r="L5" i="2"/>
  <c r="M11" i="2"/>
  <c r="M9" i="2"/>
  <c r="M5" i="2"/>
  <c r="M23" i="2" s="1"/>
  <c r="N11" i="2"/>
  <c r="N9" i="2"/>
  <c r="N5" i="2"/>
  <c r="W2" i="2"/>
  <c r="X2" i="2" s="1"/>
  <c r="Y2" i="2" s="1"/>
  <c r="Z2" i="2" s="1"/>
  <c r="AA2" i="2" s="1"/>
  <c r="AB2" i="2" s="1"/>
  <c r="AC2" i="2" s="1"/>
  <c r="AD2" i="2" s="1"/>
  <c r="AE2" i="2" s="1"/>
  <c r="AF2" i="2" s="1"/>
  <c r="AG2" i="2" s="1"/>
  <c r="AH2" i="2" s="1"/>
  <c r="AI2" i="2" s="1"/>
  <c r="K7" i="1"/>
  <c r="K6" i="1"/>
  <c r="K5" i="1"/>
  <c r="Z3" i="2" l="1"/>
  <c r="Y19" i="2"/>
  <c r="A57" i="1"/>
  <c r="AA7" i="2"/>
  <c r="AB7" i="2" s="1"/>
  <c r="AB21" i="2" s="1"/>
  <c r="Z21" i="2"/>
  <c r="X10" i="2"/>
  <c r="W9" i="2"/>
  <c r="X20" i="2"/>
  <c r="I44" i="2"/>
  <c r="AE8" i="2"/>
  <c r="Y21" i="2"/>
  <c r="C55" i="1"/>
  <c r="D55" i="1" s="1"/>
  <c r="B55" i="1" s="1"/>
  <c r="A55" i="1" s="1"/>
  <c r="X5" i="2"/>
  <c r="X23" i="2" s="1"/>
  <c r="Y6" i="2"/>
  <c r="C56" i="1"/>
  <c r="D56" i="1" s="1"/>
  <c r="B56" i="1" s="1"/>
  <c r="O20" i="2"/>
  <c r="C64" i="2"/>
  <c r="AG8" i="2"/>
  <c r="AH8" i="2"/>
  <c r="AI8" i="2"/>
  <c r="AC7" i="2"/>
  <c r="V10" i="2"/>
  <c r="V12" i="2" s="1"/>
  <c r="V14" i="2" s="1"/>
  <c r="V16" i="2" s="1"/>
  <c r="W10" i="2"/>
  <c r="W12" i="2" s="1"/>
  <c r="W14" i="2" s="1"/>
  <c r="W16" i="2" s="1"/>
  <c r="D54" i="2"/>
  <c r="D55" i="2"/>
  <c r="D56" i="2"/>
  <c r="E62" i="2"/>
  <c r="D58" i="2"/>
  <c r="E64" i="2"/>
  <c r="D64" i="2"/>
  <c r="E58" i="2"/>
  <c r="D53" i="2"/>
  <c r="E59" i="2"/>
  <c r="E60" i="2"/>
  <c r="E61" i="2"/>
  <c r="D57" i="2"/>
  <c r="E63" i="2"/>
  <c r="D59" i="2"/>
  <c r="E65" i="2"/>
  <c r="D60" i="2"/>
  <c r="E52" i="2"/>
  <c r="D61" i="2"/>
  <c r="E53" i="2"/>
  <c r="D62" i="2"/>
  <c r="E54" i="2"/>
  <c r="D63" i="2"/>
  <c r="E55" i="2"/>
  <c r="E56" i="2"/>
  <c r="D65" i="2"/>
  <c r="E57" i="2"/>
  <c r="D52" i="2"/>
  <c r="D46" i="2"/>
  <c r="D66" i="2" s="1"/>
  <c r="H53" i="2"/>
  <c r="H52" i="2"/>
  <c r="F56" i="2"/>
  <c r="F57" i="2"/>
  <c r="H54" i="2"/>
  <c r="F58" i="2"/>
  <c r="H55" i="2"/>
  <c r="F59" i="2"/>
  <c r="H65" i="2"/>
  <c r="F60" i="2"/>
  <c r="H66" i="2"/>
  <c r="H56" i="2"/>
  <c r="F61" i="2"/>
  <c r="H57" i="2"/>
  <c r="F62" i="2"/>
  <c r="H58" i="2"/>
  <c r="F63" i="2"/>
  <c r="H59" i="2"/>
  <c r="F64" i="2"/>
  <c r="H60" i="2"/>
  <c r="F65" i="2"/>
  <c r="H61" i="2"/>
  <c r="F52" i="2"/>
  <c r="F66" i="2"/>
  <c r="H62" i="2"/>
  <c r="F53" i="2"/>
  <c r="H63" i="2"/>
  <c r="F54" i="2"/>
  <c r="H64" i="2"/>
  <c r="F55" i="2"/>
  <c r="E46" i="2"/>
  <c r="E66" i="2" s="1"/>
  <c r="F46" i="2"/>
  <c r="G66" i="2"/>
  <c r="H46" i="2"/>
  <c r="J62" i="2"/>
  <c r="J61" i="2"/>
  <c r="I56" i="2"/>
  <c r="I57" i="2"/>
  <c r="J63" i="2"/>
  <c r="I58" i="2"/>
  <c r="J64" i="2"/>
  <c r="I59" i="2"/>
  <c r="J65" i="2"/>
  <c r="I60" i="2"/>
  <c r="I61" i="2"/>
  <c r="J53" i="2"/>
  <c r="I63" i="2"/>
  <c r="J55" i="2"/>
  <c r="I65" i="2"/>
  <c r="J59" i="2"/>
  <c r="I54" i="2"/>
  <c r="J52" i="2"/>
  <c r="J66" i="2"/>
  <c r="I62" i="2"/>
  <c r="J54" i="2"/>
  <c r="I64" i="2"/>
  <c r="J56" i="2"/>
  <c r="J57" i="2"/>
  <c r="I52" i="2"/>
  <c r="J58" i="2"/>
  <c r="I53" i="2"/>
  <c r="J60" i="2"/>
  <c r="I55" i="2"/>
  <c r="I46" i="2"/>
  <c r="I66" i="2" s="1"/>
  <c r="J46" i="2"/>
  <c r="L56" i="2"/>
  <c r="L57" i="2"/>
  <c r="L58" i="2"/>
  <c r="L59" i="2"/>
  <c r="L60" i="2"/>
  <c r="L63" i="2"/>
  <c r="L52" i="2"/>
  <c r="L53" i="2"/>
  <c r="L54" i="2"/>
  <c r="L61" i="2"/>
  <c r="L62" i="2"/>
  <c r="L64" i="2"/>
  <c r="L65" i="2"/>
  <c r="L55" i="2"/>
  <c r="K66" i="2"/>
  <c r="L46" i="2"/>
  <c r="L66" i="2" s="1"/>
  <c r="N54" i="2"/>
  <c r="M53" i="2"/>
  <c r="M60" i="2"/>
  <c r="N53" i="2"/>
  <c r="N60" i="2"/>
  <c r="M54" i="2"/>
  <c r="M61" i="2"/>
  <c r="N61" i="2"/>
  <c r="M55" i="2"/>
  <c r="M62" i="2"/>
  <c r="N55" i="2"/>
  <c r="N62" i="2"/>
  <c r="M56" i="2"/>
  <c r="M63" i="2"/>
  <c r="N56" i="2"/>
  <c r="M57" i="2"/>
  <c r="M64" i="2"/>
  <c r="M58" i="2"/>
  <c r="M65" i="2"/>
  <c r="N58" i="2"/>
  <c r="N65" i="2"/>
  <c r="M52" i="2"/>
  <c r="M59" i="2"/>
  <c r="N52" i="2"/>
  <c r="N59" i="2"/>
  <c r="M46" i="2"/>
  <c r="M66" i="2" s="1"/>
  <c r="H10" i="2"/>
  <c r="H12" i="2" s="1"/>
  <c r="H14" i="2" s="1"/>
  <c r="H16" i="2" s="1"/>
  <c r="P9" i="2"/>
  <c r="P10" i="2" s="1"/>
  <c r="P12" i="2" s="1"/>
  <c r="Q9" i="2"/>
  <c r="R9" i="2"/>
  <c r="C12" i="2"/>
  <c r="C14" i="2" s="1"/>
  <c r="C16" i="2" s="1"/>
  <c r="K51" i="2"/>
  <c r="L10" i="2"/>
  <c r="L24" i="2" s="1"/>
  <c r="C63" i="2"/>
  <c r="C66" i="2"/>
  <c r="Q10" i="2"/>
  <c r="R5" i="2"/>
  <c r="R23" i="2" s="1"/>
  <c r="P4" i="2"/>
  <c r="R19" i="2"/>
  <c r="P19" i="2"/>
  <c r="O4" i="2"/>
  <c r="Q19" i="2"/>
  <c r="Q5" i="2"/>
  <c r="Q23" i="2" s="1"/>
  <c r="O12" i="2"/>
  <c r="O13" i="2" s="1"/>
  <c r="E12" i="2"/>
  <c r="E14" i="2" s="1"/>
  <c r="I51" i="2"/>
  <c r="N10" i="2"/>
  <c r="N12" i="2" s="1"/>
  <c r="N14" i="2" s="1"/>
  <c r="O14" i="2"/>
  <c r="O16" i="2" s="1"/>
  <c r="K23" i="2"/>
  <c r="L23" i="2"/>
  <c r="K26" i="2"/>
  <c r="E24" i="2"/>
  <c r="I26" i="2"/>
  <c r="E23" i="2"/>
  <c r="I24" i="2"/>
  <c r="H23" i="2"/>
  <c r="K24" i="2"/>
  <c r="I23" i="2"/>
  <c r="N23" i="2"/>
  <c r="C23" i="2"/>
  <c r="K12" i="1"/>
  <c r="K8" i="1"/>
  <c r="G10" i="2"/>
  <c r="D10" i="2"/>
  <c r="F10" i="2"/>
  <c r="J10" i="2"/>
  <c r="M10" i="2"/>
  <c r="P24" i="2" l="1"/>
  <c r="O26" i="2"/>
  <c r="A56" i="1"/>
  <c r="H51" i="2"/>
  <c r="Z6" i="2"/>
  <c r="Y9" i="2"/>
  <c r="Y20" i="2"/>
  <c r="Z19" i="2"/>
  <c r="Z5" i="2"/>
  <c r="AA3" i="2"/>
  <c r="H24" i="2"/>
  <c r="AA21" i="2"/>
  <c r="H26" i="2"/>
  <c r="X12" i="2"/>
  <c r="X24" i="2"/>
  <c r="AC21" i="2"/>
  <c r="AD7" i="2"/>
  <c r="N24" i="2"/>
  <c r="C51" i="2"/>
  <c r="N26" i="2"/>
  <c r="L12" i="2"/>
  <c r="L14" i="2" s="1"/>
  <c r="C26" i="2"/>
  <c r="N37" i="2"/>
  <c r="N57" i="2" s="1"/>
  <c r="N43" i="2"/>
  <c r="N63" i="2" s="1"/>
  <c r="N16" i="2"/>
  <c r="N51" i="2"/>
  <c r="R4" i="2"/>
  <c r="Y4" i="2" s="1"/>
  <c r="Y5" i="2" s="1"/>
  <c r="Q24" i="2"/>
  <c r="Q12" i="2"/>
  <c r="P13" i="2"/>
  <c r="P26" i="2" s="1"/>
  <c r="E16" i="2"/>
  <c r="E51" i="2"/>
  <c r="Q4" i="2"/>
  <c r="E26" i="2"/>
  <c r="R10" i="2"/>
  <c r="G12" i="2"/>
  <c r="G24" i="2"/>
  <c r="J12" i="2"/>
  <c r="J24" i="2"/>
  <c r="M12" i="2"/>
  <c r="M24" i="2"/>
  <c r="F12" i="2"/>
  <c r="F24" i="2"/>
  <c r="D12" i="2"/>
  <c r="D24" i="2"/>
  <c r="Y23" i="2" l="1"/>
  <c r="Y10" i="2"/>
  <c r="AA5" i="2"/>
  <c r="AA4" i="2"/>
  <c r="AA19" i="2"/>
  <c r="Z20" i="2"/>
  <c r="AA6" i="2"/>
  <c r="Z9" i="2"/>
  <c r="Z23" i="2"/>
  <c r="Z10" i="2"/>
  <c r="Z4" i="2"/>
  <c r="X14" i="2"/>
  <c r="X16" i="2" s="1"/>
  <c r="X26" i="2"/>
  <c r="AD21" i="2"/>
  <c r="AE7" i="2"/>
  <c r="L26" i="2"/>
  <c r="N44" i="2"/>
  <c r="N64" i="2" s="1"/>
  <c r="N46" i="2"/>
  <c r="N66" i="2" s="1"/>
  <c r="R24" i="2"/>
  <c r="R12" i="2"/>
  <c r="P14" i="2"/>
  <c r="P16" i="2" s="1"/>
  <c r="L16" i="2"/>
  <c r="L51" i="2"/>
  <c r="Q13" i="2"/>
  <c r="Q26" i="2" s="1"/>
  <c r="D14" i="2"/>
  <c r="D26" i="2"/>
  <c r="F14" i="2"/>
  <c r="F26" i="2"/>
  <c r="M14" i="2"/>
  <c r="M26" i="2"/>
  <c r="J14" i="2"/>
  <c r="J26" i="2"/>
  <c r="G14" i="2"/>
  <c r="G26" i="2"/>
  <c r="Z24" i="2" l="1"/>
  <c r="AB6" i="2"/>
  <c r="AA9" i="2"/>
  <c r="AA20" i="2"/>
  <c r="Y12" i="2"/>
  <c r="Y24" i="2"/>
  <c r="AB19" i="2"/>
  <c r="AB5" i="2"/>
  <c r="AA23" i="2"/>
  <c r="AA10" i="2"/>
  <c r="AA24" i="2" s="1"/>
  <c r="AF7" i="2"/>
  <c r="AE21" i="2"/>
  <c r="M16" i="2"/>
  <c r="M51" i="2"/>
  <c r="J16" i="2"/>
  <c r="J51" i="2"/>
  <c r="F16" i="2"/>
  <c r="F51" i="2"/>
  <c r="D16" i="2"/>
  <c r="D51" i="2"/>
  <c r="Q14" i="2"/>
  <c r="Q16" i="2" s="1"/>
  <c r="G16" i="2"/>
  <c r="G51" i="2"/>
  <c r="R13" i="2"/>
  <c r="R14" i="2"/>
  <c r="R16" i="2" s="1"/>
  <c r="AD3" i="2" l="1"/>
  <c r="AC5" i="2"/>
  <c r="AC19" i="2"/>
  <c r="R26" i="2"/>
  <c r="Y13" i="2"/>
  <c r="Y26" i="2" s="1"/>
  <c r="Y14" i="2"/>
  <c r="AB4" i="2"/>
  <c r="AB23" i="2"/>
  <c r="AB9" i="2"/>
  <c r="AB10" i="2" s="1"/>
  <c r="AB24" i="2" s="1"/>
  <c r="AC6" i="2"/>
  <c r="AB20" i="2"/>
  <c r="AG7" i="2"/>
  <c r="AF21" i="2"/>
  <c r="AC9" i="2" l="1"/>
  <c r="AC20" i="2"/>
  <c r="AD6" i="2"/>
  <c r="Y16" i="2"/>
  <c r="Y28" i="2"/>
  <c r="Z11" i="2" s="1"/>
  <c r="Z12" i="2" s="1"/>
  <c r="AC4" i="2"/>
  <c r="AC23" i="2"/>
  <c r="AC10" i="2"/>
  <c r="AC24" i="2" s="1"/>
  <c r="AE3" i="2"/>
  <c r="AD5" i="2"/>
  <c r="AD19" i="2"/>
  <c r="AH7" i="2"/>
  <c r="AI7" i="2" s="1"/>
  <c r="AG21" i="2"/>
  <c r="AD23" i="2" l="1"/>
  <c r="AF3" i="2"/>
  <c r="AE5" i="2"/>
  <c r="AE19" i="2"/>
  <c r="AD4" i="2"/>
  <c r="Z13" i="2"/>
  <c r="Z26" i="2" s="1"/>
  <c r="Z14" i="2"/>
  <c r="Z28" i="2" s="1"/>
  <c r="AA11" i="2" s="1"/>
  <c r="AA12" i="2" s="1"/>
  <c r="AD9" i="2"/>
  <c r="AD10" i="2" s="1"/>
  <c r="AD24" i="2" s="1"/>
  <c r="AE6" i="2"/>
  <c r="AD20" i="2"/>
  <c r="AI21" i="2"/>
  <c r="AH21" i="2"/>
  <c r="AE9" i="2" l="1"/>
  <c r="AE20" i="2"/>
  <c r="AF6" i="2"/>
  <c r="AA13" i="2"/>
  <c r="AA26" i="2" s="1"/>
  <c r="AA14" i="2"/>
  <c r="AA28" i="2" s="1"/>
  <c r="AE4" i="2"/>
  <c r="AE23" i="2"/>
  <c r="AE10" i="2"/>
  <c r="AE24" i="2" s="1"/>
  <c r="AG3" i="2"/>
  <c r="AF5" i="2"/>
  <c r="AF19" i="2"/>
  <c r="AH3" i="2" l="1"/>
  <c r="AG5" i="2"/>
  <c r="AG19" i="2"/>
  <c r="AF4" i="2"/>
  <c r="AF23" i="2"/>
  <c r="AB11" i="2"/>
  <c r="AB12" i="2" s="1"/>
  <c r="AF9" i="2"/>
  <c r="AF10" i="2" s="1"/>
  <c r="AF24" i="2" s="1"/>
  <c r="AG6" i="2"/>
  <c r="AF20" i="2"/>
  <c r="AG9" i="2" l="1"/>
  <c r="AH6" i="2"/>
  <c r="AG20" i="2"/>
  <c r="AB13" i="2"/>
  <c r="AB26" i="2" s="1"/>
  <c r="AB14" i="2"/>
  <c r="AB28" i="2" s="1"/>
  <c r="AC11" i="2" s="1"/>
  <c r="AC12" i="2" s="1"/>
  <c r="AG4" i="2"/>
  <c r="AG10" i="2"/>
  <c r="AG24" i="2" s="1"/>
  <c r="AG23" i="2"/>
  <c r="AI3" i="2"/>
  <c r="AH19" i="2"/>
  <c r="AH5" i="2"/>
  <c r="AH4" i="2" s="1"/>
  <c r="AH23" i="2" l="1"/>
  <c r="AC13" i="2"/>
  <c r="AC26" i="2" s="1"/>
  <c r="AI5" i="2"/>
  <c r="AI19" i="2"/>
  <c r="AI6" i="2"/>
  <c r="AH9" i="2"/>
  <c r="AH10" i="2" s="1"/>
  <c r="AH24" i="2" s="1"/>
  <c r="AH20" i="2"/>
  <c r="AI9" i="2" l="1"/>
  <c r="AI20" i="2"/>
  <c r="AI4" i="2"/>
  <c r="AI10" i="2"/>
  <c r="AI24" i="2" s="1"/>
  <c r="AI23" i="2"/>
  <c r="AC14" i="2"/>
  <c r="AC28" i="2" s="1"/>
  <c r="AD11" i="2" s="1"/>
  <c r="AD12" i="2" s="1"/>
  <c r="AD13" i="2" l="1"/>
  <c r="AD26" i="2" s="1"/>
  <c r="AD14" i="2"/>
  <c r="AD28" i="2" s="1"/>
  <c r="AE11" i="2" s="1"/>
  <c r="AE12" i="2" s="1"/>
  <c r="AE13" i="2" l="1"/>
  <c r="AE26" i="2" s="1"/>
  <c r="AE14" i="2"/>
  <c r="AE28" i="2" s="1"/>
  <c r="AF11" i="2" s="1"/>
  <c r="AF12" i="2" s="1"/>
  <c r="AF13" i="2"/>
  <c r="AF26" i="2" s="1"/>
  <c r="AF14" i="2" l="1"/>
  <c r="AF28" i="2" s="1"/>
  <c r="AG11" i="2"/>
  <c r="AG12" i="2" s="1"/>
  <c r="AG13" i="2" l="1"/>
  <c r="AG26" i="2" s="1"/>
  <c r="AG14" i="2"/>
  <c r="AG28" i="2" s="1"/>
  <c r="AH11" i="2" l="1"/>
  <c r="AH12" i="2" s="1"/>
  <c r="AH13" i="2" l="1"/>
  <c r="AH26" i="2" s="1"/>
  <c r="AH14" i="2" l="1"/>
  <c r="AH28" i="2" s="1"/>
  <c r="AI11" i="2"/>
  <c r="AI12" i="2" s="1"/>
  <c r="AI13" i="2" l="1"/>
  <c r="AI26" i="2" s="1"/>
  <c r="AI14" i="2"/>
  <c r="AJ14" i="2" l="1"/>
  <c r="AK14" i="2" s="1"/>
  <c r="AL14" i="2" s="1"/>
  <c r="AM14" i="2" s="1"/>
  <c r="AN14" i="2" s="1"/>
  <c r="AO14" i="2" s="1"/>
  <c r="AP14" i="2" s="1"/>
  <c r="AQ14" i="2" s="1"/>
  <c r="AR14" i="2" s="1"/>
  <c r="AS14" i="2" s="1"/>
  <c r="AT14" i="2" s="1"/>
  <c r="AU14" i="2" s="1"/>
  <c r="AV14" i="2" s="1"/>
  <c r="AW14" i="2" s="1"/>
  <c r="AX14" i="2" s="1"/>
  <c r="AY14" i="2" s="1"/>
  <c r="AZ14" i="2" s="1"/>
  <c r="BA14" i="2" s="1"/>
  <c r="BB14" i="2" s="1"/>
  <c r="BC14" i="2" s="1"/>
  <c r="BD14" i="2" s="1"/>
  <c r="BE14" i="2" s="1"/>
  <c r="BF14" i="2" s="1"/>
  <c r="BG14" i="2" s="1"/>
  <c r="BH14" i="2" s="1"/>
  <c r="BI14" i="2" s="1"/>
  <c r="BJ14" i="2" s="1"/>
  <c r="BK14" i="2" s="1"/>
  <c r="BL14" i="2" s="1"/>
  <c r="BM14" i="2" s="1"/>
  <c r="BN14" i="2" s="1"/>
  <c r="BO14" i="2" s="1"/>
  <c r="BP14" i="2" s="1"/>
  <c r="BQ14" i="2" s="1"/>
  <c r="BR14" i="2" s="1"/>
  <c r="BS14" i="2" s="1"/>
  <c r="BT14" i="2" s="1"/>
  <c r="BU14" i="2" s="1"/>
  <c r="BV14" i="2" s="1"/>
  <c r="BW14" i="2" s="1"/>
  <c r="BX14" i="2" s="1"/>
  <c r="BY14" i="2" s="1"/>
  <c r="BZ14" i="2" s="1"/>
  <c r="CA14" i="2" s="1"/>
  <c r="CB14" i="2" s="1"/>
  <c r="CC14" i="2" s="1"/>
  <c r="CD14" i="2" s="1"/>
  <c r="CE14" i="2" s="1"/>
  <c r="CF14" i="2" s="1"/>
  <c r="CG14" i="2" s="1"/>
  <c r="CH14" i="2" s="1"/>
  <c r="CI14" i="2" s="1"/>
  <c r="CJ14" i="2" s="1"/>
  <c r="CK14" i="2" s="1"/>
  <c r="CL14" i="2" s="1"/>
  <c r="CM14" i="2" s="1"/>
  <c r="CN14" i="2" s="1"/>
  <c r="CO14" i="2" s="1"/>
  <c r="CP14" i="2" s="1"/>
  <c r="CQ14" i="2" s="1"/>
  <c r="CR14" i="2" s="1"/>
  <c r="CS14" i="2" s="1"/>
  <c r="CT14" i="2" s="1"/>
  <c r="CU14" i="2" s="1"/>
  <c r="CV14" i="2" s="1"/>
  <c r="CW14" i="2" s="1"/>
  <c r="CX14" i="2" s="1"/>
  <c r="CY14" i="2" s="1"/>
  <c r="CZ14" i="2" s="1"/>
  <c r="AL21" i="2" s="1"/>
  <c r="AL23" i="2" s="1"/>
  <c r="AL25" i="2" s="1"/>
  <c r="AI28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Angelo Wong</author>
  </authors>
  <commentList>
    <comment ref="AI2" authorId="0" shapeId="0" xr:uid="{BAE5C59D-ACAC-BD4A-9A72-9C150F2A9964}">
      <text>
        <r>
          <rPr>
            <b/>
            <sz val="10"/>
            <color rgb="FF000000"/>
            <rFont val="Tahoma"/>
            <family val="2"/>
          </rPr>
          <t>Angelo Wong: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assume growth slows</t>
        </r>
      </text>
    </comment>
    <comment ref="O3" authorId="0" shapeId="0" xr:uid="{28F4B192-817C-C140-A88E-27D77EF77841}">
      <text>
        <r>
          <rPr>
            <b/>
            <sz val="10"/>
            <color rgb="FF000000"/>
            <rFont val="Tahoma"/>
            <family val="2"/>
          </rPr>
          <t>Angelo Wong: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25.0-25.8bn</t>
        </r>
      </text>
    </comment>
    <comment ref="O23" authorId="0" shapeId="0" xr:uid="{035288B9-6B09-AA47-A1C4-74A114A7CB59}">
      <text>
        <r>
          <rPr>
            <b/>
            <sz val="10"/>
            <color rgb="FF000000"/>
            <rFont val="Tahoma"/>
            <family val="2"/>
          </rPr>
          <t>Angelo Wong: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57-59%</t>
        </r>
      </text>
    </comment>
    <comment ref="O24" authorId="0" shapeId="0" xr:uid="{8DAAB9B4-DAE7-AD45-94C8-30684CDD3541}">
      <text>
        <r>
          <rPr>
            <b/>
            <sz val="10"/>
            <color rgb="FF000000"/>
            <rFont val="Tahoma"/>
            <family val="2"/>
          </rPr>
          <t>Angelo Wong: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46.5-48.5%</t>
        </r>
      </text>
    </comment>
    <comment ref="O26" authorId="0" shapeId="0" xr:uid="{F1A1017C-1C8B-E449-8611-E3A96719591D}">
      <text>
        <r>
          <rPr>
            <b/>
            <sz val="10"/>
            <color rgb="FF000000"/>
            <rFont val="Tahoma"/>
            <family val="2"/>
          </rPr>
          <t>Angelo Wong: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16-17%</t>
        </r>
      </text>
    </comment>
    <comment ref="N60" authorId="0" shapeId="0" xr:uid="{3531F98C-41F9-3347-82C0-22304DB67210}">
      <text>
        <r>
          <rPr>
            <b/>
            <sz val="10"/>
            <color rgb="FF000000"/>
            <rFont val="Tahoma"/>
            <family val="2"/>
          </rPr>
          <t>Angelo Wong: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seems like they can start to absorb 10bn+ ppe without breaking cash flow, compare with q422
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1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<sst xmlns="http://schemas.openxmlformats.org/spreadsheetml/2006/main" count="147" uniqueCount="118">
  <si>
    <t>Price</t>
  </si>
  <si>
    <t>Shares</t>
  </si>
  <si>
    <t>MC</t>
  </si>
  <si>
    <t>Cash</t>
  </si>
  <si>
    <t>Debt</t>
  </si>
  <si>
    <t>EV</t>
  </si>
  <si>
    <t>Q424</t>
  </si>
  <si>
    <t>ADR</t>
  </si>
  <si>
    <t>5 shares</t>
  </si>
  <si>
    <t>USD</t>
  </si>
  <si>
    <t>Net Cash</t>
  </si>
  <si>
    <t/>
  </si>
  <si>
    <t>Revenue</t>
  </si>
  <si>
    <t>Q122</t>
  </si>
  <si>
    <t>Q222</t>
  </si>
  <si>
    <t>Q322</t>
  </si>
  <si>
    <t>Q422</t>
  </si>
  <si>
    <t>Q123</t>
  </si>
  <si>
    <t>Q223</t>
  </si>
  <si>
    <t>Q323</t>
  </si>
  <si>
    <t>Q423</t>
  </si>
  <si>
    <t>Q124</t>
  </si>
  <si>
    <t>Q224</t>
  </si>
  <si>
    <t>Q324</t>
  </si>
  <si>
    <t>Q125</t>
  </si>
  <si>
    <t>Q225</t>
  </si>
  <si>
    <t>Q325</t>
  </si>
  <si>
    <t>Q425</t>
  </si>
  <si>
    <t>COGs</t>
  </si>
  <si>
    <t>Gross Profit</t>
  </si>
  <si>
    <t>R&amp;D</t>
  </si>
  <si>
    <t>SG&amp;A</t>
  </si>
  <si>
    <t>Other</t>
  </si>
  <si>
    <t>Other Expense</t>
  </si>
  <si>
    <t>Operating Expense</t>
  </si>
  <si>
    <t>Operating Income</t>
  </si>
  <si>
    <t>Interest Income</t>
  </si>
  <si>
    <t>Pretax Income</t>
  </si>
  <si>
    <t>Taxes</t>
  </si>
  <si>
    <t>Net Income</t>
  </si>
  <si>
    <t>EPS</t>
  </si>
  <si>
    <t>Revenue Growth</t>
  </si>
  <si>
    <t>R&amp;D Growth</t>
  </si>
  <si>
    <t>SG&amp;A Growth</t>
  </si>
  <si>
    <t>Gross Margin %</t>
  </si>
  <si>
    <t>Operating Margin %</t>
  </si>
  <si>
    <t>Technology</t>
  </si>
  <si>
    <t>7nm</t>
  </si>
  <si>
    <t>5nm</t>
  </si>
  <si>
    <t>3nm</t>
  </si>
  <si>
    <t>16nm</t>
  </si>
  <si>
    <t>28nm</t>
  </si>
  <si>
    <t>40/45nm</t>
  </si>
  <si>
    <t>65nm</t>
  </si>
  <si>
    <t>Growing q24</t>
  </si>
  <si>
    <t>Reported NI</t>
  </si>
  <si>
    <t>Model NI</t>
  </si>
  <si>
    <t>Kumamato start production 12-28nm</t>
  </si>
  <si>
    <t>Kumamto 2nd factory</t>
  </si>
  <si>
    <t>6nm chips, start end of 2027</t>
  </si>
  <si>
    <t>2027 growth</t>
  </si>
  <si>
    <t>Arizona 3rd fab</t>
  </si>
  <si>
    <t>2028 growth</t>
  </si>
  <si>
    <t>Arizona 2nd fab</t>
  </si>
  <si>
    <t>2nm process. End of decade</t>
  </si>
  <si>
    <t>2030 growth</t>
  </si>
  <si>
    <t>Non-TW Fabs</t>
  </si>
  <si>
    <t>TW Fabs</t>
  </si>
  <si>
    <t>Fab14</t>
  </si>
  <si>
    <t>Fab15</t>
  </si>
  <si>
    <t>Fab2</t>
  </si>
  <si>
    <t>Fab3</t>
  </si>
  <si>
    <t>Fab5</t>
  </si>
  <si>
    <t>Fab6</t>
  </si>
  <si>
    <t>Fab18</t>
  </si>
  <si>
    <t>nm</t>
  </si>
  <si>
    <t>Fab12</t>
  </si>
  <si>
    <t>16-20, 28-150.</t>
  </si>
  <si>
    <t>16, 20</t>
  </si>
  <si>
    <t>20, 500, 600, 800</t>
  </si>
  <si>
    <t>250, 350, 500</t>
  </si>
  <si>
    <t>180, 250, 350</t>
  </si>
  <si>
    <t>Fab7</t>
  </si>
  <si>
    <t>Fab8</t>
  </si>
  <si>
    <t>180, 220, 250, 350</t>
  </si>
  <si>
    <t>180, 250</t>
  </si>
  <si>
    <t>Fab21</t>
  </si>
  <si>
    <t>nm.</t>
  </si>
  <si>
    <t>4, 5</t>
  </si>
  <si>
    <t>Notes</t>
  </si>
  <si>
    <t>Spot production per month</t>
  </si>
  <si>
    <t>22/28, 12/16</t>
  </si>
  <si>
    <t>About 13% of revenue will grow 2025</t>
  </si>
  <si>
    <t>3nm. 2028</t>
  </si>
  <si>
    <t>3, 5, 2 soon</t>
  </si>
  <si>
    <t>Mass production 2nm 2025</t>
  </si>
  <si>
    <t>Ramp up 2025 growth for 30% of rev. Grows at about 7x per year roughly</t>
  </si>
  <si>
    <t>2028-2031 ramp?</t>
  </si>
  <si>
    <t>2030-2034 ramp</t>
  </si>
  <si>
    <t>2nm growth til 2030 at least</t>
  </si>
  <si>
    <t>D&amp;A</t>
  </si>
  <si>
    <t>Profit Share</t>
  </si>
  <si>
    <t>CFFO</t>
  </si>
  <si>
    <t>Interest</t>
  </si>
  <si>
    <t>PPE</t>
  </si>
  <si>
    <t>Dividends</t>
  </si>
  <si>
    <t>Financial Instruments</t>
  </si>
  <si>
    <t>CFFI</t>
  </si>
  <si>
    <t>FCF</t>
  </si>
  <si>
    <t>CFFF</t>
  </si>
  <si>
    <t>Cash Flow</t>
  </si>
  <si>
    <t>TWD</t>
  </si>
  <si>
    <t>ROIC</t>
  </si>
  <si>
    <t>Discount Rate</t>
  </si>
  <si>
    <t>NPV</t>
  </si>
  <si>
    <t>Value</t>
  </si>
  <si>
    <t>Difference</t>
  </si>
  <si>
    <t>Maturity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</si>
</sst>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[$$-404]* #,##0.00_);_([$$-404]* \(#,##0.00\);_([$$-404]* &quot;-&quot;??_);_(@_)"/>
  </numFmts>
  <fonts count="8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2"/>
      <color rgb="FF000000"/>
      <name val="Aptos Narrow"/>
      <family val="2"/>
      <scheme val="minor"/>
    </font>
    <font>
      <b/>
      <u/>
      <sz val="12"/>
      <color theme="1"/>
      <name val="Aptos Narrow"/>
      <scheme val="minor"/>
    </font>
    <font>
      <b/>
      <sz val="12"/>
      <color rgb="FF000000"/>
      <name val="Aptos Narrow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3" fontId="0" fillId="0" borderId="0" xfId="0" applyNumberFormat="1"/>
    <xf numFmtId="0" fontId="0" fillId="0" borderId="0" xfId="0" quotePrefix="1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3" fontId="0" fillId="0" borderId="0" xfId="0" quotePrefix="1" applyNumberFormat="1"/>
    <xf numFmtId="3" fontId="1" fillId="0" borderId="0" xfId="0" applyNumberFormat="1" applyFont="1"/>
    <xf numFmtId="3" fontId="1" fillId="0" borderId="0" xfId="0" applyNumberFormat="1" applyFont="1" applyAlignment="1">
      <alignment horizontal="right"/>
    </xf>
    <xf numFmtId="2" fontId="0" fillId="0" borderId="0" xfId="0" applyNumberFormat="1"/>
    <xf numFmtId="2" fontId="0" fillId="0" borderId="0" xfId="0" applyNumberFormat="1" applyAlignment="1">
      <alignment horizontal="right"/>
    </xf>
    <xf numFmtId="9" fontId="0" fillId="0" borderId="0" xfId="0" applyNumberFormat="1"/>
    <xf numFmtId="9" fontId="0" fillId="0" borderId="0" xfId="0" applyNumberFormat="1" applyAlignment="1">
      <alignment horizontal="right"/>
    </xf>
    <xf numFmtId="0" fontId="1" fillId="0" borderId="0" xfId="0" applyFont="1"/>
    <xf numFmtId="9" fontId="1" fillId="0" borderId="0" xfId="0" applyNumberFormat="1" applyFont="1"/>
    <xf numFmtId="3" fontId="4" fillId="0" borderId="0" xfId="0" applyNumberFormat="1" applyFont="1"/>
    <xf numFmtId="0" fontId="5" fillId="0" borderId="0" xfId="0" applyFont="1"/>
    <xf numFmtId="3" fontId="4" fillId="0" borderId="0" xfId="0" applyNumberFormat="1" applyFont="1" applyAlignment="1">
      <alignment horizontal="right"/>
    </xf>
    <xf numFmtId="3" fontId="6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3" fontId="5" fillId="0" borderId="0" xfId="0" applyNumberFormat="1" applyFont="1"/>
    <xf numFmtId="37" fontId="0" fillId="0" borderId="0" xfId="0" applyNumberFormat="1" applyAlignment="1">
      <alignment horizontal="right"/>
    </xf>
    <xf numFmtId="3" fontId="7" fillId="0" borderId="0" xfId="0" applyNumberFormat="1" applyFont="1" applyAlignment="1">
      <alignment horizontal="right"/>
    </xf>
    <xf numFmtId="4" fontId="0" fillId="0" borderId="0" xfId="0" applyNumberFormat="1" applyAlignment="1">
      <alignment horizontal="right"/>
    </xf>
    <xf numFmtId="38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13" Type="http://schemas.microsoft.com/office/2017/10/relationships/person" Target="persons/person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12" Type="http://schemas.microsoft.com/office/2017/06/relationships/rdRichValueTypes" Target="richData/rdRichValueTyp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microsoft.com/office/2017/06/relationships/rdSupportingPropertyBag" Target="richData/rdsupportingpropertybag.xml"/><Relationship Id="rId5" Type="http://schemas.openxmlformats.org/officeDocument/2006/relationships/sharedStrings" Target="sharedStrings.xml"/><Relationship Id="rId10" Type="http://schemas.microsoft.com/office/2017/06/relationships/rdSupportingPropertyBagStructure" Target="richData/rdsupportingpropertybagstructure.xml"/><Relationship Id="rId4" Type="http://schemas.openxmlformats.org/officeDocument/2006/relationships/styles" Target="styles.xml"/><Relationship Id="rId9" Type="http://schemas.microsoft.com/office/2017/06/relationships/richStyles" Target="richData/richStyles.xml"/><Relationship Id="rId14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12700</xdr:colOff>
      <xdr:row>0</xdr:row>
      <xdr:rowOff>165100</xdr:rowOff>
    </xdr:from>
    <xdr:to>
      <xdr:col>14</xdr:col>
      <xdr:colOff>12700</xdr:colOff>
      <xdr:row>56</xdr:row>
      <xdr:rowOff>88900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39057737-DDA2-7CDC-AA58-56F5CD38B713}"/>
            </a:ext>
          </a:extLst>
        </xdr:cNvPr>
        <xdr:cNvCxnSpPr/>
      </xdr:nvCxnSpPr>
      <xdr:spPr>
        <a:xfrm>
          <a:off x="11569700" y="165100"/>
          <a:ext cx="0" cy="947420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12700</xdr:colOff>
      <xdr:row>0</xdr:row>
      <xdr:rowOff>101600</xdr:rowOff>
    </xdr:from>
    <xdr:to>
      <xdr:col>24</xdr:col>
      <xdr:colOff>12700</xdr:colOff>
      <xdr:row>58</xdr:row>
      <xdr:rowOff>63500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ADFD7F89-A581-CAF1-17EA-FCE7C1DCEE43}"/>
            </a:ext>
          </a:extLst>
        </xdr:cNvPr>
        <xdr:cNvCxnSpPr/>
      </xdr:nvCxnSpPr>
      <xdr:spPr>
        <a:xfrm>
          <a:off x="19824700" y="101600"/>
          <a:ext cx="0" cy="991870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linkedentity">
      <keyFlags>
        <key name="%cvi">
          <flag name="ShowInCardView" value="0"/>
          <flag name="ShowInDotNotation" value="0"/>
          <flag name="ShowInAutoComplete" value="0"/>
          <flag name="ExcludeFromCalcComparison" value="1"/>
        </key>
      </keyFlags>
    </type>
    <type name="_linkedentitycore">
      <keyFlags>
        <key name="%EntityServiceId">
          <flag name="ShowInCardView" value="0"/>
          <flag name="ShowInDotNotation" value="0"/>
          <flag name="ShowInAutoComplete" value="0"/>
        </key>
        <key name="%EntitySubDomain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IsRefreshable">
          <flag name="ShowInCardView" value="0"/>
          <flag name="ShowInAutoComplete" value="0"/>
          <flag name="ExcludeFromCalcComparison" value="1"/>
        </key>
        <key name="%ProviderInfo">
          <flag name="ShowInCardView" value="0"/>
          <flag name="ShowInDotNotation" value="0"/>
          <flag name="ShowInAutoComplete" value="0"/>
        </key>
        <key name="%DataProviderExternalLinkLogo">
          <flag name="ShowInCardView" value="0"/>
          <flag name="ShowInDotNotation" value="0"/>
          <flag name="ShowInAutoComplete" value="0"/>
        </key>
        <key name="%DataProviderExternalLink">
          <flag name="ShowInCardView" value="0"/>
          <flag name="ShowInDotNotation" value="0"/>
          <flag name="ShowInAutoComplete" value="0"/>
        </key>
        <key name="%OutdatedReason">
          <flag name="ShowInCardView" value="0"/>
          <flag name="ShowInDotNotation" value="0"/>
          <flag name="ShowInAutoComplete" value="0"/>
          <flag name="ExcludeFromCalcComparison" value="1"/>
        </key>
      </keyFlags>
    </type>
  </types>
</rvTypesInfo>
</file>

<file path=xl/richData/rdrichvalue.xml><?xml version="1.0" encoding="utf-8"?>
<rvData xmlns="http://schemas.microsoft.com/office/spreadsheetml/2017/richdata" count="2">
  <rv s="0">
    <v>0</v>
    <v>USD/TWD</v>
    <v>2</v>
    <v>3</v>
    <v>Finance</v>
    <v>4</v>
    <v>en-US</v>
    <v>avytar</v>
    <v>268435456</v>
    <v>1</v>
    <v>Powered by Refinitiv</v>
    <v>33.255000000000003</v>
    <v>31.292000000000002</v>
    <v>0.03</v>
    <v>9.1569999999999998E-4</v>
    <v>TWD</v>
    <v>USD</v>
    <v>32.872</v>
    <v>Currency Pair</v>
    <v>45721.63486111111</v>
    <v>32.753</v>
    <v>US Dollar/Taiwan Dollar FX Spot Rate</v>
    <v>32.747999999999998</v>
    <v>32.761000000000003</v>
    <v>32.790999999999997</v>
    <v>USDTWD</v>
    <v>USD/TWD</v>
  </rv>
  <rv s="1">
    <v>0</v>
  </rv>
</rvData>
</file>

<file path=xl/richData/rdrichvaluestructure.xml><?xml version="1.0" encoding="utf-8"?>
<rvStructures xmlns="http://schemas.microsoft.com/office/spreadsheetml/2017/richdata" count="2">
  <s t="_linkedentitycore">
    <k n="_Display" t="spb"/>
    <k n="_DisplayString" t="s"/>
    <k n="_Flags" t="spb"/>
    <k n="_Format" t="spb"/>
    <k n="_Icon" t="s"/>
    <k n="_SubLabel" t="spb"/>
    <k n="%EntityCulture" t="s"/>
    <k n="%EntityId" t="s"/>
    <k n="%EntityServiceId"/>
    <k n="%IsRefreshable" t="b"/>
    <k n="%ProviderInfo" t="s"/>
    <k n="52 week high"/>
    <k n="52 week low"/>
    <k n="Change"/>
    <k n="Change (%)"/>
    <k n="Currency" t="s"/>
    <k n="From currency" t="s"/>
    <k n="High"/>
    <k n="Instrument type" t="s"/>
    <k n="Last trade time"/>
    <k n="Low"/>
    <k n="Name" t="s"/>
    <k n="Open"/>
    <k n="Previous close"/>
    <k n="Price"/>
    <k n="Ticker symbol" t="s"/>
    <k n="UniqueName" t="s"/>
  </s>
  <s t="_linkedentity">
    <k n="%cvi" t="r"/>
  </s>
</rvStructures>
</file>

<file path=xl/richData/rdsupportingpropertybag.xml><?xml version="1.0" encoding="utf-8"?>
<supportingPropertyBags xmlns="http://schemas.microsoft.com/office/spreadsheetml/2017/richdata2">
  <spbArrays count="1">
    <a count="27">
      <v t="s">%EntityServiceId</v>
      <v t="s">_Format</v>
      <v t="s">%IsRefreshable</v>
      <v t="s">%EntityCulture</v>
      <v t="s">%EntityId</v>
      <v t="s">_Icon</v>
      <v t="s">_Display</v>
      <v t="s">Name</v>
      <v t="s">Price</v>
      <v t="s">_SubLabel</v>
      <v t="s">Last trade time</v>
      <v t="s">Ticker symbol</v>
      <v t="s">Change</v>
      <v t="s">Change (%)</v>
      <v t="s">Currency</v>
      <v t="s">From currency</v>
      <v t="s">Previous close</v>
      <v t="s">Open</v>
      <v t="s">High</v>
      <v t="s">Low</v>
      <v t="s">52 week high</v>
      <v t="s">52 week low</v>
      <v t="s">Instrument type</v>
      <v t="s">_Flags</v>
      <v t="s">UniqueName</v>
      <v t="s">_DisplayString</v>
      <v t="s">%ProviderInfo</v>
    </a>
  </spbArrays>
  <spbData count="5">
    <spb s="0">
      <v>0</v>
      <v>Name</v>
    </spb>
    <spb s="1">
      <v>0</v>
      <v>0</v>
      <v>0</v>
    </spb>
    <spb s="2">
      <v>1</v>
      <v>1</v>
    </spb>
    <spb s="3">
      <v>1</v>
      <v>1</v>
      <v>2</v>
      <v>1</v>
      <v>1</v>
      <v>1</v>
      <v>3</v>
      <v>1</v>
      <v>1</v>
      <v>1</v>
      <v>4</v>
      <v>5</v>
    </spb>
    <spb s="4">
      <v>GMT</v>
    </spb>
  </spbData>
</supportingPropertyBags>
</file>

<file path=xl/richData/rdsupportingpropertybagstructure.xml><?xml version="1.0" encoding="utf-8"?>
<spbStructures xmlns="http://schemas.microsoft.com/office/spreadsheetml/2017/richdata2" count="5">
  <s>
    <k n="^Order" t="spba"/>
    <k n="TitleProperty" t="s"/>
  </s>
  <s>
    <k n="ShowInCardView" t="b"/>
    <k n="ShowInDotNotation" t="b"/>
    <k n="ShowInAutoComplete" t="b"/>
  </s>
  <s>
    <k n="UniqueName" t="spb"/>
    <k n="`%ProviderInfo" t="spb"/>
  </s>
  <s>
    <k n="Low" t="i"/>
    <k n="High" t="i"/>
    <k n="Name" t="i"/>
    <k n="Open" t="i"/>
    <k n="Price" t="i"/>
    <k n="Change" t="i"/>
    <k n="Change (%)" t="i"/>
    <k n="52 week low" t="i"/>
    <k n="52 week high" t="i"/>
    <k n="Previous close" t="i"/>
    <k n="Last trade time" t="i"/>
    <k n="`%EntityServiceId" t="i"/>
  </s>
  <s>
    <k n="Last trade time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4">
    <x:dxf>
      <x:numFmt numFmtId="2" formatCode="0.00"/>
    </x:dxf>
    <x:dxf>
      <x:numFmt numFmtId="0" formatCode="General"/>
    </x:dxf>
    <x:dxf>
      <x:numFmt numFmtId="14" formatCode="0.00%"/>
    </x:dxf>
    <x:dxf>
      <x:numFmt numFmtId="27" formatCode="m/d/yy\ h:mm"/>
    </x:dxf>
  </dxfs>
  <richProperties>
    <rPr n="NumberFormat" t="s"/>
    <rPr n="IsTitleField" t="b"/>
  </richProperties>
  <richStyles>
    <rSty dxfid="1">
      <rpv i="0">_([$$-zh-TW]* #,##0.00_);_([$$-zh-TW]* (#,##0.00);_([$$-zh-TW]* "-"??_);_(@_)</rpv>
    </rSty>
    <rSty>
      <rpv i="1">1</rpv>
    </rSty>
    <rSty dxfid="2"/>
    <rSty dxfid="3"/>
    <rSty dxfid="0">
      <rpv i="0">0.00</rpv>
    </rSty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52F7A-0B68-8F44-81F5-7156AC3CDA03}">
  <dimension ref="A2:L58"/>
  <sheetViews>
    <sheetView workbookViewId="0">
      <selection activeCell="K4" sqref="K4"/>
    </sheetView>
  </sheetViews>
  <sheetFormatPr baseColWidth="10" defaultRowHeight="16" x14ac:dyDescent="0.2"/>
  <cols>
    <col min="3" max="3" width="20.6640625" customWidth="1"/>
    <col min="4" max="4" width="22.83203125" bestFit="1" customWidth="1"/>
  </cols>
  <sheetData>
    <row r="2" spans="2:12" x14ac:dyDescent="0.2">
      <c r="K2" t="s">
        <v>9</v>
      </c>
    </row>
    <row r="3" spans="2:12" x14ac:dyDescent="0.2">
      <c r="J3" t="s">
        <v>0</v>
      </c>
      <c r="K3">
        <v>195.89</v>
      </c>
    </row>
    <row r="4" spans="2:12" x14ac:dyDescent="0.2">
      <c r="J4" t="s">
        <v>1</v>
      </c>
      <c r="K4" s="1">
        <v>5185.8</v>
      </c>
      <c r="L4" t="s">
        <v>6</v>
      </c>
    </row>
    <row r="5" spans="2:12" x14ac:dyDescent="0.2">
      <c r="J5" t="s">
        <v>2</v>
      </c>
      <c r="K5" s="1">
        <f>K3*K4</f>
        <v>1015846.362</v>
      </c>
    </row>
    <row r="6" spans="2:12" x14ac:dyDescent="0.2">
      <c r="J6" t="s">
        <v>3</v>
      </c>
      <c r="K6" s="1">
        <f>64930+8984</f>
        <v>73914</v>
      </c>
      <c r="L6" t="s">
        <v>6</v>
      </c>
    </row>
    <row r="7" spans="2:12" x14ac:dyDescent="0.2">
      <c r="J7" t="s">
        <v>4</v>
      </c>
      <c r="K7" s="1">
        <f>1827+28278</f>
        <v>30105</v>
      </c>
      <c r="L7" t="s">
        <v>6</v>
      </c>
    </row>
    <row r="8" spans="2:12" x14ac:dyDescent="0.2">
      <c r="J8" t="s">
        <v>5</v>
      </c>
      <c r="K8" s="1">
        <f>K5-K6+K7</f>
        <v>972037.36199999996</v>
      </c>
    </row>
    <row r="9" spans="2:12" x14ac:dyDescent="0.2">
      <c r="K9" s="2" t="s">
        <v>11</v>
      </c>
    </row>
    <row r="12" spans="2:12" x14ac:dyDescent="0.2">
      <c r="G12" t="s">
        <v>7</v>
      </c>
      <c r="H12" t="s">
        <v>8</v>
      </c>
      <c r="J12" t="s">
        <v>10</v>
      </c>
      <c r="K12" s="1">
        <f>K6-K7</f>
        <v>43809</v>
      </c>
    </row>
    <row r="15" spans="2:12" x14ac:dyDescent="0.2">
      <c r="B15" t="s">
        <v>46</v>
      </c>
    </row>
    <row r="16" spans="2:12" x14ac:dyDescent="0.2">
      <c r="B16" t="s">
        <v>32</v>
      </c>
      <c r="C16" s="10">
        <f>1-SUM(C17:C23)</f>
        <v>5.9999999999999942E-2</v>
      </c>
    </row>
    <row r="17" spans="2:5" x14ac:dyDescent="0.2">
      <c r="B17" t="s">
        <v>53</v>
      </c>
      <c r="C17" s="10">
        <v>0.04</v>
      </c>
    </row>
    <row r="18" spans="2:5" x14ac:dyDescent="0.2">
      <c r="B18" t="s">
        <v>52</v>
      </c>
      <c r="C18" s="10">
        <v>0.03</v>
      </c>
    </row>
    <row r="19" spans="2:5" x14ac:dyDescent="0.2">
      <c r="B19" t="s">
        <v>51</v>
      </c>
      <c r="C19" s="10">
        <v>0.06</v>
      </c>
    </row>
    <row r="20" spans="2:5" x14ac:dyDescent="0.2">
      <c r="B20" t="s">
        <v>50</v>
      </c>
      <c r="C20" s="10">
        <v>7.0000000000000007E-2</v>
      </c>
    </row>
    <row r="21" spans="2:5" x14ac:dyDescent="0.2">
      <c r="B21" t="s">
        <v>47</v>
      </c>
      <c r="C21" s="10">
        <v>0.14000000000000001</v>
      </c>
    </row>
    <row r="22" spans="2:5" s="12" customFormat="1" x14ac:dyDescent="0.2">
      <c r="B22" s="12" t="s">
        <v>48</v>
      </c>
      <c r="C22" s="13">
        <v>0.34</v>
      </c>
    </row>
    <row r="23" spans="2:5" s="12" customFormat="1" x14ac:dyDescent="0.2">
      <c r="B23" s="12" t="s">
        <v>49</v>
      </c>
      <c r="C23" s="13">
        <v>0.26</v>
      </c>
      <c r="D23" s="12" t="s">
        <v>54</v>
      </c>
    </row>
    <row r="27" spans="2:5" x14ac:dyDescent="0.2">
      <c r="B27" s="15" t="s">
        <v>66</v>
      </c>
      <c r="C27" s="12" t="s">
        <v>87</v>
      </c>
      <c r="D27" t="s">
        <v>90</v>
      </c>
      <c r="E27" t="s">
        <v>89</v>
      </c>
    </row>
    <row r="28" spans="2:5" x14ac:dyDescent="0.2">
      <c r="B28" t="s">
        <v>86</v>
      </c>
      <c r="C28" t="s">
        <v>88</v>
      </c>
      <c r="D28" s="1">
        <v>20000</v>
      </c>
      <c r="E28" t="s">
        <v>96</v>
      </c>
    </row>
    <row r="29" spans="2:5" x14ac:dyDescent="0.2">
      <c r="B29" t="s">
        <v>57</v>
      </c>
      <c r="C29" t="s">
        <v>91</v>
      </c>
      <c r="D29" s="1">
        <v>55000</v>
      </c>
      <c r="E29" t="s">
        <v>92</v>
      </c>
    </row>
    <row r="30" spans="2:5" x14ac:dyDescent="0.2">
      <c r="B30" t="s">
        <v>58</v>
      </c>
      <c r="C30" t="s">
        <v>59</v>
      </c>
      <c r="D30" t="s">
        <v>60</v>
      </c>
      <c r="E30" t="s">
        <v>97</v>
      </c>
    </row>
    <row r="31" spans="2:5" x14ac:dyDescent="0.2">
      <c r="B31" t="s">
        <v>63</v>
      </c>
      <c r="C31" t="s">
        <v>93</v>
      </c>
      <c r="D31" t="s">
        <v>62</v>
      </c>
      <c r="E31" t="s">
        <v>97</v>
      </c>
    </row>
    <row r="32" spans="2:5" x14ac:dyDescent="0.2">
      <c r="B32" t="s">
        <v>61</v>
      </c>
      <c r="C32" t="s">
        <v>64</v>
      </c>
      <c r="D32" t="s">
        <v>65</v>
      </c>
      <c r="E32" t="s">
        <v>98</v>
      </c>
    </row>
    <row r="34" spans="2:7" x14ac:dyDescent="0.2">
      <c r="B34" s="15" t="s">
        <v>67</v>
      </c>
      <c r="C34" t="s">
        <v>75</v>
      </c>
      <c r="D34" t="s">
        <v>90</v>
      </c>
    </row>
    <row r="35" spans="2:7" x14ac:dyDescent="0.2">
      <c r="B35" t="s">
        <v>76</v>
      </c>
      <c r="C35" t="s">
        <v>77</v>
      </c>
      <c r="D35" s="1">
        <f>100000+40000+6800+25000</f>
        <v>171800</v>
      </c>
    </row>
    <row r="36" spans="2:7" x14ac:dyDescent="0.2">
      <c r="B36" t="s">
        <v>68</v>
      </c>
      <c r="C36" t="s">
        <v>78</v>
      </c>
      <c r="D36" s="1">
        <v>132500</v>
      </c>
    </row>
    <row r="37" spans="2:7" x14ac:dyDescent="0.2">
      <c r="B37" t="s">
        <v>69</v>
      </c>
      <c r="C37">
        <v>20</v>
      </c>
      <c r="D37" s="1">
        <v>100000</v>
      </c>
    </row>
    <row r="38" spans="2:7" x14ac:dyDescent="0.2">
      <c r="B38" t="s">
        <v>70</v>
      </c>
      <c r="C38" t="s">
        <v>79</v>
      </c>
      <c r="D38" s="1">
        <v>288000</v>
      </c>
    </row>
    <row r="39" spans="2:7" x14ac:dyDescent="0.2">
      <c r="B39" t="s">
        <v>71</v>
      </c>
      <c r="C39" t="s">
        <v>80</v>
      </c>
      <c r="D39" s="1">
        <v>100000</v>
      </c>
    </row>
    <row r="40" spans="2:7" x14ac:dyDescent="0.2">
      <c r="B40" t="s">
        <v>72</v>
      </c>
      <c r="C40" t="s">
        <v>81</v>
      </c>
      <c r="D40" s="1">
        <v>48000</v>
      </c>
    </row>
    <row r="41" spans="2:7" x14ac:dyDescent="0.2">
      <c r="B41" t="s">
        <v>73</v>
      </c>
      <c r="C41">
        <v>180</v>
      </c>
      <c r="D41" s="1">
        <v>99000</v>
      </c>
    </row>
    <row r="42" spans="2:7" x14ac:dyDescent="0.2">
      <c r="B42" t="s">
        <v>74</v>
      </c>
      <c r="C42" t="s">
        <v>94</v>
      </c>
      <c r="D42" s="1">
        <v>240000</v>
      </c>
      <c r="E42" t="s">
        <v>95</v>
      </c>
      <c r="F42" t="s">
        <v>99</v>
      </c>
    </row>
    <row r="43" spans="2:7" x14ac:dyDescent="0.2">
      <c r="B43" t="s">
        <v>82</v>
      </c>
      <c r="C43" t="s">
        <v>84</v>
      </c>
      <c r="D43" s="1">
        <v>33000</v>
      </c>
    </row>
    <row r="44" spans="2:7" x14ac:dyDescent="0.2">
      <c r="B44" t="s">
        <v>83</v>
      </c>
      <c r="C44" t="s">
        <v>85</v>
      </c>
      <c r="D44" s="1">
        <v>85000</v>
      </c>
    </row>
    <row r="45" spans="2:7" x14ac:dyDescent="0.2">
      <c r="D45" s="1"/>
      <c r="F45">
        <v>20000</v>
      </c>
      <c r="G45">
        <v>7</v>
      </c>
    </row>
    <row r="46" spans="2:7" x14ac:dyDescent="0.2">
      <c r="F46">
        <f>F45*$G$45</f>
        <v>140000</v>
      </c>
    </row>
    <row r="47" spans="2:7" x14ac:dyDescent="0.2">
      <c r="F47">
        <f t="shared" ref="F47:F49" si="0">+F46*1.2</f>
        <v>168000</v>
      </c>
    </row>
    <row r="48" spans="2:7" x14ac:dyDescent="0.2">
      <c r="F48">
        <f t="shared" si="0"/>
        <v>201600</v>
      </c>
    </row>
    <row r="49" spans="1:6" x14ac:dyDescent="0.2">
      <c r="F49">
        <f t="shared" si="0"/>
        <v>241920</v>
      </c>
    </row>
    <row r="53" spans="1:6" x14ac:dyDescent="0.2">
      <c r="B53" s="7">
        <v>109707</v>
      </c>
      <c r="C53">
        <f>0.4*F45/240000</f>
        <v>3.3333333333333333E-2</v>
      </c>
      <c r="D53">
        <f>C53*$B$53</f>
        <v>3656.9</v>
      </c>
    </row>
    <row r="54" spans="1:6" x14ac:dyDescent="0.2">
      <c r="A54" s="10">
        <f>B54/B53-1</f>
        <v>0.21538461538461551</v>
      </c>
      <c r="B54" s="1">
        <f>+$B$53+D54</f>
        <v>133336.20000000001</v>
      </c>
      <c r="C54">
        <f>0.4*F46/260000</f>
        <v>0.2153846153846154</v>
      </c>
      <c r="D54">
        <f t="shared" ref="D54:D57" si="1">C54*$B$53</f>
        <v>23629.200000000001</v>
      </c>
    </row>
    <row r="55" spans="1:6" x14ac:dyDescent="0.2">
      <c r="A55" s="10">
        <f t="shared" ref="A55:A57" si="2">B55/B54-1</f>
        <v>2.0253164556961911E-2</v>
      </c>
      <c r="B55" s="1">
        <f t="shared" ref="B55:B57" si="3">+$B$53+D55</f>
        <v>136036.68</v>
      </c>
      <c r="C55">
        <f>0.4*F47/280000</f>
        <v>0.24</v>
      </c>
      <c r="D55">
        <f t="shared" si="1"/>
        <v>26329.68</v>
      </c>
    </row>
    <row r="56" spans="1:6" x14ac:dyDescent="0.2">
      <c r="A56" s="10">
        <f t="shared" si="2"/>
        <v>2.3225806451613096E-2</v>
      </c>
      <c r="B56" s="1">
        <f t="shared" si="3"/>
        <v>139196.24160000001</v>
      </c>
      <c r="C56">
        <f>0.4*F48/300000</f>
        <v>0.26879999999999998</v>
      </c>
      <c r="D56">
        <f t="shared" si="1"/>
        <v>29489.241599999998</v>
      </c>
    </row>
    <row r="57" spans="1:6" x14ac:dyDescent="0.2">
      <c r="A57" s="10">
        <f t="shared" si="2"/>
        <v>4.2370744010088224E-2</v>
      </c>
      <c r="B57" s="1">
        <f t="shared" si="3"/>
        <v>145094.08992</v>
      </c>
      <c r="C57">
        <f t="shared" ref="C57" si="4">0.4*F49/300000</f>
        <v>0.32256000000000001</v>
      </c>
      <c r="D57">
        <f t="shared" si="1"/>
        <v>35387.089919999999</v>
      </c>
    </row>
    <row r="58" spans="1:6" x14ac:dyDescent="0.2">
      <c r="A58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54558-9E8A-644A-925B-6CF2B9037155}">
  <dimension ref="B2:CZ68"/>
  <sheetViews>
    <sheetView tabSelected="1" workbookViewId="0">
      <pane xSplit="2" ySplit="2" topLeftCell="Q3" activePane="bottomRight" state="frozen"/>
      <selection pane="topRight" activeCell="C1" sqref="C1"/>
      <selection pane="bottomLeft" activeCell="A3" sqref="A3"/>
      <selection pane="bottomRight" activeCell="AB3" sqref="AB3:AC3"/>
    </sheetView>
  </sheetViews>
  <sheetFormatPr baseColWidth="10" defaultRowHeight="16" x14ac:dyDescent="0.2"/>
  <cols>
    <col min="3" max="12" width="10.83203125" style="3"/>
    <col min="13" max="14" width="11.5" style="3" bestFit="1" customWidth="1"/>
    <col min="15" max="37" width="10.83203125" style="3"/>
    <col min="38" max="38" width="13.33203125" style="3" bestFit="1" customWidth="1"/>
    <col min="39" max="52" width="10.83203125" style="3"/>
  </cols>
  <sheetData>
    <row r="2" spans="2:104" x14ac:dyDescent="0.2">
      <c r="C2" s="3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3" t="s">
        <v>20</v>
      </c>
      <c r="K2" s="3" t="s">
        <v>21</v>
      </c>
      <c r="L2" s="3" t="s">
        <v>22</v>
      </c>
      <c r="M2" s="3" t="s">
        <v>23</v>
      </c>
      <c r="N2" s="3" t="s">
        <v>6</v>
      </c>
      <c r="O2" s="3" t="s">
        <v>24</v>
      </c>
      <c r="P2" s="3" t="s">
        <v>25</v>
      </c>
      <c r="Q2" s="3" t="s">
        <v>26</v>
      </c>
      <c r="R2" s="3" t="s">
        <v>27</v>
      </c>
      <c r="V2" s="3">
        <v>2022</v>
      </c>
      <c r="W2" s="3">
        <f>+V2+1</f>
        <v>2023</v>
      </c>
      <c r="X2" s="3">
        <f t="shared" ref="X2:AI2" si="0">+W2+1</f>
        <v>2024</v>
      </c>
      <c r="Y2" s="3">
        <f t="shared" si="0"/>
        <v>2025</v>
      </c>
      <c r="Z2" s="3">
        <f t="shared" si="0"/>
        <v>2026</v>
      </c>
      <c r="AA2" s="3">
        <f t="shared" si="0"/>
        <v>2027</v>
      </c>
      <c r="AB2" s="3">
        <f t="shared" si="0"/>
        <v>2028</v>
      </c>
      <c r="AC2" s="3">
        <f t="shared" si="0"/>
        <v>2029</v>
      </c>
      <c r="AD2" s="3">
        <f t="shared" si="0"/>
        <v>2030</v>
      </c>
      <c r="AE2" s="3">
        <f t="shared" si="0"/>
        <v>2031</v>
      </c>
      <c r="AF2" s="3">
        <f t="shared" si="0"/>
        <v>2032</v>
      </c>
      <c r="AG2" s="3">
        <f t="shared" si="0"/>
        <v>2033</v>
      </c>
      <c r="AH2" s="3">
        <f t="shared" si="0"/>
        <v>2034</v>
      </c>
      <c r="AI2" s="3">
        <f t="shared" si="0"/>
        <v>2035</v>
      </c>
    </row>
    <row r="3" spans="2:104" s="6" customFormat="1" x14ac:dyDescent="0.2">
      <c r="B3" s="6" t="s">
        <v>12</v>
      </c>
      <c r="C3" s="7">
        <v>17567</v>
      </c>
      <c r="D3" s="7">
        <v>18158</v>
      </c>
      <c r="E3" s="7">
        <v>20225</v>
      </c>
      <c r="F3" s="7">
        <v>19931</v>
      </c>
      <c r="G3" s="7">
        <v>16719</v>
      </c>
      <c r="H3" s="7">
        <v>15677</v>
      </c>
      <c r="I3" s="7">
        <v>17278</v>
      </c>
      <c r="J3" s="7">
        <v>19624</v>
      </c>
      <c r="K3" s="7">
        <v>18873</v>
      </c>
      <c r="L3" s="7">
        <v>20822</v>
      </c>
      <c r="M3" s="7">
        <v>23504</v>
      </c>
      <c r="N3" s="7">
        <v>26884</v>
      </c>
      <c r="O3" s="7">
        <v>25400</v>
      </c>
      <c r="P3" s="7">
        <f>L3*1.35</f>
        <v>28109.7</v>
      </c>
      <c r="Q3" s="7">
        <f t="shared" ref="Q3:R3" si="1">M3*1.35</f>
        <v>31730.400000000001</v>
      </c>
      <c r="R3" s="7">
        <f t="shared" si="1"/>
        <v>36293.4</v>
      </c>
      <c r="S3" s="7"/>
      <c r="T3" s="7"/>
      <c r="U3" s="7"/>
      <c r="V3" s="7">
        <f>SUM(C3:F3)</f>
        <v>75881</v>
      </c>
      <c r="W3" s="7">
        <f>SUM(G3:J3)</f>
        <v>69298</v>
      </c>
      <c r="X3" s="7">
        <f>SUM(K3:N3)</f>
        <v>90083</v>
      </c>
      <c r="Y3" s="7">
        <f>SUM(O3:R3)</f>
        <v>121533.5</v>
      </c>
      <c r="Z3" s="7">
        <f t="shared" ref="Z3:AA3" si="2">Y3*1.2</f>
        <v>145840.19999999998</v>
      </c>
      <c r="AA3" s="7">
        <f t="shared" si="2"/>
        <v>175008.23999999996</v>
      </c>
      <c r="AB3" s="7">
        <f>AA3*0.9</f>
        <v>157507.41599999997</v>
      </c>
      <c r="AC3" s="7">
        <f t="shared" ref="AC3" si="3">AB3*0.9</f>
        <v>141756.67439999999</v>
      </c>
      <c r="AD3" s="7">
        <f>AC3*1.3</f>
        <v>184283.67671999999</v>
      </c>
      <c r="AE3" s="7">
        <f>AD3*1.2</f>
        <v>221140.41206399997</v>
      </c>
      <c r="AF3" s="7">
        <f t="shared" ref="AF3:AG3" si="4">AE3*1.2</f>
        <v>265368.49447679997</v>
      </c>
      <c r="AG3" s="7">
        <f t="shared" si="4"/>
        <v>318442.19337215996</v>
      </c>
      <c r="AH3" s="7">
        <f t="shared" ref="AH3" si="5">AG3*1.1</f>
        <v>350286.41270937596</v>
      </c>
      <c r="AI3" s="7">
        <f>AH3*1.05</f>
        <v>367800.73334484478</v>
      </c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</row>
    <row r="4" spans="2:104" s="1" customFormat="1" x14ac:dyDescent="0.2">
      <c r="B4" s="1" t="s">
        <v>28</v>
      </c>
      <c r="C4" s="4">
        <v>7794</v>
      </c>
      <c r="D4" s="4">
        <v>7434</v>
      </c>
      <c r="E4" s="4">
        <v>8004</v>
      </c>
      <c r="F4" s="4">
        <v>7531</v>
      </c>
      <c r="G4" s="4">
        <v>7302</v>
      </c>
      <c r="H4" s="4">
        <v>7194</v>
      </c>
      <c r="I4" s="4">
        <v>7903</v>
      </c>
      <c r="J4" s="4">
        <v>9216</v>
      </c>
      <c r="K4" s="4">
        <v>8858</v>
      </c>
      <c r="L4" s="4">
        <v>9750</v>
      </c>
      <c r="M4" s="4">
        <v>9911</v>
      </c>
      <c r="N4" s="4">
        <v>11023</v>
      </c>
      <c r="O4" s="4">
        <f>+O3-O5</f>
        <v>10414</v>
      </c>
      <c r="P4" s="4">
        <f t="shared" ref="P4:R4" si="6">+P3-P5</f>
        <v>11524.977000000003</v>
      </c>
      <c r="Q4" s="4">
        <f t="shared" si="6"/>
        <v>13009.464</v>
      </c>
      <c r="R4" s="4">
        <f t="shared" si="6"/>
        <v>14880.294000000002</v>
      </c>
      <c r="S4" s="4"/>
      <c r="T4" s="4"/>
      <c r="U4" s="4"/>
      <c r="V4" s="21">
        <f>SUM(C4:F4)</f>
        <v>30763</v>
      </c>
      <c r="W4" s="21">
        <f>SUM(G4:J4)</f>
        <v>31615</v>
      </c>
      <c r="X4" s="4">
        <f>SUM(K4:N4)</f>
        <v>39542</v>
      </c>
      <c r="Y4" s="21">
        <f>SUM(O4:R4)</f>
        <v>49828.735000000008</v>
      </c>
      <c r="Z4" s="4">
        <f>+Z3-Z5</f>
        <v>59794.482000000004</v>
      </c>
      <c r="AA4" s="4">
        <f t="shared" ref="AA4:AI4" si="7">+AA3-AA5</f>
        <v>71753.378399999987</v>
      </c>
      <c r="AB4" s="4">
        <f t="shared" si="7"/>
        <v>64578.040559999994</v>
      </c>
      <c r="AC4" s="4">
        <f t="shared" si="7"/>
        <v>58120.236504</v>
      </c>
      <c r="AD4" s="4">
        <f t="shared" si="7"/>
        <v>75556.307455200003</v>
      </c>
      <c r="AE4" s="4">
        <f t="shared" si="7"/>
        <v>90667.56894623999</v>
      </c>
      <c r="AF4" s="4">
        <f t="shared" si="7"/>
        <v>108801.08273548799</v>
      </c>
      <c r="AG4" s="4">
        <f t="shared" si="7"/>
        <v>130561.29928258559</v>
      </c>
      <c r="AH4" s="4">
        <f t="shared" si="7"/>
        <v>143617.42921084416</v>
      </c>
      <c r="AI4" s="4">
        <f t="shared" si="7"/>
        <v>150798.30067138636</v>
      </c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</row>
    <row r="5" spans="2:104" s="1" customFormat="1" x14ac:dyDescent="0.2">
      <c r="B5" s="5" t="s">
        <v>29</v>
      </c>
      <c r="C5" s="4">
        <f t="shared" ref="C5:N5" si="8">+C3-C4</f>
        <v>9773</v>
      </c>
      <c r="D5" s="4">
        <f t="shared" si="8"/>
        <v>10724</v>
      </c>
      <c r="E5" s="4">
        <f t="shared" si="8"/>
        <v>12221</v>
      </c>
      <c r="F5" s="4">
        <f t="shared" si="8"/>
        <v>12400</v>
      </c>
      <c r="G5" s="4">
        <f t="shared" si="8"/>
        <v>9417</v>
      </c>
      <c r="H5" s="4">
        <f t="shared" si="8"/>
        <v>8483</v>
      </c>
      <c r="I5" s="4">
        <f t="shared" si="8"/>
        <v>9375</v>
      </c>
      <c r="J5" s="4">
        <f t="shared" si="8"/>
        <v>10408</v>
      </c>
      <c r="K5" s="4">
        <f t="shared" si="8"/>
        <v>10015</v>
      </c>
      <c r="L5" s="4">
        <f t="shared" si="8"/>
        <v>11072</v>
      </c>
      <c r="M5" s="4">
        <f t="shared" si="8"/>
        <v>13593</v>
      </c>
      <c r="N5" s="4">
        <f t="shared" si="8"/>
        <v>15861</v>
      </c>
      <c r="O5" s="4">
        <f>O3*0.59</f>
        <v>14986</v>
      </c>
      <c r="P5" s="4">
        <f t="shared" ref="P5:R5" si="9">P3*0.59</f>
        <v>16584.722999999998</v>
      </c>
      <c r="Q5" s="4">
        <f t="shared" si="9"/>
        <v>18720.936000000002</v>
      </c>
      <c r="R5" s="4">
        <f t="shared" si="9"/>
        <v>21413.106</v>
      </c>
      <c r="S5" s="4"/>
      <c r="T5" s="4"/>
      <c r="U5" s="4"/>
      <c r="V5" s="4">
        <f>+V3-V4</f>
        <v>45118</v>
      </c>
      <c r="W5" s="4">
        <f>+W3-W4</f>
        <v>37683</v>
      </c>
      <c r="X5" s="4">
        <f>+X3-X4</f>
        <v>50541</v>
      </c>
      <c r="Y5" s="4">
        <f>+Y3-Y4</f>
        <v>71704.764999999985</v>
      </c>
      <c r="Z5" s="4">
        <f>Z3*0.59</f>
        <v>86045.717999999979</v>
      </c>
      <c r="AA5" s="4">
        <f t="shared" ref="AA5:AI5" si="10">AA3*0.59</f>
        <v>103254.86159999997</v>
      </c>
      <c r="AB5" s="4">
        <f t="shared" si="10"/>
        <v>92929.375439999974</v>
      </c>
      <c r="AC5" s="4">
        <f t="shared" si="10"/>
        <v>83636.437895999989</v>
      </c>
      <c r="AD5" s="4">
        <f t="shared" si="10"/>
        <v>108727.36926479999</v>
      </c>
      <c r="AE5" s="4">
        <f t="shared" si="10"/>
        <v>130472.84311775999</v>
      </c>
      <c r="AF5" s="4">
        <f t="shared" si="10"/>
        <v>156567.41174131198</v>
      </c>
      <c r="AG5" s="4">
        <f t="shared" si="10"/>
        <v>187880.89408957437</v>
      </c>
      <c r="AH5" s="4">
        <f t="shared" si="10"/>
        <v>206668.9834985318</v>
      </c>
      <c r="AI5" s="4">
        <f t="shared" si="10"/>
        <v>217002.43267345842</v>
      </c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</row>
    <row r="6" spans="2:104" s="1" customFormat="1" x14ac:dyDescent="0.2">
      <c r="B6" s="1" t="s">
        <v>30</v>
      </c>
      <c r="C6" s="4">
        <v>1290</v>
      </c>
      <c r="D6" s="4">
        <v>1348</v>
      </c>
      <c r="E6" s="4">
        <v>1417</v>
      </c>
      <c r="F6" s="4">
        <v>1421</v>
      </c>
      <c r="G6" s="4">
        <v>1287</v>
      </c>
      <c r="H6" s="4">
        <v>1358</v>
      </c>
      <c r="I6" s="4">
        <v>1616</v>
      </c>
      <c r="J6" s="4">
        <v>1582</v>
      </c>
      <c r="K6" s="4">
        <v>1468</v>
      </c>
      <c r="L6" s="4">
        <v>1486</v>
      </c>
      <c r="M6" s="4">
        <v>1633</v>
      </c>
      <c r="N6" s="4">
        <v>1772</v>
      </c>
      <c r="O6" s="4">
        <f>K6*1.1</f>
        <v>1614.8000000000002</v>
      </c>
      <c r="P6" s="4">
        <f t="shared" ref="P6:R6" si="11">L6*1.1</f>
        <v>1634.6000000000001</v>
      </c>
      <c r="Q6" s="4">
        <f t="shared" si="11"/>
        <v>1796.3000000000002</v>
      </c>
      <c r="R6" s="4">
        <f t="shared" si="11"/>
        <v>1949.2</v>
      </c>
      <c r="S6" s="4"/>
      <c r="T6" s="4"/>
      <c r="U6" s="4"/>
      <c r="V6" s="21">
        <f t="shared" ref="V6:V8" si="12">SUM(C6:F6)</f>
        <v>5476</v>
      </c>
      <c r="W6" s="21">
        <f t="shared" ref="W6:W8" si="13">SUM(G6:J6)</f>
        <v>5843</v>
      </c>
      <c r="X6" s="4">
        <f>SUM(K6:N6)</f>
        <v>6359</v>
      </c>
      <c r="Y6" s="21">
        <f t="shared" ref="Y6:Y8" si="14">SUM(O6:R6)</f>
        <v>6994.9000000000005</v>
      </c>
      <c r="Z6" s="4">
        <f>Y6*1.1</f>
        <v>7694.3900000000012</v>
      </c>
      <c r="AA6" s="4">
        <f t="shared" ref="AA6:AH6" si="15">Z6*1.1</f>
        <v>8463.8290000000015</v>
      </c>
      <c r="AB6" s="4">
        <f t="shared" si="15"/>
        <v>9310.2119000000021</v>
      </c>
      <c r="AC6" s="4">
        <f t="shared" si="15"/>
        <v>10241.233090000003</v>
      </c>
      <c r="AD6" s="4">
        <f t="shared" si="15"/>
        <v>11265.356399000004</v>
      </c>
      <c r="AE6" s="4">
        <f t="shared" si="15"/>
        <v>12391.892038900005</v>
      </c>
      <c r="AF6" s="4">
        <f t="shared" si="15"/>
        <v>13631.081242790007</v>
      </c>
      <c r="AG6" s="4">
        <f t="shared" si="15"/>
        <v>14994.18936706901</v>
      </c>
      <c r="AH6" s="4">
        <f t="shared" si="15"/>
        <v>16493.608303775913</v>
      </c>
      <c r="AI6" s="4">
        <f>AH6*1.05</f>
        <v>17318.288718964708</v>
      </c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</row>
    <row r="7" spans="2:104" s="1" customFormat="1" x14ac:dyDescent="0.2">
      <c r="B7" s="1" t="s">
        <v>31</v>
      </c>
      <c r="C7" s="4">
        <v>449</v>
      </c>
      <c r="D7" s="4">
        <v>466</v>
      </c>
      <c r="E7" s="4">
        <v>568</v>
      </c>
      <c r="F7" s="4">
        <v>635</v>
      </c>
      <c r="G7" s="4">
        <v>531</v>
      </c>
      <c r="H7" s="4">
        <v>539</v>
      </c>
      <c r="I7" s="4">
        <v>556</v>
      </c>
      <c r="J7" s="4">
        <v>665</v>
      </c>
      <c r="K7" s="4">
        <v>613</v>
      </c>
      <c r="L7" s="4">
        <v>688</v>
      </c>
      <c r="M7" s="4">
        <v>814</v>
      </c>
      <c r="N7" s="4">
        <v>901</v>
      </c>
      <c r="O7" s="4">
        <f>K7*1.3</f>
        <v>796.9</v>
      </c>
      <c r="P7" s="4">
        <f t="shared" ref="P7:R7" si="16">L7*1.3</f>
        <v>894.4</v>
      </c>
      <c r="Q7" s="4">
        <f t="shared" si="16"/>
        <v>1058.2</v>
      </c>
      <c r="R7" s="4">
        <f t="shared" si="16"/>
        <v>1171.3</v>
      </c>
      <c r="S7" s="4"/>
      <c r="T7" s="4"/>
      <c r="U7" s="4"/>
      <c r="V7" s="21">
        <f t="shared" si="12"/>
        <v>2118</v>
      </c>
      <c r="W7" s="21">
        <f t="shared" si="13"/>
        <v>2291</v>
      </c>
      <c r="X7" s="4">
        <f>SUM(K7:N7)</f>
        <v>3016</v>
      </c>
      <c r="Y7" s="21">
        <f t="shared" si="14"/>
        <v>3920.8</v>
      </c>
      <c r="Z7" s="4">
        <f>Y7*1.3</f>
        <v>5097.04</v>
      </c>
      <c r="AA7" s="4">
        <f t="shared" ref="AA7:AH7" si="17">Z7*1.3</f>
        <v>6626.152</v>
      </c>
      <c r="AB7" s="4">
        <f t="shared" si="17"/>
        <v>8613.9976000000006</v>
      </c>
      <c r="AC7" s="4">
        <f t="shared" si="17"/>
        <v>11198.196880000001</v>
      </c>
      <c r="AD7" s="4">
        <f t="shared" si="17"/>
        <v>14557.655944000002</v>
      </c>
      <c r="AE7" s="4">
        <f t="shared" si="17"/>
        <v>18924.952727200001</v>
      </c>
      <c r="AF7" s="4">
        <f t="shared" si="17"/>
        <v>24602.438545360004</v>
      </c>
      <c r="AG7" s="4">
        <f t="shared" si="17"/>
        <v>31983.170108968006</v>
      </c>
      <c r="AH7" s="4">
        <f t="shared" si="17"/>
        <v>41578.121141658412</v>
      </c>
      <c r="AI7" s="4">
        <f>AH7*1.1</f>
        <v>45735.93325582426</v>
      </c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</row>
    <row r="8" spans="2:104" s="1" customFormat="1" x14ac:dyDescent="0.2">
      <c r="B8" s="1" t="s">
        <v>33</v>
      </c>
      <c r="C8" s="4">
        <v>28</v>
      </c>
      <c r="D8" s="4">
        <v>-1</v>
      </c>
      <c r="E8" s="4">
        <v>0</v>
      </c>
      <c r="F8" s="4">
        <v>-13</v>
      </c>
      <c r="G8" s="4">
        <v>-2</v>
      </c>
      <c r="H8" s="4">
        <v>2</v>
      </c>
      <c r="I8" s="4">
        <v>-4</v>
      </c>
      <c r="J8" s="4">
        <v>-2</v>
      </c>
      <c r="K8" s="4">
        <v>4</v>
      </c>
      <c r="L8" s="4">
        <v>39</v>
      </c>
      <c r="M8" s="4">
        <v>-16</v>
      </c>
      <c r="N8" s="4">
        <v>10</v>
      </c>
      <c r="O8" s="4">
        <v>0</v>
      </c>
      <c r="P8" s="4">
        <v>0</v>
      </c>
      <c r="Q8" s="4">
        <v>0</v>
      </c>
      <c r="R8" s="4">
        <v>0</v>
      </c>
      <c r="S8" s="4"/>
      <c r="T8" s="4"/>
      <c r="U8" s="4"/>
      <c r="V8" s="21">
        <f t="shared" si="12"/>
        <v>14</v>
      </c>
      <c r="W8" s="21">
        <f t="shared" si="13"/>
        <v>-6</v>
      </c>
      <c r="X8" s="4">
        <f>SUM(K8:N8)</f>
        <v>37</v>
      </c>
      <c r="Y8" s="21">
        <f t="shared" si="14"/>
        <v>0</v>
      </c>
      <c r="Z8" s="21">
        <f t="shared" ref="Z8" si="18">SUM(P8:S8)</f>
        <v>0</v>
      </c>
      <c r="AA8" s="21">
        <f t="shared" ref="AA8" si="19">SUM(Q8:T8)</f>
        <v>0</v>
      </c>
      <c r="AB8" s="21">
        <f t="shared" ref="AB8" si="20">SUM(R8:U8)</f>
        <v>0</v>
      </c>
      <c r="AC8" s="21">
        <f t="shared" ref="AC8" si="21">SUM(S8:V8)</f>
        <v>14</v>
      </c>
      <c r="AD8" s="21">
        <f t="shared" ref="AD8" si="22">SUM(T8:W8)</f>
        <v>8</v>
      </c>
      <c r="AE8" s="21">
        <f t="shared" ref="AE8" si="23">SUM(U8:X8)</f>
        <v>45</v>
      </c>
      <c r="AF8" s="21">
        <f t="shared" ref="AF8" si="24">SUM(V8:Y8)</f>
        <v>45</v>
      </c>
      <c r="AG8" s="21">
        <f t="shared" ref="AG8" si="25">SUM(W8:Z8)</f>
        <v>31</v>
      </c>
      <c r="AH8" s="21">
        <f t="shared" ref="AH8" si="26">SUM(X8:AA8)</f>
        <v>37</v>
      </c>
      <c r="AI8" s="21">
        <f t="shared" ref="AI8" si="27">SUM(Y8:AB8)</f>
        <v>0</v>
      </c>
      <c r="AJ8" s="21"/>
      <c r="AK8" s="21"/>
      <c r="AL8" s="21"/>
      <c r="AM8" s="21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</row>
    <row r="9" spans="2:104" s="1" customFormat="1" x14ac:dyDescent="0.2">
      <c r="B9" s="1" t="s">
        <v>34</v>
      </c>
      <c r="C9" s="4">
        <f t="shared" ref="C9:N9" si="28">SUM(C6:C8)</f>
        <v>1767</v>
      </c>
      <c r="D9" s="4">
        <f t="shared" si="28"/>
        <v>1813</v>
      </c>
      <c r="E9" s="4">
        <f t="shared" si="28"/>
        <v>1985</v>
      </c>
      <c r="F9" s="4">
        <f t="shared" si="28"/>
        <v>2043</v>
      </c>
      <c r="G9" s="4">
        <f t="shared" si="28"/>
        <v>1816</v>
      </c>
      <c r="H9" s="4">
        <f t="shared" si="28"/>
        <v>1899</v>
      </c>
      <c r="I9" s="4">
        <f t="shared" si="28"/>
        <v>2168</v>
      </c>
      <c r="J9" s="4">
        <f t="shared" si="28"/>
        <v>2245</v>
      </c>
      <c r="K9" s="4">
        <f t="shared" si="28"/>
        <v>2085</v>
      </c>
      <c r="L9" s="4">
        <f t="shared" si="28"/>
        <v>2213</v>
      </c>
      <c r="M9" s="4">
        <f t="shared" si="28"/>
        <v>2431</v>
      </c>
      <c r="N9" s="4">
        <f t="shared" si="28"/>
        <v>2683</v>
      </c>
      <c r="O9" s="4">
        <f t="shared" ref="O9:R9" si="29">SUM(O6:O8)</f>
        <v>2411.7000000000003</v>
      </c>
      <c r="P9" s="4">
        <f t="shared" si="29"/>
        <v>2529</v>
      </c>
      <c r="Q9" s="4">
        <f t="shared" si="29"/>
        <v>2854.5</v>
      </c>
      <c r="R9" s="4">
        <f t="shared" si="29"/>
        <v>3120.5</v>
      </c>
      <c r="S9" s="4"/>
      <c r="T9" s="4"/>
      <c r="U9" s="4"/>
      <c r="V9" s="4">
        <f t="shared" ref="V9" si="30">SUM(V6:V8)</f>
        <v>7608</v>
      </c>
      <c r="W9" s="4">
        <f t="shared" ref="W9" si="31">SUM(W6:W8)</f>
        <v>8128</v>
      </c>
      <c r="X9" s="4">
        <f t="shared" ref="X9" si="32">SUM(X6:X8)</f>
        <v>9412</v>
      </c>
      <c r="Y9" s="4">
        <f t="shared" ref="Y9" si="33">SUM(Y6:Y8)</f>
        <v>10915.7</v>
      </c>
      <c r="Z9" s="4">
        <f t="shared" ref="Z9" si="34">SUM(Z6:Z8)</f>
        <v>12791.43</v>
      </c>
      <c r="AA9" s="4">
        <f t="shared" ref="AA9" si="35">SUM(AA6:AA8)</f>
        <v>15089.981000000002</v>
      </c>
      <c r="AB9" s="4">
        <f t="shared" ref="AB9" si="36">SUM(AB6:AB8)</f>
        <v>17924.209500000004</v>
      </c>
      <c r="AC9" s="4">
        <f t="shared" ref="AC9" si="37">SUM(AC6:AC8)</f>
        <v>21453.429970000005</v>
      </c>
      <c r="AD9" s="4">
        <f t="shared" ref="AD9" si="38">SUM(AD6:AD8)</f>
        <v>25831.012343000006</v>
      </c>
      <c r="AE9" s="4">
        <f t="shared" ref="AE9" si="39">SUM(AE6:AE8)</f>
        <v>31361.844766100006</v>
      </c>
      <c r="AF9" s="4">
        <f t="shared" ref="AF9" si="40">SUM(AF6:AF8)</f>
        <v>38278.519788150013</v>
      </c>
      <c r="AG9" s="4">
        <f t="shared" ref="AG9" si="41">SUM(AG6:AG8)</f>
        <v>47008.359476037018</v>
      </c>
      <c r="AH9" s="4">
        <f t="shared" ref="AH9" si="42">SUM(AH6:AH8)</f>
        <v>58108.729445434321</v>
      </c>
      <c r="AI9" s="4">
        <f t="shared" ref="AI9" si="43">SUM(AI6:AI8)</f>
        <v>63054.221974788969</v>
      </c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</row>
    <row r="10" spans="2:104" s="1" customFormat="1" x14ac:dyDescent="0.2">
      <c r="B10" s="1" t="s">
        <v>35</v>
      </c>
      <c r="C10" s="4">
        <f t="shared" ref="C10:N10" si="44">C5-C9</f>
        <v>8006</v>
      </c>
      <c r="D10" s="4">
        <f t="shared" si="44"/>
        <v>8911</v>
      </c>
      <c r="E10" s="4">
        <f t="shared" si="44"/>
        <v>10236</v>
      </c>
      <c r="F10" s="4">
        <f t="shared" si="44"/>
        <v>10357</v>
      </c>
      <c r="G10" s="4">
        <f t="shared" si="44"/>
        <v>7601</v>
      </c>
      <c r="H10" s="4">
        <f t="shared" si="44"/>
        <v>6584</v>
      </c>
      <c r="I10" s="4">
        <f t="shared" si="44"/>
        <v>7207</v>
      </c>
      <c r="J10" s="4">
        <f t="shared" si="44"/>
        <v>8163</v>
      </c>
      <c r="K10" s="4">
        <f t="shared" si="44"/>
        <v>7930</v>
      </c>
      <c r="L10" s="4">
        <f t="shared" si="44"/>
        <v>8859</v>
      </c>
      <c r="M10" s="4">
        <f t="shared" si="44"/>
        <v>11162</v>
      </c>
      <c r="N10" s="4">
        <f t="shared" si="44"/>
        <v>13178</v>
      </c>
      <c r="O10" s="4">
        <f t="shared" ref="O10:R10" si="45">O5-O9</f>
        <v>12574.3</v>
      </c>
      <c r="P10" s="4">
        <f t="shared" si="45"/>
        <v>14055.722999999998</v>
      </c>
      <c r="Q10" s="4">
        <f t="shared" si="45"/>
        <v>15866.436000000002</v>
      </c>
      <c r="R10" s="4">
        <f t="shared" si="45"/>
        <v>18292.606</v>
      </c>
      <c r="S10" s="4"/>
      <c r="T10" s="4"/>
      <c r="U10" s="4"/>
      <c r="V10" s="4">
        <f t="shared" ref="V10" si="46">V5-V9</f>
        <v>37510</v>
      </c>
      <c r="W10" s="4">
        <f t="shared" ref="W10" si="47">W5-W9</f>
        <v>29555</v>
      </c>
      <c r="X10" s="4">
        <f t="shared" ref="X10" si="48">X5-X9</f>
        <v>41129</v>
      </c>
      <c r="Y10" s="4">
        <f t="shared" ref="Y10" si="49">Y5-Y9</f>
        <v>60789.064999999988</v>
      </c>
      <c r="Z10" s="4">
        <f t="shared" ref="Z10" si="50">Z5-Z9</f>
        <v>73254.287999999971</v>
      </c>
      <c r="AA10" s="4">
        <f t="shared" ref="AA10" si="51">AA5-AA9</f>
        <v>88164.880599999975</v>
      </c>
      <c r="AB10" s="4">
        <f t="shared" ref="AB10" si="52">AB5-AB9</f>
        <v>75005.165939999977</v>
      </c>
      <c r="AC10" s="4">
        <f t="shared" ref="AC10" si="53">AC5-AC9</f>
        <v>62183.007925999984</v>
      </c>
      <c r="AD10" s="4">
        <f t="shared" ref="AD10" si="54">AD5-AD9</f>
        <v>82896.356921799976</v>
      </c>
      <c r="AE10" s="4">
        <f t="shared" ref="AE10" si="55">AE5-AE9</f>
        <v>99110.998351659975</v>
      </c>
      <c r="AF10" s="4">
        <f t="shared" ref="AF10" si="56">AF5-AF9</f>
        <v>118288.89195316198</v>
      </c>
      <c r="AG10" s="4">
        <f t="shared" ref="AG10" si="57">AG5-AG9</f>
        <v>140872.53461353737</v>
      </c>
      <c r="AH10" s="4">
        <f t="shared" ref="AH10" si="58">AH5-AH9</f>
        <v>148560.25405309748</v>
      </c>
      <c r="AI10" s="4">
        <f t="shared" ref="AI10" si="59">AI5-AI9</f>
        <v>153948.21069866946</v>
      </c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</row>
    <row r="11" spans="2:104" s="1" customFormat="1" x14ac:dyDescent="0.2">
      <c r="B11" s="1" t="s">
        <v>36</v>
      </c>
      <c r="C11" s="4">
        <f>61-17+64</f>
        <v>108</v>
      </c>
      <c r="D11" s="4">
        <f>76+22+33</f>
        <v>131</v>
      </c>
      <c r="E11" s="4">
        <f>69+107+34</f>
        <v>210</v>
      </c>
      <c r="F11" s="4">
        <f>55+231+20</f>
        <v>306</v>
      </c>
      <c r="G11" s="4">
        <f>34+350+44</f>
        <v>428</v>
      </c>
      <c r="H11" s="4">
        <f>37+348+30</f>
        <v>415</v>
      </c>
      <c r="I11" s="4">
        <f>37+395+7</f>
        <v>439</v>
      </c>
      <c r="J11" s="4">
        <f>41+455+71</f>
        <v>567</v>
      </c>
      <c r="K11" s="4">
        <f>28+530</f>
        <v>558</v>
      </c>
      <c r="L11" s="4">
        <f>36+567+8</f>
        <v>611</v>
      </c>
      <c r="M11" s="4">
        <f>48+618+58</f>
        <v>724</v>
      </c>
      <c r="N11" s="4">
        <f>40+673+2</f>
        <v>715</v>
      </c>
      <c r="O11" s="4"/>
      <c r="P11" s="4"/>
      <c r="Q11" s="4"/>
      <c r="R11" s="4"/>
      <c r="S11" s="4"/>
      <c r="T11" s="4"/>
      <c r="U11" s="4"/>
      <c r="V11" s="21">
        <f>SUM(C11:F11)</f>
        <v>755</v>
      </c>
      <c r="W11" s="21">
        <f>SUM(G11:J11)</f>
        <v>1849</v>
      </c>
      <c r="X11" s="4">
        <f>SUM(K11:N11)</f>
        <v>2608</v>
      </c>
      <c r="Y11" s="21">
        <f>SUM(O11:R11)</f>
        <v>0</v>
      </c>
      <c r="Z11" s="4">
        <f>Y28*$AL$19</f>
        <v>942.63923950000003</v>
      </c>
      <c r="AA11" s="4">
        <f t="shared" ref="AA11:AI11" si="60">Z28*$AL$19</f>
        <v>1558.4737355878499</v>
      </c>
      <c r="AB11" s="4">
        <f t="shared" si="60"/>
        <v>2303.1775765732286</v>
      </c>
      <c r="AC11" s="4">
        <f t="shared" si="60"/>
        <v>2944.8368277607865</v>
      </c>
      <c r="AD11" s="4">
        <f t="shared" si="60"/>
        <v>3485.3979392170008</v>
      </c>
      <c r="AE11" s="4">
        <f t="shared" si="60"/>
        <v>4202.3665045634416</v>
      </c>
      <c r="AF11" s="4">
        <f t="shared" si="60"/>
        <v>5059.8674328700963</v>
      </c>
      <c r="AG11" s="4">
        <f t="shared" si="60"/>
        <v>6083.6621357741624</v>
      </c>
      <c r="AH11" s="4">
        <f t="shared" si="60"/>
        <v>7303.3985687934482</v>
      </c>
      <c r="AI11" s="4">
        <f t="shared" si="60"/>
        <v>8597.066885555143</v>
      </c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</row>
    <row r="12" spans="2:104" s="1" customFormat="1" x14ac:dyDescent="0.2">
      <c r="B12" s="1" t="s">
        <v>37</v>
      </c>
      <c r="C12" s="4">
        <f t="shared" ref="C12:N12" si="61">+C10+C11</f>
        <v>8114</v>
      </c>
      <c r="D12" s="4">
        <f t="shared" si="61"/>
        <v>9042</v>
      </c>
      <c r="E12" s="4">
        <f t="shared" si="61"/>
        <v>10446</v>
      </c>
      <c r="F12" s="4">
        <f t="shared" si="61"/>
        <v>10663</v>
      </c>
      <c r="G12" s="4">
        <f t="shared" si="61"/>
        <v>8029</v>
      </c>
      <c r="H12" s="4">
        <f t="shared" si="61"/>
        <v>6999</v>
      </c>
      <c r="I12" s="4">
        <f t="shared" si="61"/>
        <v>7646</v>
      </c>
      <c r="J12" s="4">
        <f t="shared" si="61"/>
        <v>8730</v>
      </c>
      <c r="K12" s="4">
        <f t="shared" si="61"/>
        <v>8488</v>
      </c>
      <c r="L12" s="4">
        <f t="shared" si="61"/>
        <v>9470</v>
      </c>
      <c r="M12" s="4">
        <f t="shared" si="61"/>
        <v>11886</v>
      </c>
      <c r="N12" s="4">
        <f t="shared" si="61"/>
        <v>13893</v>
      </c>
      <c r="O12" s="4">
        <f t="shared" ref="O12:R12" si="62">+O10+O11</f>
        <v>12574.3</v>
      </c>
      <c r="P12" s="4">
        <f t="shared" si="62"/>
        <v>14055.722999999998</v>
      </c>
      <c r="Q12" s="4">
        <f t="shared" si="62"/>
        <v>15866.436000000002</v>
      </c>
      <c r="R12" s="4">
        <f t="shared" si="62"/>
        <v>18292.606</v>
      </c>
      <c r="S12" s="4"/>
      <c r="T12" s="4"/>
      <c r="U12" s="4"/>
      <c r="V12" s="4">
        <f t="shared" ref="V12" si="63">+V10+V11</f>
        <v>38265</v>
      </c>
      <c r="W12" s="4">
        <f t="shared" ref="W12" si="64">+W10+W11</f>
        <v>31404</v>
      </c>
      <c r="X12" s="4">
        <f t="shared" ref="X12" si="65">+X10+X11</f>
        <v>43737</v>
      </c>
      <c r="Y12" s="4">
        <f t="shared" ref="Y12" si="66">+Y10+Y11</f>
        <v>60789.064999999988</v>
      </c>
      <c r="Z12" s="4">
        <f t="shared" ref="Z12" si="67">+Z10+Z11</f>
        <v>74196.927239499972</v>
      </c>
      <c r="AA12" s="4">
        <f t="shared" ref="AA12" si="68">+AA10+AA11</f>
        <v>89723.354335587821</v>
      </c>
      <c r="AB12" s="4">
        <f t="shared" ref="AB12" si="69">+AB10+AB11</f>
        <v>77308.343516573208</v>
      </c>
      <c r="AC12" s="4">
        <f t="shared" ref="AC12" si="70">+AC10+AC11</f>
        <v>65127.844753760772</v>
      </c>
      <c r="AD12" s="4">
        <f t="shared" ref="AD12" si="71">+AD10+AD11</f>
        <v>86381.754861016976</v>
      </c>
      <c r="AE12" s="4">
        <f t="shared" ref="AE12" si="72">+AE10+AE11</f>
        <v>103313.36485622342</v>
      </c>
      <c r="AF12" s="4">
        <f t="shared" ref="AF12" si="73">+AF10+AF11</f>
        <v>123348.75938603208</v>
      </c>
      <c r="AG12" s="4">
        <f t="shared" ref="AG12" si="74">+AG10+AG11</f>
        <v>146956.19674931152</v>
      </c>
      <c r="AH12" s="4">
        <f t="shared" ref="AH12" si="75">+AH10+AH11</f>
        <v>155863.65262189094</v>
      </c>
      <c r="AI12" s="4">
        <f t="shared" ref="AI12" si="76">+AI10+AI11</f>
        <v>162545.27758422459</v>
      </c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</row>
    <row r="13" spans="2:104" s="1" customFormat="1" x14ac:dyDescent="0.2">
      <c r="B13" s="1" t="s">
        <v>38</v>
      </c>
      <c r="C13" s="4">
        <v>857</v>
      </c>
      <c r="D13" s="4">
        <v>979</v>
      </c>
      <c r="E13" s="4">
        <v>1178</v>
      </c>
      <c r="F13" s="4">
        <v>1236</v>
      </c>
      <c r="G13" s="4">
        <v>1227</v>
      </c>
      <c r="H13" s="4">
        <v>1074</v>
      </c>
      <c r="I13" s="4">
        <v>984</v>
      </c>
      <c r="J13" s="4">
        <v>1254</v>
      </c>
      <c r="K13" s="4">
        <v>1316</v>
      </c>
      <c r="L13" s="4">
        <v>1813</v>
      </c>
      <c r="M13" s="4">
        <v>1828</v>
      </c>
      <c r="N13" s="4">
        <v>2301</v>
      </c>
      <c r="O13" s="4">
        <f>O12*0.17</f>
        <v>2137.6309999999999</v>
      </c>
      <c r="P13" s="4">
        <f t="shared" ref="P13:R13" si="77">P12*0.17</f>
        <v>2389.47291</v>
      </c>
      <c r="Q13" s="4">
        <f t="shared" si="77"/>
        <v>2697.2941200000005</v>
      </c>
      <c r="R13" s="4">
        <f t="shared" si="77"/>
        <v>3109.7430200000003</v>
      </c>
      <c r="S13" s="4"/>
      <c r="T13" s="4"/>
      <c r="U13" s="4"/>
      <c r="V13" s="21">
        <f>SUM(C13:F13)</f>
        <v>4250</v>
      </c>
      <c r="W13" s="21">
        <f>SUM(G13:J13)</f>
        <v>4539</v>
      </c>
      <c r="X13" s="4">
        <f>SUM(K13:N13)</f>
        <v>7258</v>
      </c>
      <c r="Y13" s="21">
        <f>SUM(O13:R13)</f>
        <v>10334.14105</v>
      </c>
      <c r="Z13" s="4">
        <f>Z12*0.17</f>
        <v>12613.477630714997</v>
      </c>
      <c r="AA13" s="4">
        <f t="shared" ref="AA13:AI13" si="78">AA12*0.17</f>
        <v>15252.970237049931</v>
      </c>
      <c r="AB13" s="4">
        <f t="shared" si="78"/>
        <v>13142.418397817446</v>
      </c>
      <c r="AC13" s="4">
        <f t="shared" si="78"/>
        <v>11071.733608139331</v>
      </c>
      <c r="AD13" s="4">
        <f t="shared" si="78"/>
        <v>14684.898326372888</v>
      </c>
      <c r="AE13" s="4">
        <f t="shared" si="78"/>
        <v>17563.272025557981</v>
      </c>
      <c r="AF13" s="4">
        <f t="shared" si="78"/>
        <v>20969.289095625456</v>
      </c>
      <c r="AG13" s="4">
        <f t="shared" si="78"/>
        <v>24982.553447382961</v>
      </c>
      <c r="AH13" s="4">
        <f t="shared" si="78"/>
        <v>26496.820945721462</v>
      </c>
      <c r="AI13" s="4">
        <f t="shared" si="78"/>
        <v>27632.697189318184</v>
      </c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</row>
    <row r="14" spans="2:104" s="1" customFormat="1" x14ac:dyDescent="0.2">
      <c r="B14" s="1" t="s">
        <v>39</v>
      </c>
      <c r="C14" s="4">
        <f t="shared" ref="C14:N14" si="79">+C12-C13</f>
        <v>7257</v>
      </c>
      <c r="D14" s="4">
        <f t="shared" si="79"/>
        <v>8063</v>
      </c>
      <c r="E14" s="4">
        <f t="shared" si="79"/>
        <v>9268</v>
      </c>
      <c r="F14" s="4">
        <f t="shared" si="79"/>
        <v>9427</v>
      </c>
      <c r="G14" s="4">
        <f t="shared" si="79"/>
        <v>6802</v>
      </c>
      <c r="H14" s="4">
        <f t="shared" si="79"/>
        <v>5925</v>
      </c>
      <c r="I14" s="4">
        <f t="shared" si="79"/>
        <v>6662</v>
      </c>
      <c r="J14" s="4">
        <f t="shared" si="79"/>
        <v>7476</v>
      </c>
      <c r="K14" s="4">
        <f t="shared" si="79"/>
        <v>7172</v>
      </c>
      <c r="L14" s="4">
        <f t="shared" si="79"/>
        <v>7657</v>
      </c>
      <c r="M14" s="4">
        <f t="shared" si="79"/>
        <v>10058</v>
      </c>
      <c r="N14" s="4">
        <f t="shared" si="79"/>
        <v>11592</v>
      </c>
      <c r="O14" s="4">
        <f t="shared" ref="O14:R14" si="80">+O12-O13</f>
        <v>10436.669</v>
      </c>
      <c r="P14" s="4">
        <f t="shared" si="80"/>
        <v>11666.250089999998</v>
      </c>
      <c r="Q14" s="4">
        <f t="shared" si="80"/>
        <v>13169.141880000001</v>
      </c>
      <c r="R14" s="4">
        <f t="shared" si="80"/>
        <v>15182.86298</v>
      </c>
      <c r="S14" s="4"/>
      <c r="T14" s="4"/>
      <c r="U14" s="4"/>
      <c r="V14" s="4">
        <f t="shared" ref="V14" si="81">+V12-V13</f>
        <v>34015</v>
      </c>
      <c r="W14" s="4">
        <f t="shared" ref="W14" si="82">+W12-W13</f>
        <v>26865</v>
      </c>
      <c r="X14" s="4">
        <f t="shared" ref="X14" si="83">+X12-X13</f>
        <v>36479</v>
      </c>
      <c r="Y14" s="4">
        <f t="shared" ref="Y14" si="84">+Y12-Y13</f>
        <v>50454.923949999989</v>
      </c>
      <c r="Z14" s="4">
        <f t="shared" ref="Z14" si="85">+Z12-Z13</f>
        <v>61583.449608784977</v>
      </c>
      <c r="AA14" s="4">
        <f t="shared" ref="AA14" si="86">+AA12-AA13</f>
        <v>74470.384098537892</v>
      </c>
      <c r="AB14" s="4">
        <f t="shared" ref="AB14" si="87">+AB12-AB13</f>
        <v>64165.92511875576</v>
      </c>
      <c r="AC14" s="4">
        <f t="shared" ref="AC14" si="88">+AC12-AC13</f>
        <v>54056.111145621442</v>
      </c>
      <c r="AD14" s="4">
        <f t="shared" ref="AD14" si="89">+AD12-AD13</f>
        <v>71696.856534644088</v>
      </c>
      <c r="AE14" s="4">
        <f t="shared" ref="AE14" si="90">+AE12-AE13</f>
        <v>85750.092830665439</v>
      </c>
      <c r="AF14" s="4">
        <f t="shared" ref="AF14" si="91">+AF12-AF13</f>
        <v>102379.47029040662</v>
      </c>
      <c r="AG14" s="4">
        <f t="shared" ref="AG14" si="92">+AG12-AG13</f>
        <v>121973.64330192856</v>
      </c>
      <c r="AH14" s="4">
        <f t="shared" ref="AH14" si="93">+AH12-AH13</f>
        <v>129366.83167616947</v>
      </c>
      <c r="AI14" s="4">
        <f t="shared" ref="AI14" si="94">+AI12-AI13</f>
        <v>134912.5803949064</v>
      </c>
      <c r="AJ14" s="4">
        <f>AI14*(1+$AL$18)</f>
        <v>130865.20298305921</v>
      </c>
      <c r="AK14" s="4">
        <f t="shared" ref="AK14:CV14" si="95">AJ14*(1+$AL$18)</f>
        <v>126939.24689356743</v>
      </c>
      <c r="AL14" s="4">
        <f t="shared" si="95"/>
        <v>123131.0694867604</v>
      </c>
      <c r="AM14" s="4">
        <f t="shared" si="95"/>
        <v>119437.13740215759</v>
      </c>
      <c r="AN14" s="4">
        <f t="shared" si="95"/>
        <v>115854.02328009286</v>
      </c>
      <c r="AO14" s="4">
        <f t="shared" si="95"/>
        <v>112378.40258169007</v>
      </c>
      <c r="AP14" s="4">
        <f t="shared" si="95"/>
        <v>109007.05050423936</v>
      </c>
      <c r="AQ14" s="4">
        <f t="shared" si="95"/>
        <v>105736.83898911218</v>
      </c>
      <c r="AR14" s="4">
        <f t="shared" si="95"/>
        <v>102564.73381943881</v>
      </c>
      <c r="AS14" s="4">
        <f t="shared" si="95"/>
        <v>99487.791804855646</v>
      </c>
      <c r="AT14" s="4">
        <f t="shared" si="95"/>
        <v>96503.158050709972</v>
      </c>
      <c r="AU14" s="4">
        <f t="shared" si="95"/>
        <v>93608.06330918867</v>
      </c>
      <c r="AV14" s="4">
        <f t="shared" si="95"/>
        <v>90799.821409913013</v>
      </c>
      <c r="AW14" s="4">
        <f t="shared" si="95"/>
        <v>88075.826767615625</v>
      </c>
      <c r="AX14" s="4">
        <f t="shared" si="95"/>
        <v>85433.551964587154</v>
      </c>
      <c r="AY14" s="4">
        <f t="shared" si="95"/>
        <v>82870.545405649536</v>
      </c>
      <c r="AZ14" s="4">
        <f t="shared" si="95"/>
        <v>80384.42904348005</v>
      </c>
      <c r="BA14" s="4">
        <f t="shared" si="95"/>
        <v>77972.89617217565</v>
      </c>
      <c r="BB14" s="4">
        <f t="shared" si="95"/>
        <v>75633.709287010381</v>
      </c>
      <c r="BC14" s="4">
        <f t="shared" si="95"/>
        <v>73364.698008400068</v>
      </c>
      <c r="BD14" s="4">
        <f t="shared" si="95"/>
        <v>71163.757068148057</v>
      </c>
      <c r="BE14" s="4">
        <f t="shared" si="95"/>
        <v>69028.844356103611</v>
      </c>
      <c r="BF14" s="4">
        <f t="shared" si="95"/>
        <v>66957.9790254205</v>
      </c>
      <c r="BG14" s="4">
        <f t="shared" si="95"/>
        <v>64949.239654657882</v>
      </c>
      <c r="BH14" s="4">
        <f t="shared" si="95"/>
        <v>63000.762465018146</v>
      </c>
      <c r="BI14" s="4">
        <f t="shared" si="95"/>
        <v>61110.739591067599</v>
      </c>
      <c r="BJ14" s="4">
        <f t="shared" si="95"/>
        <v>59277.417403335567</v>
      </c>
      <c r="BK14" s="4">
        <f t="shared" si="95"/>
        <v>57499.094881235498</v>
      </c>
      <c r="BL14" s="4">
        <f t="shared" si="95"/>
        <v>55774.122034798434</v>
      </c>
      <c r="BM14" s="4">
        <f t="shared" si="95"/>
        <v>54100.898373754477</v>
      </c>
      <c r="BN14" s="4">
        <f t="shared" si="95"/>
        <v>52477.871422541844</v>
      </c>
      <c r="BO14" s="4">
        <f t="shared" si="95"/>
        <v>50903.535279865588</v>
      </c>
      <c r="BP14" s="4">
        <f t="shared" si="95"/>
        <v>49376.429221469618</v>
      </c>
      <c r="BQ14" s="4">
        <f t="shared" si="95"/>
        <v>47895.136344825529</v>
      </c>
      <c r="BR14" s="4">
        <f t="shared" si="95"/>
        <v>46458.282254480764</v>
      </c>
      <c r="BS14" s="4">
        <f t="shared" si="95"/>
        <v>45064.533786846339</v>
      </c>
      <c r="BT14" s="4">
        <f t="shared" si="95"/>
        <v>43712.597773240945</v>
      </c>
      <c r="BU14" s="4">
        <f t="shared" si="95"/>
        <v>42401.219840043712</v>
      </c>
      <c r="BV14" s="4">
        <f t="shared" si="95"/>
        <v>41129.183244842403</v>
      </c>
      <c r="BW14" s="4">
        <f t="shared" si="95"/>
        <v>39895.307747497129</v>
      </c>
      <c r="BX14" s="4">
        <f t="shared" si="95"/>
        <v>38698.44851507221</v>
      </c>
      <c r="BY14" s="4">
        <f t="shared" si="95"/>
        <v>37537.495059620043</v>
      </c>
      <c r="BZ14" s="4">
        <f t="shared" si="95"/>
        <v>36411.370207831438</v>
      </c>
      <c r="CA14" s="4">
        <f t="shared" si="95"/>
        <v>35319.029101596498</v>
      </c>
      <c r="CB14" s="4">
        <f t="shared" si="95"/>
        <v>34259.458228548603</v>
      </c>
      <c r="CC14" s="4">
        <f t="shared" si="95"/>
        <v>33231.674481692142</v>
      </c>
      <c r="CD14" s="4">
        <f t="shared" si="95"/>
        <v>32234.724247241378</v>
      </c>
      <c r="CE14" s="4">
        <f t="shared" si="95"/>
        <v>31267.682519824135</v>
      </c>
      <c r="CF14" s="4">
        <f t="shared" si="95"/>
        <v>30329.65204422941</v>
      </c>
      <c r="CG14" s="4">
        <f t="shared" si="95"/>
        <v>29419.762482902526</v>
      </c>
      <c r="CH14" s="4">
        <f t="shared" si="95"/>
        <v>28537.16960841545</v>
      </c>
      <c r="CI14" s="4">
        <f t="shared" si="95"/>
        <v>27681.054520162987</v>
      </c>
      <c r="CJ14" s="4">
        <f t="shared" si="95"/>
        <v>26850.622884558095</v>
      </c>
      <c r="CK14" s="4">
        <f t="shared" si="95"/>
        <v>26045.104198021352</v>
      </c>
      <c r="CL14" s="4">
        <f t="shared" si="95"/>
        <v>25263.751072080711</v>
      </c>
      <c r="CM14" s="4">
        <f t="shared" si="95"/>
        <v>24505.838539918288</v>
      </c>
      <c r="CN14" s="4">
        <f t="shared" si="95"/>
        <v>23770.663383720737</v>
      </c>
      <c r="CO14" s="4">
        <f t="shared" si="95"/>
        <v>23057.543482209116</v>
      </c>
      <c r="CP14" s="4">
        <f t="shared" si="95"/>
        <v>22365.817177742843</v>
      </c>
      <c r="CQ14" s="4">
        <f t="shared" si="95"/>
        <v>21694.842662410556</v>
      </c>
      <c r="CR14" s="4">
        <f t="shared" si="95"/>
        <v>21043.99738253824</v>
      </c>
      <c r="CS14" s="4">
        <f t="shared" si="95"/>
        <v>20412.677461062092</v>
      </c>
      <c r="CT14" s="4">
        <f t="shared" si="95"/>
        <v>19800.297137230227</v>
      </c>
      <c r="CU14" s="4">
        <f t="shared" si="95"/>
        <v>19206.288223113319</v>
      </c>
      <c r="CV14" s="4">
        <f t="shared" si="95"/>
        <v>18630.099576419918</v>
      </c>
      <c r="CW14" s="4">
        <f t="shared" ref="CW14:CZ14" si="96">CV14*(1+$AL$18)</f>
        <v>18071.196589127321</v>
      </c>
      <c r="CX14" s="4">
        <f t="shared" si="96"/>
        <v>17529.060691453502</v>
      </c>
      <c r="CY14" s="4">
        <f t="shared" si="96"/>
        <v>17003.188870709895</v>
      </c>
      <c r="CZ14" s="4">
        <f t="shared" si="96"/>
        <v>16493.093204588597</v>
      </c>
    </row>
    <row r="15" spans="2:104" s="1" customFormat="1" x14ac:dyDescent="0.2">
      <c r="B15" s="1" t="s">
        <v>1</v>
      </c>
      <c r="C15" s="4">
        <v>5186</v>
      </c>
      <c r="D15" s="4">
        <v>5185.8</v>
      </c>
      <c r="E15" s="4">
        <v>5185.8</v>
      </c>
      <c r="F15" s="4">
        <v>5185.8</v>
      </c>
      <c r="G15" s="4">
        <v>5185.8</v>
      </c>
      <c r="H15" s="4">
        <v>5185.8</v>
      </c>
      <c r="I15" s="4">
        <v>5185.8</v>
      </c>
      <c r="J15" s="4">
        <v>5185.8</v>
      </c>
      <c r="K15" s="4">
        <v>5186</v>
      </c>
      <c r="L15" s="4">
        <v>5186.2</v>
      </c>
      <c r="M15" s="4">
        <v>5185.6000000000004</v>
      </c>
      <c r="N15" s="4">
        <v>5185.8</v>
      </c>
      <c r="O15" s="4">
        <v>5185.8</v>
      </c>
      <c r="P15" s="4">
        <v>5185.8</v>
      </c>
      <c r="Q15" s="4">
        <v>5185.8</v>
      </c>
      <c r="R15" s="4">
        <v>5185.8</v>
      </c>
      <c r="S15" s="4"/>
      <c r="T15" s="4"/>
      <c r="U15" s="4"/>
      <c r="V15" s="21">
        <f>AVERAGE(C15:F15)</f>
        <v>5185.8499999999995</v>
      </c>
      <c r="W15" s="21">
        <f>AVERAGE(G15:J15)</f>
        <v>5185.8</v>
      </c>
      <c r="X15" s="4">
        <f>AVERAGE(K15:N15)</f>
        <v>5185.9000000000005</v>
      </c>
      <c r="Y15" s="4">
        <f>AVERAGE(O15:R15)</f>
        <v>5185.8</v>
      </c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</row>
    <row r="16" spans="2:104" s="8" customFormat="1" x14ac:dyDescent="0.2">
      <c r="B16" s="8" t="s">
        <v>40</v>
      </c>
      <c r="C16" s="9">
        <f t="shared" ref="C16:N16" si="97">C14/C15</f>
        <v>1.3993443887389125</v>
      </c>
      <c r="D16" s="9">
        <f t="shared" si="97"/>
        <v>1.5548227852983145</v>
      </c>
      <c r="E16" s="9">
        <f t="shared" si="97"/>
        <v>1.7871880905549771</v>
      </c>
      <c r="F16" s="9">
        <f t="shared" si="97"/>
        <v>1.8178487407921631</v>
      </c>
      <c r="G16" s="9">
        <f t="shared" si="97"/>
        <v>1.3116587604612595</v>
      </c>
      <c r="H16" s="9">
        <f t="shared" si="97"/>
        <v>1.1425430984611824</v>
      </c>
      <c r="I16" s="9">
        <f t="shared" si="97"/>
        <v>1.2846619615102781</v>
      </c>
      <c r="J16" s="9">
        <f t="shared" si="97"/>
        <v>1.4416290639824134</v>
      </c>
      <c r="K16" s="9">
        <f t="shared" si="97"/>
        <v>1.382954107211724</v>
      </c>
      <c r="L16" s="9">
        <f t="shared" si="97"/>
        <v>1.4764181867263122</v>
      </c>
      <c r="M16" s="9">
        <f t="shared" si="97"/>
        <v>1.9396019746991668</v>
      </c>
      <c r="N16" s="9">
        <f t="shared" si="97"/>
        <v>2.2353349531412703</v>
      </c>
      <c r="O16" s="9">
        <f t="shared" ref="O16:R16" si="98">O14/O15</f>
        <v>2.0125475336495815</v>
      </c>
      <c r="P16" s="9">
        <f t="shared" si="98"/>
        <v>2.2496529156542864</v>
      </c>
      <c r="Q16" s="9">
        <f t="shared" si="98"/>
        <v>2.5394619692236495</v>
      </c>
      <c r="R16" s="9">
        <f t="shared" si="98"/>
        <v>2.9277764240811446</v>
      </c>
      <c r="S16" s="9"/>
      <c r="T16" s="9"/>
      <c r="U16" s="9"/>
      <c r="V16" s="9">
        <f t="shared" ref="V16" si="99">V14/V15</f>
        <v>6.5591947318183141</v>
      </c>
      <c r="W16" s="9">
        <f t="shared" ref="W16" si="100">W14/W15</f>
        <v>5.1804928844151332</v>
      </c>
      <c r="X16" s="9">
        <f t="shared" ref="X16" si="101">X14/X15</f>
        <v>7.0342659904741698</v>
      </c>
      <c r="Y16" s="9">
        <f t="shared" ref="Y16" si="102">Y14/Y15</f>
        <v>9.7294388426086602</v>
      </c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</row>
    <row r="17" spans="2:52" s="1" customFormat="1" x14ac:dyDescent="0.2"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</row>
    <row r="18" spans="2:52" s="1" customFormat="1" x14ac:dyDescent="0.2"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 t="s">
        <v>117</v>
      </c>
      <c r="AL18" s="11">
        <v>-0.03</v>
      </c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</row>
    <row r="19" spans="2:52" s="10" customFormat="1" x14ac:dyDescent="0.2">
      <c r="B19" s="10" t="s">
        <v>41</v>
      </c>
      <c r="C19" s="11"/>
      <c r="D19" s="11"/>
      <c r="E19" s="11"/>
      <c r="F19" s="11"/>
      <c r="G19" s="11">
        <f t="shared" ref="G19:M19" si="103">G3/C3-1</f>
        <v>-4.8272328798315001E-2</v>
      </c>
      <c r="H19" s="11">
        <f t="shared" si="103"/>
        <v>-0.13663399052759118</v>
      </c>
      <c r="I19" s="11">
        <f t="shared" si="103"/>
        <v>-0.14571075401730527</v>
      </c>
      <c r="J19" s="11">
        <f t="shared" si="103"/>
        <v>-1.5403140835883788E-2</v>
      </c>
      <c r="K19" s="11">
        <f t="shared" si="103"/>
        <v>0.12883545666606855</v>
      </c>
      <c r="L19" s="11">
        <f t="shared" si="103"/>
        <v>0.32818779103144724</v>
      </c>
      <c r="M19" s="11">
        <f t="shared" si="103"/>
        <v>0.36034263224910301</v>
      </c>
      <c r="N19" s="11">
        <f>N3/J3-1</f>
        <v>0.36995515695067271</v>
      </c>
      <c r="O19" s="11">
        <f t="shared" ref="O19:R19" si="104">O3/K3-1</f>
        <v>0.34583796958618129</v>
      </c>
      <c r="P19" s="11">
        <f t="shared" si="104"/>
        <v>0.35000000000000009</v>
      </c>
      <c r="Q19" s="11">
        <f t="shared" si="104"/>
        <v>0.35000000000000009</v>
      </c>
      <c r="R19" s="11">
        <f t="shared" si="104"/>
        <v>0.35000000000000009</v>
      </c>
      <c r="S19" s="11"/>
      <c r="T19" s="11"/>
      <c r="U19" s="11"/>
      <c r="V19" s="11"/>
      <c r="W19" s="11">
        <f t="shared" ref="W19" si="105">W3/V3-1</f>
        <v>-8.6754259959673674E-2</v>
      </c>
      <c r="X19" s="11">
        <f>X3/W3-1</f>
        <v>0.29993650610407219</v>
      </c>
      <c r="Y19" s="11">
        <f t="shared" ref="Y19:AI19" si="106">Y3/X3-1</f>
        <v>0.34912802637567575</v>
      </c>
      <c r="Z19" s="11">
        <f t="shared" si="106"/>
        <v>0.19999999999999996</v>
      </c>
      <c r="AA19" s="11">
        <f t="shared" si="106"/>
        <v>0.19999999999999996</v>
      </c>
      <c r="AB19" s="11">
        <f t="shared" si="106"/>
        <v>-9.9999999999999978E-2</v>
      </c>
      <c r="AC19" s="11">
        <f t="shared" si="106"/>
        <v>-9.9999999999999867E-2</v>
      </c>
      <c r="AD19" s="11">
        <f t="shared" si="106"/>
        <v>0.30000000000000004</v>
      </c>
      <c r="AE19" s="11">
        <f t="shared" si="106"/>
        <v>0.19999999999999996</v>
      </c>
      <c r="AF19" s="11">
        <f t="shared" si="106"/>
        <v>0.19999999999999996</v>
      </c>
      <c r="AG19" s="11">
        <f t="shared" si="106"/>
        <v>0.19999999999999996</v>
      </c>
      <c r="AH19" s="11">
        <f t="shared" si="106"/>
        <v>0.10000000000000009</v>
      </c>
      <c r="AI19" s="11">
        <f t="shared" si="106"/>
        <v>5.0000000000000044E-2</v>
      </c>
      <c r="AJ19" s="11"/>
      <c r="AK19" s="11" t="s">
        <v>112</v>
      </c>
      <c r="AL19" s="11">
        <v>0.01</v>
      </c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</row>
    <row r="20" spans="2:52" s="10" customFormat="1" x14ac:dyDescent="0.2">
      <c r="B20" s="10" t="s">
        <v>42</v>
      </c>
      <c r="C20" s="11"/>
      <c r="D20" s="11"/>
      <c r="E20" s="11"/>
      <c r="F20" s="11"/>
      <c r="G20" s="11">
        <f t="shared" ref="G20:M20" si="107">G6/C6-1</f>
        <v>-2.3255813953488857E-3</v>
      </c>
      <c r="H20" s="11">
        <f t="shared" si="107"/>
        <v>7.4183976261128493E-3</v>
      </c>
      <c r="I20" s="11">
        <f t="shared" si="107"/>
        <v>0.14043754410726894</v>
      </c>
      <c r="J20" s="11">
        <f t="shared" si="107"/>
        <v>0.11330049261083741</v>
      </c>
      <c r="K20" s="11">
        <f t="shared" si="107"/>
        <v>0.14063714063714072</v>
      </c>
      <c r="L20" s="11">
        <f t="shared" si="107"/>
        <v>9.4256259204712922E-2</v>
      </c>
      <c r="M20" s="11">
        <f t="shared" si="107"/>
        <v>1.0519801980197974E-2</v>
      </c>
      <c r="N20" s="11">
        <f>N6/J6-1</f>
        <v>0.12010113780025278</v>
      </c>
      <c r="O20" s="11">
        <f t="shared" ref="O20:R20" si="108">O6/K6-1</f>
        <v>0.10000000000000009</v>
      </c>
      <c r="P20" s="11">
        <f t="shared" si="108"/>
        <v>0.10000000000000009</v>
      </c>
      <c r="Q20" s="11">
        <f t="shared" si="108"/>
        <v>0.10000000000000009</v>
      </c>
      <c r="R20" s="11">
        <f t="shared" si="108"/>
        <v>0.10000000000000009</v>
      </c>
      <c r="S20" s="11"/>
      <c r="T20" s="11"/>
      <c r="U20" s="11"/>
      <c r="V20" s="11"/>
      <c r="W20" s="11">
        <f>W6/V6-1</f>
        <v>6.7019722425127881E-2</v>
      </c>
      <c r="X20" s="11">
        <f>X6/W6-1</f>
        <v>8.8310799246962279E-2</v>
      </c>
      <c r="Y20" s="11">
        <f t="shared" ref="Y20:AI20" si="109">Y6/X6-1</f>
        <v>0.10000000000000009</v>
      </c>
      <c r="Z20" s="11">
        <f t="shared" si="109"/>
        <v>0.10000000000000009</v>
      </c>
      <c r="AA20" s="11">
        <f t="shared" si="109"/>
        <v>0.10000000000000009</v>
      </c>
      <c r="AB20" s="11">
        <f t="shared" si="109"/>
        <v>0.10000000000000009</v>
      </c>
      <c r="AC20" s="11">
        <f t="shared" si="109"/>
        <v>0.10000000000000009</v>
      </c>
      <c r="AD20" s="11">
        <f t="shared" si="109"/>
        <v>0.10000000000000009</v>
      </c>
      <c r="AE20" s="11">
        <f t="shared" si="109"/>
        <v>0.10000000000000009</v>
      </c>
      <c r="AF20" s="11">
        <f t="shared" si="109"/>
        <v>0.10000000000000009</v>
      </c>
      <c r="AG20" s="11">
        <f t="shared" si="109"/>
        <v>0.10000000000000009</v>
      </c>
      <c r="AH20" s="11">
        <f t="shared" si="109"/>
        <v>0.10000000000000009</v>
      </c>
      <c r="AI20" s="11">
        <f t="shared" si="109"/>
        <v>5.0000000000000044E-2</v>
      </c>
      <c r="AJ20" s="11"/>
      <c r="AK20" s="11" t="s">
        <v>113</v>
      </c>
      <c r="AL20" s="11">
        <v>0.08</v>
      </c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</row>
    <row r="21" spans="2:52" s="10" customFormat="1" x14ac:dyDescent="0.2">
      <c r="B21" s="10" t="s">
        <v>43</v>
      </c>
      <c r="C21" s="11"/>
      <c r="D21" s="11"/>
      <c r="E21" s="11"/>
      <c r="F21" s="11"/>
      <c r="G21" s="11">
        <f t="shared" ref="G21:M21" si="110">G7/C7-1</f>
        <v>0.18262806236080187</v>
      </c>
      <c r="H21" s="11">
        <f t="shared" si="110"/>
        <v>0.1566523605150214</v>
      </c>
      <c r="I21" s="11">
        <f t="shared" si="110"/>
        <v>-2.1126760563380254E-2</v>
      </c>
      <c r="J21" s="11">
        <f t="shared" si="110"/>
        <v>4.7244094488188892E-2</v>
      </c>
      <c r="K21" s="11">
        <f t="shared" si="110"/>
        <v>0.15442561205273075</v>
      </c>
      <c r="L21" s="11">
        <f t="shared" si="110"/>
        <v>0.27643784786641934</v>
      </c>
      <c r="M21" s="11">
        <f t="shared" si="110"/>
        <v>0.46402877697841727</v>
      </c>
      <c r="N21" s="11">
        <f>N7/J7-1</f>
        <v>0.35488721804511281</v>
      </c>
      <c r="O21" s="11">
        <f t="shared" ref="O21:R21" si="111">O7/K7-1</f>
        <v>0.30000000000000004</v>
      </c>
      <c r="P21" s="11">
        <f t="shared" si="111"/>
        <v>0.30000000000000004</v>
      </c>
      <c r="Q21" s="11">
        <f t="shared" si="111"/>
        <v>0.30000000000000004</v>
      </c>
      <c r="R21" s="11">
        <f t="shared" si="111"/>
        <v>0.30000000000000004</v>
      </c>
      <c r="S21" s="11"/>
      <c r="T21" s="11"/>
      <c r="U21" s="11"/>
      <c r="V21" s="11"/>
      <c r="W21" s="11">
        <f>W7/V7-1</f>
        <v>8.1680830972615581E-2</v>
      </c>
      <c r="X21" s="11">
        <f>X7/W7-1</f>
        <v>0.31645569620253156</v>
      </c>
      <c r="Y21" s="11">
        <f t="shared" ref="Y21:AI21" si="112">Y7/X7-1</f>
        <v>0.30000000000000004</v>
      </c>
      <c r="Z21" s="11">
        <f t="shared" si="112"/>
        <v>0.29999999999999982</v>
      </c>
      <c r="AA21" s="11">
        <f t="shared" si="112"/>
        <v>0.30000000000000004</v>
      </c>
      <c r="AB21" s="11">
        <f t="shared" si="112"/>
        <v>0.30000000000000004</v>
      </c>
      <c r="AC21" s="11">
        <f t="shared" si="112"/>
        <v>0.30000000000000004</v>
      </c>
      <c r="AD21" s="11">
        <f t="shared" si="112"/>
        <v>0.30000000000000004</v>
      </c>
      <c r="AE21" s="11">
        <f t="shared" si="112"/>
        <v>0.29999999999999982</v>
      </c>
      <c r="AF21" s="11">
        <f t="shared" si="112"/>
        <v>0.30000000000000004</v>
      </c>
      <c r="AG21" s="11">
        <f t="shared" si="112"/>
        <v>0.30000000000000004</v>
      </c>
      <c r="AH21" s="11">
        <f t="shared" si="112"/>
        <v>0.30000000000000004</v>
      </c>
      <c r="AI21" s="11">
        <f t="shared" si="112"/>
        <v>0.10000000000000009</v>
      </c>
      <c r="AJ21" s="11"/>
      <c r="AK21" s="11" t="s">
        <v>114</v>
      </c>
      <c r="AL21" s="23">
        <f>NPV(AL20,Y14:CZ14)</f>
        <v>1081841.4511142585</v>
      </c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</row>
    <row r="22" spans="2:52" s="10" customFormat="1" x14ac:dyDescent="0.2"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 t="s">
        <v>1</v>
      </c>
      <c r="AL22" s="1">
        <v>5185.8</v>
      </c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</row>
    <row r="23" spans="2:52" s="10" customFormat="1" x14ac:dyDescent="0.2">
      <c r="B23" s="10" t="s">
        <v>44</v>
      </c>
      <c r="C23" s="11">
        <f>C5/C3</f>
        <v>0.55632720441737349</v>
      </c>
      <c r="D23" s="11">
        <f t="shared" ref="D23:N23" si="113">D5/D3</f>
        <v>0.59059367771781035</v>
      </c>
      <c r="E23" s="11">
        <f t="shared" si="113"/>
        <v>0.60425216316440045</v>
      </c>
      <c r="F23" s="11">
        <f t="shared" si="113"/>
        <v>0.62214640509758667</v>
      </c>
      <c r="G23" s="11">
        <f t="shared" si="113"/>
        <v>0.56325139063341112</v>
      </c>
      <c r="H23" s="11">
        <f t="shared" si="113"/>
        <v>0.54111118198634944</v>
      </c>
      <c r="I23" s="11">
        <f t="shared" si="113"/>
        <v>0.54259752286144225</v>
      </c>
      <c r="J23" s="11">
        <f t="shared" si="113"/>
        <v>0.53037097431716262</v>
      </c>
      <c r="K23" s="11">
        <f t="shared" si="113"/>
        <v>0.53065225454352782</v>
      </c>
      <c r="L23" s="11">
        <f t="shared" si="113"/>
        <v>0.53174526942656808</v>
      </c>
      <c r="M23" s="11">
        <f t="shared" si="113"/>
        <v>0.57832709326072163</v>
      </c>
      <c r="N23" s="11">
        <f t="shared" si="113"/>
        <v>0.58997916976640385</v>
      </c>
      <c r="O23" s="11">
        <f t="shared" ref="O23:R23" si="114">O5/O3</f>
        <v>0.59</v>
      </c>
      <c r="P23" s="11">
        <f t="shared" si="114"/>
        <v>0.59</v>
      </c>
      <c r="Q23" s="11">
        <f t="shared" si="114"/>
        <v>0.59</v>
      </c>
      <c r="R23" s="11">
        <f t="shared" si="114"/>
        <v>0.59</v>
      </c>
      <c r="S23" s="11"/>
      <c r="T23" s="11"/>
      <c r="U23" s="11"/>
      <c r="V23" s="11"/>
      <c r="W23" s="11"/>
      <c r="X23" s="11">
        <f t="shared" ref="X23:AI23" si="115">X5/X3</f>
        <v>0.56104925457633514</v>
      </c>
      <c r="Y23" s="11">
        <f t="shared" si="115"/>
        <v>0.58999999999999986</v>
      </c>
      <c r="Z23" s="11">
        <f t="shared" si="115"/>
        <v>0.59</v>
      </c>
      <c r="AA23" s="11">
        <f t="shared" si="115"/>
        <v>0.59</v>
      </c>
      <c r="AB23" s="11">
        <f t="shared" si="115"/>
        <v>0.59</v>
      </c>
      <c r="AC23" s="11">
        <f t="shared" si="115"/>
        <v>0.59</v>
      </c>
      <c r="AD23" s="11">
        <f t="shared" si="115"/>
        <v>0.59</v>
      </c>
      <c r="AE23" s="11">
        <f t="shared" si="115"/>
        <v>0.59</v>
      </c>
      <c r="AF23" s="11">
        <f t="shared" si="115"/>
        <v>0.59</v>
      </c>
      <c r="AG23" s="11">
        <f t="shared" si="115"/>
        <v>0.59</v>
      </c>
      <c r="AH23" s="11">
        <f t="shared" si="115"/>
        <v>0.59</v>
      </c>
      <c r="AI23" s="11">
        <f t="shared" si="115"/>
        <v>0.59</v>
      </c>
      <c r="AJ23" s="11"/>
      <c r="AK23" s="11" t="s">
        <v>115</v>
      </c>
      <c r="AL23" s="22">
        <f>AL21/AL22</f>
        <v>208.61611537549817</v>
      </c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</row>
    <row r="24" spans="2:52" s="10" customFormat="1" x14ac:dyDescent="0.2">
      <c r="B24" s="10" t="s">
        <v>45</v>
      </c>
      <c r="C24" s="11">
        <f>C10/C3</f>
        <v>0.45574087778220529</v>
      </c>
      <c r="D24" s="11">
        <f t="shared" ref="D24:N24" si="116">D10/D3</f>
        <v>0.49074787972243639</v>
      </c>
      <c r="E24" s="11">
        <f t="shared" si="116"/>
        <v>0.50610630407911006</v>
      </c>
      <c r="F24" s="11">
        <f t="shared" si="116"/>
        <v>0.51964276754804073</v>
      </c>
      <c r="G24" s="11">
        <f t="shared" si="116"/>
        <v>0.45463245409414438</v>
      </c>
      <c r="H24" s="11">
        <f t="shared" si="116"/>
        <v>0.41997831217707471</v>
      </c>
      <c r="I24" s="11">
        <f t="shared" si="116"/>
        <v>0.41712003704132422</v>
      </c>
      <c r="J24" s="11">
        <f t="shared" si="116"/>
        <v>0.41597024052181003</v>
      </c>
      <c r="K24" s="11">
        <f t="shared" si="116"/>
        <v>0.42017697239442592</v>
      </c>
      <c r="L24" s="11">
        <f t="shared" si="116"/>
        <v>0.42546345211795217</v>
      </c>
      <c r="M24" s="11">
        <f t="shared" si="116"/>
        <v>0.47489788972089858</v>
      </c>
      <c r="N24" s="11">
        <f t="shared" si="116"/>
        <v>0.49018003273322425</v>
      </c>
      <c r="O24" s="11">
        <f t="shared" ref="O24:R24" si="117">O10/O3</f>
        <v>0.49505118110236218</v>
      </c>
      <c r="P24" s="11">
        <f t="shared" si="117"/>
        <v>0.50003105689495075</v>
      </c>
      <c r="Q24" s="11">
        <f t="shared" si="117"/>
        <v>0.50003895318054614</v>
      </c>
      <c r="R24" s="11">
        <f t="shared" si="117"/>
        <v>0.50402017997762671</v>
      </c>
      <c r="S24" s="11"/>
      <c r="T24" s="11"/>
      <c r="U24" s="11"/>
      <c r="V24" s="11"/>
      <c r="W24" s="11"/>
      <c r="X24" s="11">
        <f t="shared" ref="X24:AI24" si="118">X10/X3</f>
        <v>0.45656783188836964</v>
      </c>
      <c r="Y24" s="11">
        <f t="shared" si="118"/>
        <v>0.50018361192592975</v>
      </c>
      <c r="Z24" s="11">
        <f t="shared" si="118"/>
        <v>0.50229146696178406</v>
      </c>
      <c r="AA24" s="11">
        <f t="shared" si="118"/>
        <v>0.50377559708045738</v>
      </c>
      <c r="AB24" s="11">
        <f t="shared" si="118"/>
        <v>0.47620085355219077</v>
      </c>
      <c r="AC24" s="11">
        <f t="shared" si="118"/>
        <v>0.43866017730167622</v>
      </c>
      <c r="AD24" s="11">
        <f t="shared" si="118"/>
        <v>0.44983016617229982</v>
      </c>
      <c r="AE24" s="11">
        <f t="shared" si="118"/>
        <v>0.44818130447806337</v>
      </c>
      <c r="AF24" s="11">
        <f t="shared" si="118"/>
        <v>0.4457533370205839</v>
      </c>
      <c r="AG24" s="11">
        <f t="shared" si="118"/>
        <v>0.44238024214618177</v>
      </c>
      <c r="AH24" s="11">
        <f t="shared" si="118"/>
        <v>0.4241108095059179</v>
      </c>
      <c r="AI24" s="11">
        <f t="shared" si="118"/>
        <v>0.41856417549426089</v>
      </c>
      <c r="AJ24" s="11"/>
      <c r="AK24" s="11" t="s">
        <v>0</v>
      </c>
      <c r="AL24" s="22">
        <v>191.65</v>
      </c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</row>
    <row r="25" spans="2:52" s="1" customFormat="1" x14ac:dyDescent="0.2"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 t="s">
        <v>116</v>
      </c>
      <c r="AL25" s="11">
        <f>AL23/AL24-1</f>
        <v>8.8526560790493924E-2</v>
      </c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</row>
    <row r="26" spans="2:52" s="10" customFormat="1" x14ac:dyDescent="0.2">
      <c r="B26" s="10" t="s">
        <v>38</v>
      </c>
      <c r="C26" s="11">
        <f>C13/C12</f>
        <v>0.10561991619423219</v>
      </c>
      <c r="D26" s="11">
        <f t="shared" ref="D26:N26" si="119">D13/D12</f>
        <v>0.10827250608272507</v>
      </c>
      <c r="E26" s="11">
        <f t="shared" si="119"/>
        <v>0.11277043844533793</v>
      </c>
      <c r="F26" s="11">
        <f t="shared" si="119"/>
        <v>0.11591484572821907</v>
      </c>
      <c r="G26" s="11">
        <f t="shared" si="119"/>
        <v>0.15282102378876572</v>
      </c>
      <c r="H26" s="11">
        <f t="shared" si="119"/>
        <v>0.15345049292756108</v>
      </c>
      <c r="I26" s="11">
        <f t="shared" si="119"/>
        <v>0.12869474234894063</v>
      </c>
      <c r="J26" s="11">
        <f t="shared" si="119"/>
        <v>0.14364261168384879</v>
      </c>
      <c r="K26" s="11">
        <f t="shared" si="119"/>
        <v>0.15504241281809614</v>
      </c>
      <c r="L26" s="11">
        <f t="shared" si="119"/>
        <v>0.19144667370644139</v>
      </c>
      <c r="M26" s="11">
        <f t="shared" si="119"/>
        <v>0.15379437994278983</v>
      </c>
      <c r="N26" s="11">
        <f t="shared" si="119"/>
        <v>0.16562297559922262</v>
      </c>
      <c r="O26" s="11">
        <f t="shared" ref="O26:R26" si="120">O13/O12</f>
        <v>0.17</v>
      </c>
      <c r="P26" s="11">
        <f t="shared" si="120"/>
        <v>0.17</v>
      </c>
      <c r="Q26" s="11">
        <f t="shared" si="120"/>
        <v>0.17</v>
      </c>
      <c r="R26" s="11">
        <f t="shared" si="120"/>
        <v>0.17</v>
      </c>
      <c r="S26" s="11"/>
      <c r="T26" s="11"/>
      <c r="U26" s="11"/>
      <c r="V26" s="11"/>
      <c r="W26" s="11"/>
      <c r="X26" s="11">
        <f t="shared" ref="X26:AI26" si="121">X13/X12</f>
        <v>0.16594645266021904</v>
      </c>
      <c r="Y26" s="11">
        <f t="shared" si="121"/>
        <v>0.17000000000000004</v>
      </c>
      <c r="Z26" s="11">
        <f t="shared" si="121"/>
        <v>0.17</v>
      </c>
      <c r="AA26" s="11">
        <f t="shared" si="121"/>
        <v>0.17</v>
      </c>
      <c r="AB26" s="11">
        <f t="shared" si="121"/>
        <v>0.17</v>
      </c>
      <c r="AC26" s="11">
        <f t="shared" si="121"/>
        <v>0.17</v>
      </c>
      <c r="AD26" s="11">
        <f t="shared" si="121"/>
        <v>0.17</v>
      </c>
      <c r="AE26" s="11">
        <f t="shared" si="121"/>
        <v>0.17</v>
      </c>
      <c r="AF26" s="11">
        <f t="shared" si="121"/>
        <v>0.17</v>
      </c>
      <c r="AG26" s="11">
        <f t="shared" si="121"/>
        <v>0.17</v>
      </c>
      <c r="AH26" s="11">
        <f t="shared" si="121"/>
        <v>0.17</v>
      </c>
      <c r="AI26" s="11">
        <f t="shared" si="121"/>
        <v>0.17</v>
      </c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</row>
    <row r="27" spans="2:52" s="1" customFormat="1" x14ac:dyDescent="0.2"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</row>
    <row r="28" spans="2:52" s="1" customFormat="1" x14ac:dyDescent="0.2">
      <c r="B28" s="1" t="s">
        <v>10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14">
        <v>43809</v>
      </c>
      <c r="O28" s="4"/>
      <c r="P28" s="4"/>
      <c r="Q28" s="4"/>
      <c r="R28" s="4"/>
      <c r="S28" s="4"/>
      <c r="T28" s="4"/>
      <c r="U28" s="4"/>
      <c r="V28" s="4"/>
      <c r="W28" s="4"/>
      <c r="X28" s="14">
        <v>43809</v>
      </c>
      <c r="Y28" s="4">
        <f>+X28+Y14</f>
        <v>94263.923949999997</v>
      </c>
      <c r="Z28" s="4">
        <f t="shared" ref="Z28:AI28" si="122">+Y28+Z14</f>
        <v>155847.37355878498</v>
      </c>
      <c r="AA28" s="4">
        <f t="shared" si="122"/>
        <v>230317.75765732286</v>
      </c>
      <c r="AB28" s="4">
        <f t="shared" si="122"/>
        <v>294483.68277607864</v>
      </c>
      <c r="AC28" s="4">
        <f t="shared" si="122"/>
        <v>348539.7939217001</v>
      </c>
      <c r="AD28" s="4">
        <f t="shared" si="122"/>
        <v>420236.65045634418</v>
      </c>
      <c r="AE28" s="4">
        <f t="shared" si="122"/>
        <v>505986.74328700965</v>
      </c>
      <c r="AF28" s="4">
        <f t="shared" si="122"/>
        <v>608366.21357741626</v>
      </c>
      <c r="AG28" s="4">
        <f t="shared" si="122"/>
        <v>730339.85687934479</v>
      </c>
      <c r="AH28" s="4">
        <f t="shared" si="122"/>
        <v>859706.68855551421</v>
      </c>
      <c r="AI28" s="4">
        <f t="shared" si="122"/>
        <v>994619.26895042066</v>
      </c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</row>
    <row r="29" spans="2:52" s="1" customFormat="1" x14ac:dyDescent="0.2"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1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</row>
    <row r="30" spans="2:52" s="1" customFormat="1" x14ac:dyDescent="0.2"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1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</row>
    <row r="31" spans="2:52" s="1" customFormat="1" x14ac:dyDescent="0.2">
      <c r="B31" s="19" t="s">
        <v>111</v>
      </c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</row>
    <row r="32" spans="2:52" s="1" customFormat="1" x14ac:dyDescent="0.2">
      <c r="B32" s="1" t="s">
        <v>55</v>
      </c>
      <c r="D32" s="16">
        <v>265998</v>
      </c>
      <c r="E32" s="16">
        <v>316691</v>
      </c>
      <c r="F32" s="16">
        <v>334670</v>
      </c>
      <c r="G32" s="4"/>
      <c r="H32" s="16">
        <v>214675</v>
      </c>
      <c r="I32" s="16">
        <v>247940</v>
      </c>
      <c r="J32" s="16">
        <v>278281</v>
      </c>
      <c r="K32" s="16"/>
      <c r="L32" s="16">
        <v>306311</v>
      </c>
      <c r="M32" s="16">
        <v>384187</v>
      </c>
      <c r="N32" s="16">
        <f>448798</f>
        <v>448798</v>
      </c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</row>
    <row r="33" spans="2:52" s="1" customFormat="1" x14ac:dyDescent="0.2">
      <c r="B33" s="1" t="s">
        <v>100</v>
      </c>
      <c r="D33" s="16">
        <v>113225</v>
      </c>
      <c r="E33" s="16">
        <v>105345</v>
      </c>
      <c r="F33" s="16">
        <v>107582</v>
      </c>
      <c r="G33" s="4"/>
      <c r="H33" s="16">
        <v>123939</v>
      </c>
      <c r="I33" s="16">
        <v>147281</v>
      </c>
      <c r="J33" s="16">
        <v>150648</v>
      </c>
      <c r="K33" s="16"/>
      <c r="L33" s="16">
        <v>165166</v>
      </c>
      <c r="M33" s="16">
        <v>168229</v>
      </c>
      <c r="N33" s="16">
        <f>170378</f>
        <v>170378</v>
      </c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</row>
    <row r="34" spans="2:52" s="1" customFormat="1" x14ac:dyDescent="0.2">
      <c r="B34" s="1" t="s">
        <v>101</v>
      </c>
      <c r="D34" s="16">
        <v>-2257</v>
      </c>
      <c r="E34" s="16">
        <v>-2078</v>
      </c>
      <c r="F34" s="16">
        <v>-1738</v>
      </c>
      <c r="G34" s="4"/>
      <c r="H34" s="16">
        <v>-1134</v>
      </c>
      <c r="I34" s="16">
        <v>-1167</v>
      </c>
      <c r="J34" s="16">
        <v>-1315</v>
      </c>
      <c r="K34" s="16"/>
      <c r="L34" s="16">
        <v>-1152</v>
      </c>
      <c r="M34" s="16">
        <v>-1561</v>
      </c>
      <c r="N34" s="16">
        <f>-1289</f>
        <v>-1289</v>
      </c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</row>
    <row r="35" spans="2:52" s="1" customFormat="1" x14ac:dyDescent="0.2">
      <c r="B35" s="1" t="s">
        <v>38</v>
      </c>
      <c r="D35" s="16">
        <v>-59461</v>
      </c>
      <c r="E35" s="16">
        <v>-26371</v>
      </c>
      <c r="F35" s="16">
        <v>-87</v>
      </c>
      <c r="G35" s="4"/>
      <c r="H35" s="16">
        <v>-120147</v>
      </c>
      <c r="I35" s="16">
        <v>-1475</v>
      </c>
      <c r="J35" s="16">
        <v>-37567</v>
      </c>
      <c r="K35" s="16"/>
      <c r="L35" s="16">
        <v>-88103</v>
      </c>
      <c r="M35" s="16">
        <v>-93295</v>
      </c>
      <c r="N35" s="16">
        <f>-1190</f>
        <v>-1190</v>
      </c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</row>
    <row r="36" spans="2:52" s="1" customFormat="1" x14ac:dyDescent="0.2">
      <c r="B36" s="1" t="s">
        <v>32</v>
      </c>
      <c r="D36" s="16">
        <v>21344</v>
      </c>
      <c r="E36" s="16">
        <v>19111</v>
      </c>
      <c r="F36" s="16">
        <v>46456</v>
      </c>
      <c r="G36" s="4"/>
      <c r="H36" s="16">
        <v>-50085</v>
      </c>
      <c r="I36" s="16">
        <v>-91934</v>
      </c>
      <c r="J36" s="16">
        <v>4782</v>
      </c>
      <c r="K36" s="16"/>
      <c r="L36" s="16">
        <v>-4554</v>
      </c>
      <c r="M36" s="16">
        <v>-65567</v>
      </c>
      <c r="N36" s="16">
        <f>3508</f>
        <v>3508</v>
      </c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</row>
    <row r="37" spans="2:52" s="1" customFormat="1" x14ac:dyDescent="0.2">
      <c r="B37" s="1" t="s">
        <v>102</v>
      </c>
      <c r="D37" s="16">
        <f>SUM(D32:D36)</f>
        <v>338849</v>
      </c>
      <c r="E37" s="16">
        <f>SUM(E32:E36)</f>
        <v>412698</v>
      </c>
      <c r="F37" s="16">
        <f>SUM(F32:F36)</f>
        <v>486883</v>
      </c>
      <c r="G37" s="4"/>
      <c r="H37" s="16">
        <f>SUM(H32:H36)</f>
        <v>167248</v>
      </c>
      <c r="I37" s="16">
        <f>SUM(I32:I36)</f>
        <v>300645</v>
      </c>
      <c r="J37" s="16">
        <f>SUM(J32:J36)</f>
        <v>394829</v>
      </c>
      <c r="K37" s="16"/>
      <c r="L37" s="16">
        <f>SUM(L32:L36)</f>
        <v>377668</v>
      </c>
      <c r="M37" s="16">
        <f>SUM(M32:M36)</f>
        <v>391993</v>
      </c>
      <c r="N37" s="16">
        <f>SUM(N32:N36)</f>
        <v>620205</v>
      </c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</row>
    <row r="38" spans="2:52" s="1" customFormat="1" x14ac:dyDescent="0.2">
      <c r="B38" s="1" t="s">
        <v>103</v>
      </c>
      <c r="D38" s="16">
        <v>2796</v>
      </c>
      <c r="E38" s="16">
        <v>5117</v>
      </c>
      <c r="F38" s="16">
        <v>8644</v>
      </c>
      <c r="G38" s="4"/>
      <c r="H38" s="16">
        <v>14345</v>
      </c>
      <c r="I38" s="16">
        <v>14389</v>
      </c>
      <c r="J38" s="16">
        <v>14872</v>
      </c>
      <c r="K38" s="16"/>
      <c r="L38" s="16">
        <v>19195</v>
      </c>
      <c r="M38" s="16">
        <v>21356</v>
      </c>
      <c r="N38" s="16">
        <f>18473</f>
        <v>18473</v>
      </c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</row>
    <row r="39" spans="2:52" s="1" customFormat="1" x14ac:dyDescent="0.2">
      <c r="B39" s="1" t="s">
        <v>105</v>
      </c>
      <c r="D39" s="16">
        <v>531</v>
      </c>
      <c r="E39" s="16">
        <v>2479</v>
      </c>
      <c r="F39" s="16">
        <v>6</v>
      </c>
      <c r="G39" s="4"/>
      <c r="H39" s="16">
        <v>833</v>
      </c>
      <c r="I39" s="16">
        <v>2568</v>
      </c>
      <c r="J39" s="16">
        <v>58</v>
      </c>
      <c r="K39" s="16"/>
      <c r="L39" s="16">
        <v>805</v>
      </c>
      <c r="M39" s="16">
        <v>2405</v>
      </c>
      <c r="N39" s="16">
        <f>207</f>
        <v>207</v>
      </c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</row>
    <row r="40" spans="2:52" s="1" customFormat="1" x14ac:dyDescent="0.2">
      <c r="B40" s="1" t="s">
        <v>104</v>
      </c>
      <c r="D40" s="16">
        <f>-217723+64</f>
        <v>-217659</v>
      </c>
      <c r="E40" s="16">
        <f>-265970+128</f>
        <v>-265842</v>
      </c>
      <c r="F40" s="16">
        <f>-336844+182</f>
        <v>-336662</v>
      </c>
      <c r="G40" s="4"/>
      <c r="H40" s="16">
        <f>-250534+170</f>
        <v>-250364</v>
      </c>
      <c r="I40" s="16">
        <f>-226624+149</f>
        <v>-226475</v>
      </c>
      <c r="J40" s="16">
        <f>-170160+312</f>
        <v>-169848</v>
      </c>
      <c r="K40" s="16"/>
      <c r="L40" s="16">
        <f>-205674+156</f>
        <v>-205518</v>
      </c>
      <c r="M40" s="16">
        <f>-207079+146</f>
        <v>-206933</v>
      </c>
      <c r="N40" s="16">
        <f>(-361949+256)</f>
        <v>-361693</v>
      </c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</row>
    <row r="41" spans="2:52" s="1" customFormat="1" x14ac:dyDescent="0.2">
      <c r="B41" s="1" t="s">
        <v>106</v>
      </c>
      <c r="D41" s="16">
        <f>-65199+5603</f>
        <v>-59596</v>
      </c>
      <c r="E41" s="16">
        <f>-51589+26985</f>
        <v>-24604</v>
      </c>
      <c r="F41" s="16">
        <f>-65040+45451</f>
        <v>-19589</v>
      </c>
      <c r="G41" s="4"/>
      <c r="H41" s="16">
        <f>-73800+44473</f>
        <v>-29327</v>
      </c>
      <c r="I41" s="16">
        <f>-62105+22448</f>
        <v>-39657</v>
      </c>
      <c r="J41" s="16">
        <f>-55485+52334</f>
        <v>-3151</v>
      </c>
      <c r="K41" s="16"/>
      <c r="L41" s="16">
        <f>-63263+44500</f>
        <v>-18763</v>
      </c>
      <c r="M41" s="16">
        <f>-54209+34426</f>
        <v>-19783</v>
      </c>
      <c r="N41" s="16">
        <f>(-77351+51560)</f>
        <v>-25791</v>
      </c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</row>
    <row r="42" spans="2:52" s="1" customFormat="1" x14ac:dyDescent="0.2">
      <c r="B42" s="1" t="s">
        <v>32</v>
      </c>
      <c r="D42" s="16">
        <v>-2004</v>
      </c>
      <c r="E42" s="16">
        <v>-1540</v>
      </c>
      <c r="F42" s="16">
        <v>5069</v>
      </c>
      <c r="G42" s="4"/>
      <c r="H42" s="16">
        <v>5187</v>
      </c>
      <c r="I42" s="16">
        <v>6932</v>
      </c>
      <c r="J42" s="16">
        <v>25750</v>
      </c>
      <c r="K42" s="16"/>
      <c r="L42" s="16">
        <v>6673</v>
      </c>
      <c r="M42" s="16">
        <v>7446</v>
      </c>
      <c r="N42" s="16">
        <f>51560</f>
        <v>51560</v>
      </c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</row>
    <row r="43" spans="2:52" s="1" customFormat="1" x14ac:dyDescent="0.2">
      <c r="B43" s="1" t="s">
        <v>107</v>
      </c>
      <c r="D43" s="16">
        <f>SUM(D38:D42)</f>
        <v>-275932</v>
      </c>
      <c r="E43" s="16">
        <f>SUM(E38:E42)</f>
        <v>-284390</v>
      </c>
      <c r="F43" s="16">
        <f>SUM(F38:F42)</f>
        <v>-342532</v>
      </c>
      <c r="G43" s="4"/>
      <c r="H43" s="16">
        <f>SUM(H38:H42)</f>
        <v>-259326</v>
      </c>
      <c r="I43" s="16">
        <f>SUM(I38:I42)</f>
        <v>-242243</v>
      </c>
      <c r="J43" s="16">
        <f>SUM(J38:J42)</f>
        <v>-132319</v>
      </c>
      <c r="K43" s="16"/>
      <c r="L43" s="16">
        <f>SUM(L38:L42)</f>
        <v>-197608</v>
      </c>
      <c r="M43" s="16">
        <f>SUM(M38:M42)</f>
        <v>-195509</v>
      </c>
      <c r="N43" s="16">
        <f>SUM(N38:N42)</f>
        <v>-317244</v>
      </c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</row>
    <row r="44" spans="2:52" s="6" customFormat="1" x14ac:dyDescent="0.2">
      <c r="B44" s="6" t="s">
        <v>108</v>
      </c>
      <c r="D44" s="17">
        <f>D37+D40</f>
        <v>121190</v>
      </c>
      <c r="E44" s="17">
        <f>E37+E40</f>
        <v>146856</v>
      </c>
      <c r="F44" s="17">
        <f>F37+F40</f>
        <v>150221</v>
      </c>
      <c r="G44" s="7"/>
      <c r="H44" s="17">
        <f>H37+H40</f>
        <v>-83116</v>
      </c>
      <c r="I44" s="17">
        <f>I37+I40</f>
        <v>74170</v>
      </c>
      <c r="J44" s="17">
        <f>J37+J40</f>
        <v>224981</v>
      </c>
      <c r="K44" s="17"/>
      <c r="L44" s="17">
        <f>L37+L40</f>
        <v>172150</v>
      </c>
      <c r="M44" s="17">
        <f>M37+M40</f>
        <v>185060</v>
      </c>
      <c r="N44" s="17">
        <f>N37+N40</f>
        <v>258512</v>
      </c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</row>
    <row r="45" spans="2:52" s="1" customFormat="1" x14ac:dyDescent="0.2">
      <c r="B45" s="1" t="s">
        <v>109</v>
      </c>
      <c r="D45" s="16">
        <v>19080</v>
      </c>
      <c r="E45" s="16">
        <v>-130406</v>
      </c>
      <c r="F45" s="16">
        <v>-69832</v>
      </c>
      <c r="G45" s="4"/>
      <c r="H45" s="16">
        <v>-26589</v>
      </c>
      <c r="I45" s="16">
        <v>-38451</v>
      </c>
      <c r="J45" s="16">
        <v>-75367</v>
      </c>
      <c r="K45" s="16"/>
      <c r="L45" s="16">
        <v>-90245</v>
      </c>
      <c r="M45" s="16">
        <v>-83639</v>
      </c>
      <c r="N45" s="16">
        <v>-100732</v>
      </c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</row>
    <row r="46" spans="2:52" s="1" customFormat="1" x14ac:dyDescent="0.2">
      <c r="B46" s="1" t="s">
        <v>110</v>
      </c>
      <c r="D46" s="4">
        <f>D45+D43+D37</f>
        <v>81997</v>
      </c>
      <c r="E46" s="4">
        <f>E45+E43+E37</f>
        <v>-2098</v>
      </c>
      <c r="F46" s="4">
        <f>F45+F43+F37</f>
        <v>74519</v>
      </c>
      <c r="G46" s="4"/>
      <c r="H46" s="4">
        <f>H45+H43+H37</f>
        <v>-118667</v>
      </c>
      <c r="I46" s="4">
        <f>I45+I43+I37</f>
        <v>19951</v>
      </c>
      <c r="J46" s="4">
        <f>J45+J43+J37</f>
        <v>187143</v>
      </c>
      <c r="K46" s="4"/>
      <c r="L46" s="4">
        <f>L45+L43+L37</f>
        <v>89815</v>
      </c>
      <c r="M46" s="4">
        <f>M45+M43+M37</f>
        <v>112845</v>
      </c>
      <c r="N46" s="4">
        <f>N45+N43+N37</f>
        <v>202229</v>
      </c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</row>
    <row r="48" spans="2:52" x14ac:dyDescent="0.2">
      <c r="B48" s="1" t="e" vm="1">
        <v>#VALUE!</v>
      </c>
      <c r="C48" s="20" cm="1">
        <f t="array" aca="1" ref="C48" ca="1">_FV(B48,"Price")</f>
        <v>32.790999999999997</v>
      </c>
    </row>
    <row r="49" spans="2:52" x14ac:dyDescent="0.2">
      <c r="B49" s="19"/>
      <c r="C49" s="18"/>
    </row>
    <row r="50" spans="2:52" x14ac:dyDescent="0.2">
      <c r="B50" s="19" t="s">
        <v>9</v>
      </c>
      <c r="C50" s="18"/>
    </row>
    <row r="51" spans="2:52" x14ac:dyDescent="0.2">
      <c r="B51" s="1" t="s">
        <v>56</v>
      </c>
      <c r="C51" s="4">
        <f t="shared" ref="C51:N51" si="123">C14</f>
        <v>7257</v>
      </c>
      <c r="D51" s="4">
        <f t="shared" si="123"/>
        <v>8063</v>
      </c>
      <c r="E51" s="4">
        <f t="shared" si="123"/>
        <v>9268</v>
      </c>
      <c r="F51" s="4">
        <f t="shared" si="123"/>
        <v>9427</v>
      </c>
      <c r="G51" s="4">
        <f t="shared" si="123"/>
        <v>6802</v>
      </c>
      <c r="H51" s="4">
        <f t="shared" si="123"/>
        <v>5925</v>
      </c>
      <c r="I51" s="4">
        <f t="shared" si="123"/>
        <v>6662</v>
      </c>
      <c r="J51" s="4">
        <f t="shared" si="123"/>
        <v>7476</v>
      </c>
      <c r="K51" s="4">
        <f t="shared" si="123"/>
        <v>7172</v>
      </c>
      <c r="L51" s="4">
        <f t="shared" si="123"/>
        <v>7657</v>
      </c>
      <c r="M51" s="4">
        <f t="shared" si="123"/>
        <v>10058</v>
      </c>
      <c r="N51" s="4">
        <f t="shared" si="123"/>
        <v>11592</v>
      </c>
    </row>
    <row r="52" spans="2:52" s="1" customFormat="1" x14ac:dyDescent="0.2">
      <c r="B52" s="1" t="s">
        <v>55</v>
      </c>
      <c r="C52" s="4">
        <v>8114</v>
      </c>
      <c r="D52" s="4">
        <f ca="1">D32/$C$48</f>
        <v>8111.9209539202839</v>
      </c>
      <c r="E52" s="4">
        <f ca="1">E32/$C$48</f>
        <v>9657.8634381385145</v>
      </c>
      <c r="F52" s="4">
        <f ca="1">F32/$C$48</f>
        <v>10206.154127656981</v>
      </c>
      <c r="G52" s="16">
        <v>8029</v>
      </c>
      <c r="H52" s="4">
        <f ca="1">H32/$C$48</f>
        <v>6546.7658808819497</v>
      </c>
      <c r="I52" s="4">
        <f ca="1">I32/$C$48</f>
        <v>7561.221066756123</v>
      </c>
      <c r="J52" s="4">
        <f ca="1">J32/$C$48</f>
        <v>8486.5054435668335</v>
      </c>
      <c r="K52" s="16">
        <v>8488</v>
      </c>
      <c r="L52" s="4">
        <f ca="1">L32/$C$48</f>
        <v>9341.3131651977692</v>
      </c>
      <c r="M52" s="4">
        <f ca="1">M32/$C$48</f>
        <v>11716.233112744352</v>
      </c>
      <c r="N52" s="4">
        <f t="shared" ref="N52:N66" ca="1" si="124">N32/$C$48</f>
        <v>13686.621329023208</v>
      </c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</row>
    <row r="53" spans="2:52" s="1" customFormat="1" x14ac:dyDescent="0.2">
      <c r="B53" s="1" t="s">
        <v>100</v>
      </c>
      <c r="C53" s="4">
        <v>3975</v>
      </c>
      <c r="D53" s="4">
        <f t="shared" ref="D53:E53" ca="1" si="125">D33/$C$48</f>
        <v>3452.9291573907476</v>
      </c>
      <c r="E53" s="4">
        <f t="shared" ca="1" si="125"/>
        <v>3212.6193162758077</v>
      </c>
      <c r="F53" s="4">
        <f t="shared" ref="F53:H53" ca="1" si="126">F33/$C$48</f>
        <v>3280.8392546735386</v>
      </c>
      <c r="G53" s="16">
        <v>3626</v>
      </c>
      <c r="H53" s="4">
        <f t="shared" ca="1" si="126"/>
        <v>3779.6651520234213</v>
      </c>
      <c r="I53" s="4">
        <f t="shared" ref="I53:J53" ca="1" si="127">I33/$C$48</f>
        <v>4491.506815894606</v>
      </c>
      <c r="J53" s="4">
        <f t="shared" ca="1" si="127"/>
        <v>4594.1874294776007</v>
      </c>
      <c r="K53" s="16">
        <v>5064</v>
      </c>
      <c r="L53" s="4">
        <f t="shared" ref="L53:M66" ca="1" si="128">L33/$C$48</f>
        <v>5036.9308651764204</v>
      </c>
      <c r="M53" s="4">
        <f t="shared" ca="1" si="128"/>
        <v>5130.3406422493981</v>
      </c>
      <c r="N53" s="4">
        <f t="shared" ca="1" si="124"/>
        <v>5195.8769174468607</v>
      </c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</row>
    <row r="54" spans="2:52" s="1" customFormat="1" x14ac:dyDescent="0.2">
      <c r="B54" s="1" t="s">
        <v>101</v>
      </c>
      <c r="C54" s="4">
        <v>-61</v>
      </c>
      <c r="D54" s="4">
        <f t="shared" ref="D54:E54" ca="1" si="129">D34/$C$48</f>
        <v>-68.829861852337544</v>
      </c>
      <c r="E54" s="4">
        <f t="shared" ca="1" si="129"/>
        <v>-63.37104693360984</v>
      </c>
      <c r="F54" s="4">
        <f t="shared" ref="F54:H54" ca="1" si="130">F34/$C$48</f>
        <v>-53.002348205300237</v>
      </c>
      <c r="G54" s="16">
        <v>-34</v>
      </c>
      <c r="H54" s="4">
        <f t="shared" ca="1" si="130"/>
        <v>-34.582659876185545</v>
      </c>
      <c r="I54" s="4">
        <f t="shared" ref="I54:J54" ca="1" si="131">I34/$C$48</f>
        <v>-35.589033576286177</v>
      </c>
      <c r="J54" s="4">
        <f t="shared" ca="1" si="131"/>
        <v>-40.102467140373889</v>
      </c>
      <c r="K54" s="16">
        <v>-28</v>
      </c>
      <c r="L54" s="4">
        <f t="shared" ca="1" si="128"/>
        <v>-35.131590985331343</v>
      </c>
      <c r="M54" s="4">
        <f t="shared" ca="1" si="128"/>
        <v>-47.604525632033187</v>
      </c>
      <c r="N54" s="4">
        <f t="shared" ca="1" si="124"/>
        <v>-39.309566649385509</v>
      </c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</row>
    <row r="55" spans="2:52" s="1" customFormat="1" x14ac:dyDescent="0.2">
      <c r="B55" s="1" t="s">
        <v>38</v>
      </c>
      <c r="C55" s="4">
        <v>-23</v>
      </c>
      <c r="D55" s="4">
        <f t="shared" ref="D55:E55" ca="1" si="132">D35/$C$48</f>
        <v>-1813.3329267176971</v>
      </c>
      <c r="E55" s="4">
        <f t="shared" ca="1" si="132"/>
        <v>-804.21457107133062</v>
      </c>
      <c r="F55" s="4">
        <f t="shared" ref="F55:H55" ca="1" si="133">F35/$C$48</f>
        <v>-2.6531670275380441</v>
      </c>
      <c r="G55" s="16">
        <v>-22</v>
      </c>
      <c r="H55" s="4">
        <f t="shared" ca="1" si="133"/>
        <v>-3664.023665030039</v>
      </c>
      <c r="I55" s="4">
        <f t="shared" ref="I55:J55" ca="1" si="134">I35/$C$48</f>
        <v>-44.981854777225465</v>
      </c>
      <c r="J55" s="4">
        <f t="shared" ca="1" si="134"/>
        <v>-1145.6497209600195</v>
      </c>
      <c r="K55" s="16">
        <v>-34</v>
      </c>
      <c r="L55" s="4">
        <f t="shared" ca="1" si="128"/>
        <v>-2686.8043060595896</v>
      </c>
      <c r="M55" s="4">
        <f t="shared" ca="1" si="128"/>
        <v>-2845.1404348754236</v>
      </c>
      <c r="N55" s="4">
        <f t="shared" ca="1" si="124"/>
        <v>-36.290445549083593</v>
      </c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</row>
    <row r="56" spans="2:52" s="1" customFormat="1" x14ac:dyDescent="0.2">
      <c r="B56" s="1" t="s">
        <v>32</v>
      </c>
      <c r="C56" s="4">
        <v>0</v>
      </c>
      <c r="D56" s="4">
        <f t="shared" ref="D56:E56" ca="1" si="135">D36/$C$48</f>
        <v>650.91031075600017</v>
      </c>
      <c r="E56" s="4">
        <f t="shared" ca="1" si="135"/>
        <v>582.81235704919038</v>
      </c>
      <c r="F56" s="4">
        <f t="shared" ref="F56:H56" ca="1" si="136">F36/$C$48</f>
        <v>1416.730200359855</v>
      </c>
      <c r="G56" s="16">
        <v>1064</v>
      </c>
      <c r="H56" s="4">
        <f t="shared" ca="1" si="136"/>
        <v>-1527.4008111981948</v>
      </c>
      <c r="I56" s="4">
        <f t="shared" ref="I56:J56" ca="1" si="137">I36/$C$48</f>
        <v>-2803.6351437894546</v>
      </c>
      <c r="J56" s="4">
        <f t="shared" ca="1" si="137"/>
        <v>145.83269799640146</v>
      </c>
      <c r="K56" s="16">
        <v>404</v>
      </c>
      <c r="L56" s="4">
        <f t="shared" ca="1" si="128"/>
        <v>-138.87957061388798</v>
      </c>
      <c r="M56" s="4">
        <f t="shared" ca="1" si="128"/>
        <v>-1999.5425574090455</v>
      </c>
      <c r="N56" s="4">
        <f t="shared" ca="1" si="124"/>
        <v>106.98057393797079</v>
      </c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</row>
    <row r="57" spans="2:52" s="1" customFormat="1" x14ac:dyDescent="0.2">
      <c r="B57" s="1" t="s">
        <v>102</v>
      </c>
      <c r="C57" s="4">
        <f>SUM(C52:C56)</f>
        <v>12005</v>
      </c>
      <c r="D57" s="4">
        <f t="shared" ref="D57:E57" ca="1" si="138">D37/$C$48</f>
        <v>10333.597633496996</v>
      </c>
      <c r="E57" s="4">
        <f t="shared" ca="1" si="138"/>
        <v>12585.709493458573</v>
      </c>
      <c r="F57" s="4">
        <f t="shared" ref="F57:H57" ca="1" si="139">F37/$C$48</f>
        <v>14848.068067457536</v>
      </c>
      <c r="G57" s="16">
        <f>SUM(G52:G56)</f>
        <v>12663</v>
      </c>
      <c r="H57" s="4">
        <f t="shared" ca="1" si="139"/>
        <v>5100.4238968009522</v>
      </c>
      <c r="I57" s="4">
        <f t="shared" ref="I57:J57" ca="1" si="140">I37/$C$48</f>
        <v>9168.5218505077628</v>
      </c>
      <c r="J57" s="4">
        <f t="shared" ca="1" si="140"/>
        <v>12040.773382940442</v>
      </c>
      <c r="K57" s="16">
        <f>SUM(K52:K56)</f>
        <v>13894</v>
      </c>
      <c r="L57" s="4">
        <f t="shared" ca="1" si="128"/>
        <v>11517.42856271538</v>
      </c>
      <c r="M57" s="4">
        <f t="shared" ca="1" si="128"/>
        <v>11954.286237077247</v>
      </c>
      <c r="N57" s="4">
        <f t="shared" ca="1" si="124"/>
        <v>18913.878808209571</v>
      </c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</row>
    <row r="58" spans="2:52" s="1" customFormat="1" x14ac:dyDescent="0.2">
      <c r="B58" s="1" t="s">
        <v>103</v>
      </c>
      <c r="C58" s="4">
        <v>54</v>
      </c>
      <c r="D58" s="4">
        <f t="shared" ref="D58:E58" ca="1" si="141">D38/$C$48</f>
        <v>85.267298953981282</v>
      </c>
      <c r="E58" s="4">
        <f t="shared" ca="1" si="141"/>
        <v>156.04891586105944</v>
      </c>
      <c r="F58" s="4">
        <f t="shared" ref="F58:H58" ca="1" si="142">F38/$C$48</f>
        <v>263.60891708090639</v>
      </c>
      <c r="G58" s="16">
        <v>404</v>
      </c>
      <c r="H58" s="4">
        <f t="shared" ca="1" si="142"/>
        <v>437.4675978164741</v>
      </c>
      <c r="I58" s="4">
        <f t="shared" ref="I58:J58" ca="1" si="143">I38/$C$48</f>
        <v>438.80942941660828</v>
      </c>
      <c r="J58" s="4">
        <f t="shared" ca="1" si="143"/>
        <v>453.53908084535396</v>
      </c>
      <c r="K58" s="16">
        <v>554</v>
      </c>
      <c r="L58" s="4">
        <f t="shared" ca="1" si="128"/>
        <v>585.37403555853746</v>
      </c>
      <c r="M58" s="4">
        <f t="shared" ca="1" si="128"/>
        <v>651.27626482876406</v>
      </c>
      <c r="N58" s="4">
        <f t="shared" ca="1" si="124"/>
        <v>563.35579884724473</v>
      </c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</row>
    <row r="59" spans="2:52" s="1" customFormat="1" x14ac:dyDescent="0.2">
      <c r="B59" s="1" t="s">
        <v>105</v>
      </c>
      <c r="C59" s="4">
        <v>0</v>
      </c>
      <c r="D59" s="4">
        <f t="shared" ref="D59:E59" ca="1" si="144">D39/$C$48</f>
        <v>16.193467719801166</v>
      </c>
      <c r="E59" s="4">
        <f t="shared" ca="1" si="144"/>
        <v>75.600012198469102</v>
      </c>
      <c r="F59" s="4">
        <f t="shared" ref="F59:H59" ca="1" si="145">F39/$C$48</f>
        <v>0.18297703638193408</v>
      </c>
      <c r="G59" s="16">
        <v>2</v>
      </c>
      <c r="H59" s="4">
        <f t="shared" ca="1" si="145"/>
        <v>25.403311884358516</v>
      </c>
      <c r="I59" s="4">
        <f t="shared" ref="I59:J59" ca="1" si="146">I39/$C$48</f>
        <v>78.314171571467782</v>
      </c>
      <c r="J59" s="4">
        <f t="shared" ca="1" si="146"/>
        <v>1.7687780183586961</v>
      </c>
      <c r="K59" s="16">
        <v>3</v>
      </c>
      <c r="L59" s="4">
        <f t="shared" ca="1" si="128"/>
        <v>24.549419047909488</v>
      </c>
      <c r="M59" s="4">
        <f t="shared" ca="1" si="128"/>
        <v>73.343295416425249</v>
      </c>
      <c r="N59" s="4">
        <f t="shared" ca="1" si="124"/>
        <v>6.3127077551767261</v>
      </c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</row>
    <row r="60" spans="2:52" s="6" customFormat="1" x14ac:dyDescent="0.2">
      <c r="B60" s="6" t="s">
        <v>104</v>
      </c>
      <c r="C60" s="7">
        <f>-9377+22</f>
        <v>-9355</v>
      </c>
      <c r="D60" s="7">
        <f t="shared" ref="D60:E60" ca="1" si="147">D40/$C$48</f>
        <v>-6637.7664603092317</v>
      </c>
      <c r="E60" s="7">
        <f t="shared" ca="1" si="147"/>
        <v>-8107.1635509743537</v>
      </c>
      <c r="F60" s="7">
        <f t="shared" ref="F60:H60" ca="1" si="148">F40/$C$48</f>
        <v>-10266.902503735782</v>
      </c>
      <c r="G60" s="17">
        <f>-9943+2</f>
        <v>-9941</v>
      </c>
      <c r="H60" s="7">
        <f t="shared" ca="1" si="148"/>
        <v>-7635.1437894544242</v>
      </c>
      <c r="I60" s="7">
        <f t="shared" ref="I60:J60" ca="1" si="149">I40/$C$48</f>
        <v>-6906.6207190997538</v>
      </c>
      <c r="J60" s="7">
        <f t="shared" ca="1" si="149"/>
        <v>-5179.7139458997899</v>
      </c>
      <c r="K60" s="17">
        <f>-5774+11</f>
        <v>-5763</v>
      </c>
      <c r="L60" s="7">
        <f t="shared" ca="1" si="128"/>
        <v>-6267.5124271903878</v>
      </c>
      <c r="M60" s="7">
        <f t="shared" ca="1" si="128"/>
        <v>-6310.6645116037944</v>
      </c>
      <c r="N60" s="7">
        <f t="shared" ca="1" si="124"/>
        <v>-11030.25220334848</v>
      </c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</row>
    <row r="61" spans="2:52" s="1" customFormat="1" x14ac:dyDescent="0.2">
      <c r="B61" s="1" t="s">
        <v>106</v>
      </c>
      <c r="C61" s="4">
        <f>-2003+1047</f>
        <v>-956</v>
      </c>
      <c r="D61" s="4">
        <f t="shared" ref="D61:E61" ca="1" si="150">D41/$C$48</f>
        <v>-1817.4499100362907</v>
      </c>
      <c r="E61" s="4">
        <f t="shared" ca="1" si="150"/>
        <v>-750.32783385685104</v>
      </c>
      <c r="F61" s="4">
        <f t="shared" ref="F61:H61" ca="1" si="151">F41/$C$48</f>
        <v>-597.38952761428448</v>
      </c>
      <c r="G61" s="16">
        <f>-1147+1678</f>
        <v>531</v>
      </c>
      <c r="H61" s="4">
        <f t="shared" ca="1" si="151"/>
        <v>-894.36125766216344</v>
      </c>
      <c r="I61" s="4">
        <f t="shared" ref="I61:J61" ca="1" si="152">I41/$C$48</f>
        <v>-1209.3867219663932</v>
      </c>
      <c r="J61" s="4">
        <f t="shared" ca="1" si="152"/>
        <v>-96.093440273245719</v>
      </c>
      <c r="K61" s="16">
        <f>-1458+1599</f>
        <v>141</v>
      </c>
      <c r="L61" s="4">
        <f t="shared" ca="1" si="128"/>
        <v>-572.1996889390382</v>
      </c>
      <c r="M61" s="4">
        <f t="shared" ca="1" si="128"/>
        <v>-603.30578512396698</v>
      </c>
      <c r="N61" s="4">
        <f t="shared" ca="1" si="124"/>
        <v>-786.52679088774369</v>
      </c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</row>
    <row r="62" spans="2:52" s="1" customFormat="1" x14ac:dyDescent="0.2">
      <c r="B62" s="1" t="s">
        <v>32</v>
      </c>
      <c r="C62" s="4">
        <v>-48</v>
      </c>
      <c r="D62" s="4">
        <f t="shared" ref="D62:E62" ca="1" si="153">D42/$C$48</f>
        <v>-61.114330151565987</v>
      </c>
      <c r="E62" s="4">
        <f t="shared" ca="1" si="153"/>
        <v>-46.964106004696418</v>
      </c>
      <c r="F62" s="4">
        <f t="shared" ref="F62:H62" ca="1" si="154">F42/$C$48</f>
        <v>154.58509957000399</v>
      </c>
      <c r="G62" s="16">
        <v>56</v>
      </c>
      <c r="H62" s="4">
        <f t="shared" ca="1" si="154"/>
        <v>158.18364795218201</v>
      </c>
      <c r="I62" s="4">
        <f t="shared" ref="I62:J62" ca="1" si="155">I42/$C$48</f>
        <v>211.3994693665945</v>
      </c>
      <c r="J62" s="4">
        <f t="shared" ca="1" si="155"/>
        <v>785.27644780580044</v>
      </c>
      <c r="K62" s="16">
        <v>-24</v>
      </c>
      <c r="L62" s="4">
        <f t="shared" ca="1" si="128"/>
        <v>203.50096062944104</v>
      </c>
      <c r="M62" s="4">
        <f t="shared" ca="1" si="128"/>
        <v>227.07450214998019</v>
      </c>
      <c r="N62" s="4">
        <f t="shared" ca="1" si="124"/>
        <v>1572.3826659754202</v>
      </c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</row>
    <row r="63" spans="2:52" s="1" customFormat="1" x14ac:dyDescent="0.2">
      <c r="B63" s="1" t="s">
        <v>107</v>
      </c>
      <c r="C63" s="4">
        <f>SUM(C58:C62)</f>
        <v>-10305</v>
      </c>
      <c r="D63" s="4">
        <f t="shared" ref="D63:E63" ca="1" si="156">D43/$C$48</f>
        <v>-8414.8699338233055</v>
      </c>
      <c r="E63" s="4">
        <f t="shared" ca="1" si="156"/>
        <v>-8672.8065627763717</v>
      </c>
      <c r="F63" s="4">
        <f t="shared" ref="F63:H63" ca="1" si="157">F43/$C$48</f>
        <v>-10445.915037662775</v>
      </c>
      <c r="G63" s="16">
        <f>SUM(G58:G62)</f>
        <v>-8948</v>
      </c>
      <c r="H63" s="4">
        <f t="shared" ca="1" si="157"/>
        <v>-7908.4504894635729</v>
      </c>
      <c r="I63" s="4">
        <f t="shared" ref="I63:J63" ca="1" si="158">I43/$C$48</f>
        <v>-7387.484370711476</v>
      </c>
      <c r="J63" s="4">
        <f t="shared" ca="1" si="158"/>
        <v>-4035.2230795035225</v>
      </c>
      <c r="K63" s="16">
        <f>SUM(K58:K62)</f>
        <v>-5089</v>
      </c>
      <c r="L63" s="4">
        <f t="shared" ca="1" si="128"/>
        <v>-6026.2877008935384</v>
      </c>
      <c r="M63" s="4">
        <f t="shared" ca="1" si="128"/>
        <v>-5962.2762343325921</v>
      </c>
      <c r="N63" s="4">
        <f t="shared" ca="1" si="124"/>
        <v>-9674.7278216583836</v>
      </c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</row>
    <row r="64" spans="2:52" s="6" customFormat="1" x14ac:dyDescent="0.2">
      <c r="B64" s="6" t="s">
        <v>108</v>
      </c>
      <c r="C64" s="7">
        <f>C57+C60</f>
        <v>2650</v>
      </c>
      <c r="D64" s="7">
        <f t="shared" ref="D64:E64" ca="1" si="159">D44/$C$48</f>
        <v>3695.8311731877652</v>
      </c>
      <c r="E64" s="7">
        <f t="shared" ca="1" si="159"/>
        <v>4478.5459424842184</v>
      </c>
      <c r="F64" s="7">
        <f t="shared" ref="F64:H64" ca="1" si="160">F44/$C$48</f>
        <v>4581.1655637217536</v>
      </c>
      <c r="G64" s="17">
        <f>G57+G60</f>
        <v>2722</v>
      </c>
      <c r="H64" s="7">
        <f t="shared" ca="1" si="160"/>
        <v>-2534.719892653472</v>
      </c>
      <c r="I64" s="7">
        <f t="shared" ref="I64:J64" ca="1" si="161">I44/$C$48</f>
        <v>2261.9011314080085</v>
      </c>
      <c r="J64" s="7">
        <f t="shared" ca="1" si="161"/>
        <v>6861.0594370406525</v>
      </c>
      <c r="K64" s="17">
        <f>K57+K60</f>
        <v>8131</v>
      </c>
      <c r="L64" s="7">
        <f t="shared" ca="1" si="128"/>
        <v>5249.9161355249926</v>
      </c>
      <c r="M64" s="7">
        <f t="shared" ca="1" si="128"/>
        <v>5643.6217254734538</v>
      </c>
      <c r="N64" s="7">
        <f t="shared" ca="1" si="124"/>
        <v>7883.6266048610905</v>
      </c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</row>
    <row r="65" spans="2:52" s="1" customFormat="1" x14ac:dyDescent="0.2">
      <c r="B65" s="1" t="s">
        <v>109</v>
      </c>
      <c r="C65" s="4">
        <v>-638</v>
      </c>
      <c r="D65" s="4">
        <f t="shared" ref="D65:E65" ca="1" si="162">D45/$C$48</f>
        <v>581.86697569455043</v>
      </c>
      <c r="E65" s="4">
        <f t="shared" ca="1" si="162"/>
        <v>-3976.883901070416</v>
      </c>
      <c r="F65" s="4">
        <f t="shared" ref="F65:H65" ca="1" si="163">F45/$C$48</f>
        <v>-2129.6087341038701</v>
      </c>
      <c r="G65" s="16">
        <v>-2120</v>
      </c>
      <c r="H65" s="4">
        <f t="shared" ca="1" si="163"/>
        <v>-810.8627367265409</v>
      </c>
      <c r="I65" s="4">
        <f t="shared" ref="I65:J65" ca="1" si="164">I45/$C$48</f>
        <v>-1172.6083376536246</v>
      </c>
      <c r="J65" s="4">
        <f t="shared" ca="1" si="164"/>
        <v>-2298.4050501662045</v>
      </c>
      <c r="K65" s="16">
        <v>-2283</v>
      </c>
      <c r="L65" s="4">
        <f t="shared" ca="1" si="128"/>
        <v>-2752.1271080479401</v>
      </c>
      <c r="M65" s="4">
        <f t="shared" ca="1" si="128"/>
        <v>-2550.6693909914306</v>
      </c>
      <c r="N65" s="4">
        <f t="shared" ca="1" si="124"/>
        <v>-3071.9404714708307</v>
      </c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</row>
    <row r="66" spans="2:52" s="6" customFormat="1" x14ac:dyDescent="0.2">
      <c r="B66" s="6" t="s">
        <v>110</v>
      </c>
      <c r="C66" s="7">
        <f>C65+C63+C57</f>
        <v>1062</v>
      </c>
      <c r="D66" s="7">
        <f t="shared" ref="D66:E66" ca="1" si="165">D46/$C$48</f>
        <v>2500.5946753682415</v>
      </c>
      <c r="E66" s="7">
        <f t="shared" ca="1" si="165"/>
        <v>-63.980970388216285</v>
      </c>
      <c r="F66" s="7">
        <f t="shared" ref="F66:H66" ca="1" si="166">F46/$C$48</f>
        <v>2272.544295690891</v>
      </c>
      <c r="G66" s="7">
        <f>G65+G63+G57</f>
        <v>1595</v>
      </c>
      <c r="H66" s="7">
        <f t="shared" ca="1" si="166"/>
        <v>-3618.889329389162</v>
      </c>
      <c r="I66" s="7">
        <f t="shared" ref="I66:J66" ca="1" si="167">I46/$C$48</f>
        <v>608.42914214266114</v>
      </c>
      <c r="J66" s="7">
        <f t="shared" ca="1" si="167"/>
        <v>5707.1452532707153</v>
      </c>
      <c r="K66" s="7">
        <f>K65+K63+K57</f>
        <v>6522</v>
      </c>
      <c r="L66" s="7">
        <f t="shared" ca="1" si="128"/>
        <v>2739.0137537739015</v>
      </c>
      <c r="M66" s="7">
        <f t="shared" ca="1" si="128"/>
        <v>3441.3406117532254</v>
      </c>
      <c r="N66" s="7">
        <f t="shared" ca="1" si="124"/>
        <v>6167.2105150803582</v>
      </c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</row>
    <row r="67" spans="2:52" s="1" customFormat="1" x14ac:dyDescent="0.2"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</row>
    <row r="68" spans="2:52" s="1" customFormat="1" x14ac:dyDescent="0.2"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</row>
  </sheetData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Bobby S</dc:creator>
  <cp:lastModifiedBy>Bobby S</cp:lastModifiedBy>
  <dcterms:created xsi:type="dcterms:W3CDTF">2025-02-24T14:57:00Z</dcterms:created>
  <dcterms:modified xsi:type="dcterms:W3CDTF">2025-03-05T15:14:54Z</dcterms:modified>
</cp:coreProperties>
</file>