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gelowong/Library/CloudStorage/OneDrive-Personal/Value Investing/"/>
    </mc:Choice>
  </mc:AlternateContent>
  <xr:revisionPtr revIDLastSave="0" documentId="13_ncr:1_{2573F371-E664-2243-8780-4824577651E0}" xr6:coauthVersionLast="47" xr6:coauthVersionMax="47" xr10:uidLastSave="{00000000-0000-0000-0000-000000000000}"/>
  <bookViews>
    <workbookView xWindow="0" yWindow="-33340" windowWidth="30080" windowHeight="33340" activeTab="1" xr2:uid="{E5BEFB10-5A31-4649-AD6A-511C96DACF4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AR43" i="2" l="1"/>
  <c r="AR45" i="2" s="1"/>
  <c r="AR48" i="2" s="1"/>
  <c r="AQ26" i="2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AP26" i="2"/>
  <c r="Z23" i="2"/>
  <c r="Y39" i="2"/>
  <c r="AL18" i="2"/>
  <c r="AM18" i="2" s="1"/>
  <c r="AN18" i="2" s="1"/>
  <c r="AO18" i="2" s="1"/>
  <c r="AK18" i="2"/>
  <c r="AB4" i="2"/>
  <c r="Z24" i="2"/>
  <c r="Z25" i="2" s="1"/>
  <c r="Z37" i="2" s="1"/>
  <c r="AC22" i="2"/>
  <c r="AC36" i="2" s="1"/>
  <c r="AB22" i="2"/>
  <c r="AB36" i="2" s="1"/>
  <c r="AK21" i="2"/>
  <c r="AK22" i="2" s="1"/>
  <c r="AK36" i="2" s="1"/>
  <c r="AJ21" i="2"/>
  <c r="AJ22" i="2" s="1"/>
  <c r="AJ36" i="2" s="1"/>
  <c r="AI21" i="2"/>
  <c r="AI22" i="2" s="1"/>
  <c r="AI36" i="2" s="1"/>
  <c r="AH21" i="2"/>
  <c r="AH22" i="2" s="1"/>
  <c r="AH36" i="2" s="1"/>
  <c r="AG21" i="2"/>
  <c r="AG22" i="2" s="1"/>
  <c r="AG36" i="2" s="1"/>
  <c r="AF21" i="2"/>
  <c r="AF22" i="2" s="1"/>
  <c r="AF36" i="2" s="1"/>
  <c r="AE21" i="2"/>
  <c r="AE22" i="2" s="1"/>
  <c r="AE36" i="2" s="1"/>
  <c r="AD21" i="2"/>
  <c r="AD22" i="2" s="1"/>
  <c r="AD36" i="2" s="1"/>
  <c r="AC21" i="2"/>
  <c r="AB21" i="2"/>
  <c r="AA21" i="2"/>
  <c r="AA22" i="2" s="1"/>
  <c r="AA36" i="2" s="1"/>
  <c r="Z21" i="2"/>
  <c r="Z22" i="2" s="1"/>
  <c r="Z36" i="2" s="1"/>
  <c r="AJ17" i="2"/>
  <c r="AK17" i="2" s="1"/>
  <c r="AI17" i="2"/>
  <c r="AF17" i="2"/>
  <c r="AG17" i="2" s="1"/>
  <c r="AE17" i="2"/>
  <c r="AA17" i="2"/>
  <c r="AA31" i="2" s="1"/>
  <c r="Z17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AB18" i="2"/>
  <c r="AB32" i="2" s="1"/>
  <c r="AA18" i="2"/>
  <c r="Z18" i="2"/>
  <c r="AA32" i="2"/>
  <c r="AF19" i="2"/>
  <c r="AF33" i="2" s="1"/>
  <c r="AE19" i="2"/>
  <c r="AA19" i="2"/>
  <c r="AB19" i="2" s="1"/>
  <c r="Z19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AL11" i="2"/>
  <c r="AM11" i="2" s="1"/>
  <c r="AK11" i="2"/>
  <c r="AG11" i="2"/>
  <c r="AH11" i="2" s="1"/>
  <c r="AF11" i="2"/>
  <c r="AA33" i="2"/>
  <c r="Z33" i="2"/>
  <c r="Z32" i="2"/>
  <c r="AJ31" i="2"/>
  <c r="AF31" i="2"/>
  <c r="Z31" i="2"/>
  <c r="AG30" i="2"/>
  <c r="AF30" i="2"/>
  <c r="AE30" i="2"/>
  <c r="AD30" i="2"/>
  <c r="AC30" i="2"/>
  <c r="AB30" i="2"/>
  <c r="AA30" i="2"/>
  <c r="AB11" i="2"/>
  <c r="AC11" i="2" s="1"/>
  <c r="AD11" i="2" s="1"/>
  <c r="AE11" i="2" s="1"/>
  <c r="AA11" i="2"/>
  <c r="Y4" i="2"/>
  <c r="W27" i="2"/>
  <c r="W25" i="2"/>
  <c r="W20" i="2"/>
  <c r="W19" i="2"/>
  <c r="W18" i="2"/>
  <c r="W17" i="2"/>
  <c r="W14" i="2"/>
  <c r="W13" i="2"/>
  <c r="W12" i="2"/>
  <c r="W15" i="2" s="1"/>
  <c r="W10" i="2"/>
  <c r="W9" i="2"/>
  <c r="W8" i="2"/>
  <c r="W11" i="2" s="1"/>
  <c r="X27" i="2"/>
  <c r="X25" i="2"/>
  <c r="X20" i="2"/>
  <c r="X19" i="2"/>
  <c r="X18" i="2"/>
  <c r="X17" i="2"/>
  <c r="X21" i="2" s="1"/>
  <c r="X14" i="2"/>
  <c r="X13" i="2"/>
  <c r="X12" i="2"/>
  <c r="X10" i="2"/>
  <c r="X9" i="2"/>
  <c r="X8" i="2"/>
  <c r="X15" i="2"/>
  <c r="Y27" i="2"/>
  <c r="Y25" i="2"/>
  <c r="Y20" i="2"/>
  <c r="Y19" i="2"/>
  <c r="Y18" i="2"/>
  <c r="Y17" i="2"/>
  <c r="Y14" i="2"/>
  <c r="Y13" i="2"/>
  <c r="Y12" i="2"/>
  <c r="Y15" i="2" s="1"/>
  <c r="Y10" i="2"/>
  <c r="Y9" i="2"/>
  <c r="Y8" i="2"/>
  <c r="Y11" i="2" s="1"/>
  <c r="Y16" i="2" s="1"/>
  <c r="Y35" i="2" s="1"/>
  <c r="C23" i="2"/>
  <c r="C21" i="2"/>
  <c r="C15" i="2"/>
  <c r="C11" i="2"/>
  <c r="C16" i="2" s="1"/>
  <c r="D23" i="2"/>
  <c r="D21" i="2"/>
  <c r="D15" i="2"/>
  <c r="D11" i="2"/>
  <c r="E23" i="2"/>
  <c r="E21" i="2"/>
  <c r="E15" i="2"/>
  <c r="E11" i="2"/>
  <c r="E16" i="2" s="1"/>
  <c r="N39" i="2"/>
  <c r="F57" i="2"/>
  <c r="F53" i="2"/>
  <c r="F49" i="2"/>
  <c r="F59" i="2" s="1"/>
  <c r="F23" i="2"/>
  <c r="F21" i="2"/>
  <c r="F15" i="2"/>
  <c r="F11" i="2"/>
  <c r="J57" i="2"/>
  <c r="J53" i="2"/>
  <c r="J49" i="2"/>
  <c r="J59" i="2" s="1"/>
  <c r="N54" i="2"/>
  <c r="N57" i="2" s="1"/>
  <c r="N53" i="2"/>
  <c r="N49" i="2"/>
  <c r="N59" i="2" s="1"/>
  <c r="N33" i="2"/>
  <c r="N32" i="2"/>
  <c r="N31" i="2"/>
  <c r="J23" i="2"/>
  <c r="J21" i="2"/>
  <c r="J15" i="2"/>
  <c r="J11" i="2"/>
  <c r="N23" i="2"/>
  <c r="N21" i="2"/>
  <c r="N15" i="2"/>
  <c r="N11" i="2"/>
  <c r="G23" i="2"/>
  <c r="G21" i="2"/>
  <c r="G15" i="2"/>
  <c r="G11" i="2"/>
  <c r="K23" i="2"/>
  <c r="K21" i="2"/>
  <c r="K15" i="2"/>
  <c r="K11" i="2"/>
  <c r="M33" i="2"/>
  <c r="L33" i="2"/>
  <c r="K33" i="2"/>
  <c r="J33" i="2"/>
  <c r="I33" i="2"/>
  <c r="H33" i="2"/>
  <c r="G33" i="2"/>
  <c r="M32" i="2"/>
  <c r="L32" i="2"/>
  <c r="K32" i="2"/>
  <c r="J32" i="2"/>
  <c r="I32" i="2"/>
  <c r="H32" i="2"/>
  <c r="G32" i="2"/>
  <c r="L31" i="2"/>
  <c r="K31" i="2"/>
  <c r="J31" i="2"/>
  <c r="I31" i="2"/>
  <c r="H31" i="2"/>
  <c r="G31" i="2"/>
  <c r="M31" i="2"/>
  <c r="H23" i="2"/>
  <c r="H21" i="2"/>
  <c r="H15" i="2"/>
  <c r="H11" i="2"/>
  <c r="L23" i="2"/>
  <c r="L21" i="2"/>
  <c r="L15" i="2"/>
  <c r="L11" i="2"/>
  <c r="I23" i="2"/>
  <c r="I21" i="2"/>
  <c r="I15" i="2"/>
  <c r="I11" i="2"/>
  <c r="M23" i="2"/>
  <c r="M21" i="2"/>
  <c r="M15" i="2"/>
  <c r="M11" i="2"/>
  <c r="X2" i="2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L8" i="1"/>
  <c r="L7" i="1"/>
  <c r="L6" i="1"/>
  <c r="Z26" i="2" l="1"/>
  <c r="Z39" i="2" s="1"/>
  <c r="AL17" i="2"/>
  <c r="AK31" i="2"/>
  <c r="AH17" i="2"/>
  <c r="AG31" i="2"/>
  <c r="AB17" i="2"/>
  <c r="AC18" i="2"/>
  <c r="AG19" i="2"/>
  <c r="AC19" i="2"/>
  <c r="AB33" i="2"/>
  <c r="AN11" i="2"/>
  <c r="AM30" i="2"/>
  <c r="AL30" i="2"/>
  <c r="AI11" i="2"/>
  <c r="AH30" i="2"/>
  <c r="Y23" i="2"/>
  <c r="W23" i="2"/>
  <c r="X23" i="2"/>
  <c r="X33" i="2"/>
  <c r="W21" i="2"/>
  <c r="Y21" i="2"/>
  <c r="X32" i="2"/>
  <c r="Y32" i="2"/>
  <c r="F16" i="2"/>
  <c r="F22" i="2" s="1"/>
  <c r="Y33" i="2"/>
  <c r="Y22" i="2"/>
  <c r="Y36" i="2" s="1"/>
  <c r="Y31" i="2"/>
  <c r="X31" i="2"/>
  <c r="X11" i="2"/>
  <c r="Y30" i="2" s="1"/>
  <c r="W16" i="2"/>
  <c r="Z30" i="2"/>
  <c r="L9" i="1"/>
  <c r="C35" i="2"/>
  <c r="C22" i="2"/>
  <c r="C36" i="2" s="1"/>
  <c r="D16" i="2"/>
  <c r="D35" i="2" s="1"/>
  <c r="E22" i="2"/>
  <c r="E36" i="2" s="1"/>
  <c r="E35" i="2"/>
  <c r="E24" i="2"/>
  <c r="L30" i="2"/>
  <c r="N60" i="2"/>
  <c r="H30" i="2"/>
  <c r="M30" i="2"/>
  <c r="N16" i="2"/>
  <c r="N35" i="2" s="1"/>
  <c r="I16" i="2"/>
  <c r="I35" i="2" s="1"/>
  <c r="I30" i="2"/>
  <c r="J16" i="2"/>
  <c r="F35" i="2" s="1"/>
  <c r="N30" i="2"/>
  <c r="H16" i="2"/>
  <c r="F60" i="2"/>
  <c r="F24" i="2"/>
  <c r="F26" i="2" s="1"/>
  <c r="J60" i="2"/>
  <c r="J30" i="2"/>
  <c r="G16" i="2"/>
  <c r="G22" i="2" s="1"/>
  <c r="G36" i="2" s="1"/>
  <c r="G30" i="2"/>
  <c r="K16" i="2"/>
  <c r="K22" i="2" s="1"/>
  <c r="K36" i="2" s="1"/>
  <c r="K30" i="2"/>
  <c r="K35" i="2"/>
  <c r="M16" i="2"/>
  <c r="L16" i="2"/>
  <c r="AA23" i="2" l="1"/>
  <c r="AA24" i="2" s="1"/>
  <c r="AM17" i="2"/>
  <c r="AL31" i="2"/>
  <c r="AI31" i="2"/>
  <c r="AH31" i="2"/>
  <c r="AB31" i="2"/>
  <c r="AC17" i="2"/>
  <c r="AD18" i="2"/>
  <c r="AC32" i="2"/>
  <c r="AH19" i="2"/>
  <c r="AG33" i="2"/>
  <c r="AD19" i="2"/>
  <c r="AC33" i="2"/>
  <c r="AO11" i="2"/>
  <c r="AO30" i="2" s="1"/>
  <c r="AN30" i="2"/>
  <c r="AJ11" i="2"/>
  <c r="AI30" i="2"/>
  <c r="X30" i="2"/>
  <c r="X16" i="2"/>
  <c r="W22" i="2"/>
  <c r="W35" i="2"/>
  <c r="D22" i="2"/>
  <c r="D36" i="2" s="1"/>
  <c r="X22" i="2"/>
  <c r="X35" i="2"/>
  <c r="Y24" i="2"/>
  <c r="C24" i="2"/>
  <c r="C26" i="2" s="1"/>
  <c r="C28" i="2" s="1"/>
  <c r="D24" i="2"/>
  <c r="E37" i="2"/>
  <c r="E26" i="2"/>
  <c r="E28" i="2" s="1"/>
  <c r="N22" i="2"/>
  <c r="N36" i="2" s="1"/>
  <c r="I22" i="2"/>
  <c r="I24" i="2" s="1"/>
  <c r="J22" i="2"/>
  <c r="F36" i="2" s="1"/>
  <c r="J35" i="2"/>
  <c r="H22" i="2"/>
  <c r="H35" i="2"/>
  <c r="L22" i="2"/>
  <c r="L35" i="2"/>
  <c r="M22" i="2"/>
  <c r="M35" i="2"/>
  <c r="G35" i="2"/>
  <c r="F28" i="2"/>
  <c r="F40" i="2"/>
  <c r="G24" i="2"/>
  <c r="K24" i="2"/>
  <c r="K26" i="2" s="1"/>
  <c r="K28" i="2" s="1"/>
  <c r="AA25" i="2" l="1"/>
  <c r="AA37" i="2" s="1"/>
  <c r="AN17" i="2"/>
  <c r="AM31" i="2"/>
  <c r="AD17" i="2"/>
  <c r="AC31" i="2"/>
  <c r="AD32" i="2"/>
  <c r="AE18" i="2"/>
  <c r="AI19" i="2"/>
  <c r="AH33" i="2"/>
  <c r="AD33" i="2"/>
  <c r="AE33" i="2"/>
  <c r="AK30" i="2"/>
  <c r="AJ30" i="2"/>
  <c r="N24" i="2"/>
  <c r="N37" i="2" s="1"/>
  <c r="K37" i="2"/>
  <c r="X24" i="2"/>
  <c r="X36" i="2"/>
  <c r="Y26" i="2"/>
  <c r="Y28" i="2" s="1"/>
  <c r="Y37" i="2"/>
  <c r="C37" i="2"/>
  <c r="I36" i="2"/>
  <c r="J36" i="2"/>
  <c r="W36" i="2"/>
  <c r="W24" i="2"/>
  <c r="J24" i="2"/>
  <c r="F37" i="2" s="1"/>
  <c r="D26" i="2"/>
  <c r="D28" i="2" s="1"/>
  <c r="D37" i="2"/>
  <c r="J37" i="2"/>
  <c r="M24" i="2"/>
  <c r="M36" i="2"/>
  <c r="L24" i="2"/>
  <c r="L36" i="2"/>
  <c r="H36" i="2"/>
  <c r="H24" i="2"/>
  <c r="N26" i="2"/>
  <c r="I26" i="2"/>
  <c r="I28" i="2" s="1"/>
  <c r="I37" i="2"/>
  <c r="G26" i="2"/>
  <c r="G28" i="2" s="1"/>
  <c r="G37" i="2"/>
  <c r="AA26" i="2" l="1"/>
  <c r="AA39" i="2" s="1"/>
  <c r="AO17" i="2"/>
  <c r="AO31" i="2" s="1"/>
  <c r="AN31" i="2"/>
  <c r="AD31" i="2"/>
  <c r="AE31" i="2"/>
  <c r="AF18" i="2"/>
  <c r="AE32" i="2"/>
  <c r="AJ19" i="2"/>
  <c r="AI33" i="2"/>
  <c r="J26" i="2"/>
  <c r="W26" i="2"/>
  <c r="W28" i="2" s="1"/>
  <c r="W37" i="2"/>
  <c r="X26" i="2"/>
  <c r="X28" i="2" s="1"/>
  <c r="X37" i="2"/>
  <c r="J28" i="2"/>
  <c r="J40" i="2"/>
  <c r="N28" i="2"/>
  <c r="N40" i="2"/>
  <c r="H26" i="2"/>
  <c r="H28" i="2" s="1"/>
  <c r="H37" i="2"/>
  <c r="L26" i="2"/>
  <c r="L28" i="2" s="1"/>
  <c r="L37" i="2"/>
  <c r="M26" i="2"/>
  <c r="M28" i="2" s="1"/>
  <c r="M37" i="2"/>
  <c r="AB23" i="2" l="1"/>
  <c r="AB24" i="2" s="1"/>
  <c r="AG18" i="2"/>
  <c r="AF32" i="2"/>
  <c r="AK19" i="2"/>
  <c r="AJ33" i="2"/>
  <c r="AB25" i="2" l="1"/>
  <c r="AB37" i="2" s="1"/>
  <c r="AH18" i="2"/>
  <c r="AG32" i="2"/>
  <c r="AL19" i="2"/>
  <c r="AK33" i="2"/>
  <c r="AB26" i="2" l="1"/>
  <c r="AB39" i="2" s="1"/>
  <c r="AI18" i="2"/>
  <c r="AH32" i="2"/>
  <c r="AM19" i="2"/>
  <c r="AL33" i="2"/>
  <c r="AC23" i="2" l="1"/>
  <c r="AC24" i="2" s="1"/>
  <c r="AJ18" i="2"/>
  <c r="AI32" i="2"/>
  <c r="AM33" i="2"/>
  <c r="AN19" i="2"/>
  <c r="AC25" i="2" l="1"/>
  <c r="AC37" i="2" s="1"/>
  <c r="AC26" i="2"/>
  <c r="AC39" i="2" s="1"/>
  <c r="AJ32" i="2"/>
  <c r="AO19" i="2"/>
  <c r="AO33" i="2" s="1"/>
  <c r="AN33" i="2"/>
  <c r="AD23" i="2" l="1"/>
  <c r="AD24" i="2" s="1"/>
  <c r="AL21" i="2"/>
  <c r="AL22" i="2" s="1"/>
  <c r="AK32" i="2"/>
  <c r="AD25" i="2" l="1"/>
  <c r="AD37" i="2" s="1"/>
  <c r="AL36" i="2"/>
  <c r="AM21" i="2"/>
  <c r="AM22" i="2" s="1"/>
  <c r="AL32" i="2"/>
  <c r="AD26" i="2" l="1"/>
  <c r="AD39" i="2" s="1"/>
  <c r="AM36" i="2"/>
  <c r="AM32" i="2"/>
  <c r="AN21" i="2"/>
  <c r="AN22" i="2" s="1"/>
  <c r="AE23" i="2" l="1"/>
  <c r="AE24" i="2" s="1"/>
  <c r="AN36" i="2"/>
  <c r="AN32" i="2"/>
  <c r="AE25" i="2" l="1"/>
  <c r="AE37" i="2" s="1"/>
  <c r="AO32" i="2"/>
  <c r="AO21" i="2"/>
  <c r="AO22" i="2" s="1"/>
  <c r="AE26" i="2" l="1"/>
  <c r="AE39" i="2" s="1"/>
  <c r="AO36" i="2"/>
  <c r="AF23" i="2" l="1"/>
  <c r="AF24" i="2" s="1"/>
  <c r="AF25" i="2" l="1"/>
  <c r="AF37" i="2" s="1"/>
  <c r="AF26" i="2"/>
  <c r="AF39" i="2" s="1"/>
  <c r="AG23" i="2" l="1"/>
  <c r="AG24" i="2" s="1"/>
  <c r="AG25" i="2" l="1"/>
  <c r="AG37" i="2" s="1"/>
  <c r="AG26" i="2"/>
  <c r="AG39" i="2" s="1"/>
  <c r="AH23" i="2" l="1"/>
  <c r="AH24" i="2" s="1"/>
  <c r="AH25" i="2" l="1"/>
  <c r="AH37" i="2" s="1"/>
  <c r="AH26" i="2" l="1"/>
  <c r="AH39" i="2" s="1"/>
  <c r="AI23" i="2" l="1"/>
  <c r="AI24" i="2" s="1"/>
  <c r="AI25" i="2" l="1"/>
  <c r="AI37" i="2" s="1"/>
  <c r="AI26" i="2"/>
  <c r="AI39" i="2" s="1"/>
  <c r="AJ23" i="2" l="1"/>
  <c r="AJ24" i="2" s="1"/>
  <c r="AJ25" i="2" l="1"/>
  <c r="AJ37" i="2" s="1"/>
  <c r="AJ26" i="2" l="1"/>
  <c r="AJ39" i="2" s="1"/>
  <c r="AK23" i="2" l="1"/>
  <c r="AK24" i="2" s="1"/>
  <c r="AK25" i="2" l="1"/>
  <c r="AK37" i="2" s="1"/>
  <c r="AK26" i="2"/>
  <c r="AK39" i="2" s="1"/>
  <c r="AL23" i="2" l="1"/>
  <c r="AL24" i="2" s="1"/>
  <c r="AL25" i="2" l="1"/>
  <c r="AL37" i="2" s="1"/>
  <c r="AL26" i="2"/>
  <c r="AL39" i="2" s="1"/>
  <c r="AM23" i="2" l="1"/>
  <c r="AM24" i="2" s="1"/>
  <c r="AM25" i="2" l="1"/>
  <c r="AM37" i="2" s="1"/>
  <c r="AM26" i="2"/>
  <c r="AM39" i="2" s="1"/>
  <c r="AN23" i="2" l="1"/>
  <c r="AN24" i="2" s="1"/>
  <c r="AN25" i="2" l="1"/>
  <c r="AN37" i="2" s="1"/>
  <c r="AN26" i="2"/>
  <c r="AN39" i="2" s="1"/>
  <c r="AO23" i="2" l="1"/>
  <c r="AO24" i="2" s="1"/>
  <c r="AO25" i="2" l="1"/>
  <c r="AO37" i="2" s="1"/>
  <c r="AO26" i="2"/>
  <c r="AO3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Angelo Wong</author>
  </authors>
  <commentList>
    <comment ref="Z11" authorId="0" shapeId="0" xr:uid="{B743B87F-3FDA-EA45-9EC7-97A15772562E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23300 - 23550</t>
        </r>
      </text>
    </comment>
    <comment ref="J24" authorId="0" shapeId="0" xr:uid="{F3C8C399-F7E5-3941-A8EA-3982E4613909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fall through of figma acquisition</t>
        </r>
      </text>
    </comment>
    <comment ref="K24" authorId="0" shapeId="0" xr:uid="{1C53A683-3940-3640-95AE-49A4CF57EB14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fall through of figma acquisition</t>
        </r>
      </text>
    </comment>
    <comment ref="N24" authorId="0" shapeId="0" xr:uid="{F9B6749A-18B6-4C46-8510-1C564A14A4BC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fall through of figma acquisition</t>
        </r>
      </text>
    </comment>
    <comment ref="Y24" authorId="0" shapeId="0" xr:uid="{8459EC07-94D1-2E46-93A0-90960A0D312F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fall through of figma acquisition</t>
        </r>
      </text>
    </comment>
    <comment ref="Z33" authorId="0" shapeId="0" xr:uid="{AB0B5BD1-15F2-0B4B-97ED-09273E70562D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levels fyi marketing + data scientist highest salary, implies high r&amp;d
</t>
        </r>
      </text>
    </comment>
  </commentList>
</comments>
</file>

<file path=xl/sharedStrings.xml><?xml version="1.0" encoding="utf-8"?>
<sst xmlns="http://schemas.openxmlformats.org/spreadsheetml/2006/main" count="100" uniqueCount="86">
  <si>
    <t>Price</t>
  </si>
  <si>
    <t>Shares</t>
  </si>
  <si>
    <t>MC</t>
  </si>
  <si>
    <t>Cash</t>
  </si>
  <si>
    <t>Debt</t>
  </si>
  <si>
    <t>EV</t>
  </si>
  <si>
    <t>Q424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</si>
  <si>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</si>
  <si>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</si>
  <si>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</si>
  <si>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</si>
  <si>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</si>
  <si>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</si>
  <si>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</si>
  <si>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</si>
  <si>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</si>
  <si>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</si>
  <si>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</si>
  <si>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</si>
  <si>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Q125</t>
  </si>
  <si>
    <t>Q225</t>
  </si>
  <si>
    <t>Q325</t>
  </si>
  <si>
    <t>Q425</t>
  </si>
  <si>
    <t>Creative Cloud</t>
  </si>
  <si>
    <t>Document Cloud</t>
  </si>
  <si>
    <t>Segment</t>
  </si>
  <si>
    <t>Subscription</t>
  </si>
  <si>
    <t>Product</t>
  </si>
  <si>
    <t>Services</t>
  </si>
  <si>
    <t>On prem software. License fees.</t>
  </si>
  <si>
    <t>Consulting and training and support for on-prem</t>
  </si>
  <si>
    <t>B2C</t>
  </si>
  <si>
    <t>Description</t>
  </si>
  <si>
    <t>Percent of revenue</t>
  </si>
  <si>
    <t>Period</t>
  </si>
  <si>
    <t>COGs Sub</t>
  </si>
  <si>
    <t>COGs Product</t>
  </si>
  <si>
    <t>COGs Services</t>
  </si>
  <si>
    <t>COGs</t>
  </si>
  <si>
    <t>Gross Profit</t>
  </si>
  <si>
    <t>R&amp;D</t>
  </si>
  <si>
    <t>S&amp;M</t>
  </si>
  <si>
    <t>Acquisitions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</si>
  <si>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</si>
  <si>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</si>
  <si>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</si>
  <si>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</si>
  <si>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</si>
  <si>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</si>
  <si>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</si>
  <si>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G&amp;A</t>
  </si>
  <si>
    <t>Model NI</t>
  </si>
  <si>
    <t>Reported NI</t>
  </si>
  <si>
    <t>Revenue Growth</t>
  </si>
  <si>
    <t>Gross Margin %</t>
  </si>
  <si>
    <t>Taxes %</t>
  </si>
  <si>
    <t>Operating Margin %</t>
  </si>
  <si>
    <t>R&amp;D Growth</t>
  </si>
  <si>
    <t>S&amp;M Growth</t>
  </si>
  <si>
    <t>G&amp;A Growth</t>
  </si>
  <si>
    <t>D&amp;A</t>
  </si>
  <si>
    <t>SBC</t>
  </si>
  <si>
    <t>Lease</t>
  </si>
  <si>
    <t>Unrealized gains</t>
  </si>
  <si>
    <t>Other adjustments</t>
  </si>
  <si>
    <t>D/R</t>
  </si>
  <si>
    <t>CFFO</t>
  </si>
  <si>
    <t>Short-term Investments</t>
  </si>
  <si>
    <t>PPE</t>
  </si>
  <si>
    <t>Long-Term Investments</t>
  </si>
  <si>
    <t>CFFI</t>
  </si>
  <si>
    <t>Repurchase Stock</t>
  </si>
  <si>
    <t>Tax</t>
  </si>
  <si>
    <t>Other</t>
  </si>
  <si>
    <t>CFFF</t>
  </si>
  <si>
    <t>FCF</t>
  </si>
  <si>
    <t>Cash Flow</t>
  </si>
  <si>
    <t>Net Cash</t>
  </si>
  <si>
    <t>TAM</t>
  </si>
  <si>
    <t>Rev % Tam</t>
  </si>
  <si>
    <t>ROIC</t>
  </si>
  <si>
    <t>Maturity</t>
  </si>
  <si>
    <t>Discount Rate</t>
  </si>
  <si>
    <t>NPV</t>
  </si>
  <si>
    <t>Spot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</si>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</sst>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/>
    <xf numFmtId="3" fontId="1" fillId="0" borderId="0" xfId="0" applyNumberFormat="1" applyFont="1"/>
    <xf numFmtId="3" fontId="4" fillId="0" borderId="0" xfId="0" applyNumberFormat="1" applyFont="1" applyAlignment="1">
      <alignment horizontal="right"/>
    </xf>
    <xf numFmtId="38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812800</xdr:colOff>
      <xdr:row>0</xdr:row>
      <xdr:rowOff>38100</xdr:rowOff>
    </xdr:from>
    <xdr:to>
      <xdr:col>13</xdr:col>
      <xdr:colOff>812800</xdr:colOff>
      <xdr:row>67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D204751-603A-CFBA-9D1C-6F0F613F96EE}"/>
            </a:ext>
          </a:extLst>
        </xdr:cNvPr>
        <xdr:cNvCxnSpPr/>
      </xdr:nvCxnSpPr>
      <xdr:spPr>
        <a:xfrm>
          <a:off x="11544300" y="38100"/>
          <a:ext cx="0" cy="10058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12700</xdr:colOff>
      <xdr:row>0</xdr:row>
      <xdr:rowOff>63500</xdr:rowOff>
    </xdr:from>
    <xdr:to>
      <xdr:col>25</xdr:col>
      <xdr:colOff>12700</xdr:colOff>
      <xdr:row>68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8B0EB77-FBDB-E604-0278-BF60D115F87E}"/>
            </a:ext>
          </a:extLst>
        </xdr:cNvPr>
        <xdr:cNvCxnSpPr/>
      </xdr:nvCxnSpPr>
      <xdr:spPr>
        <a:xfrm>
          <a:off x="20650200" y="63500"/>
          <a:ext cx="0" cy="10172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08B6C3-0762-614A-A948-1BA7203189DF}" name="Table1" displayName="Table1" ref="B4:E7" totalsRowShown="0">
  <autoFilter ref="B4:E7" xr:uid="{9608B6C3-0762-614A-A948-1BA7203189DF}"/>
  <tableColumns count="4">
    <tableColumn id="1" xr3:uid="{2F323143-2F96-F547-9D6B-BDDCBB7B1CB3}" name="Segment"/>
    <tableColumn id="2" xr3:uid="{63563DCF-FDC2-AE4F-9B0C-1C8E86D6C0ED}" name="Description"/>
    <tableColumn id="3" xr3:uid="{23531DF7-05BF-054A-95D8-5F9F58ADAE6B}" name="Percent of revenue" dataDxfId="0"/>
    <tableColumn id="4" xr3:uid="{E307852C-8CD7-5F46-8E75-B8CF43314618}" name="Peri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2A11-FA42-6F48-A7E0-BE4EFF669CB4}">
  <dimension ref="B4:M11"/>
  <sheetViews>
    <sheetView workbookViewId="0">
      <selection activeCell="K12" sqref="K12"/>
    </sheetView>
  </sheetViews>
  <sheetFormatPr baseColWidth="10" defaultRowHeight="16" x14ac:dyDescent="0.2"/>
  <cols>
    <col min="3" max="3" width="30.5" customWidth="1"/>
    <col min="4" max="4" width="18.83203125" customWidth="1"/>
    <col min="5" max="5" width="11" customWidth="1"/>
  </cols>
  <sheetData>
    <row r="4" spans="2:13" x14ac:dyDescent="0.2">
      <c r="B4" t="s">
        <v>25</v>
      </c>
      <c r="C4" t="s">
        <v>32</v>
      </c>
      <c r="D4" t="s">
        <v>33</v>
      </c>
      <c r="E4" t="s">
        <v>34</v>
      </c>
      <c r="K4" t="s">
        <v>0</v>
      </c>
      <c r="L4">
        <v>460.16</v>
      </c>
    </row>
    <row r="5" spans="2:13" x14ac:dyDescent="0.2">
      <c r="B5" t="s">
        <v>26</v>
      </c>
      <c r="C5" t="s">
        <v>31</v>
      </c>
      <c r="D5" s="3">
        <v>0.95</v>
      </c>
      <c r="E5" t="s">
        <v>6</v>
      </c>
      <c r="K5" t="s">
        <v>1</v>
      </c>
      <c r="L5" s="1">
        <v>435.3</v>
      </c>
      <c r="M5" t="s">
        <v>6</v>
      </c>
    </row>
    <row r="6" spans="2:13" x14ac:dyDescent="0.2">
      <c r="B6" t="s">
        <v>27</v>
      </c>
      <c r="C6" t="s">
        <v>29</v>
      </c>
      <c r="D6" s="3">
        <v>0.02</v>
      </c>
      <c r="E6" t="s">
        <v>6</v>
      </c>
      <c r="K6" t="s">
        <v>2</v>
      </c>
      <c r="L6" s="1">
        <f>L4*L5</f>
        <v>200307.64800000002</v>
      </c>
    </row>
    <row r="7" spans="2:13" x14ac:dyDescent="0.2">
      <c r="B7" t="s">
        <v>28</v>
      </c>
      <c r="C7" t="s">
        <v>30</v>
      </c>
      <c r="D7" s="3">
        <v>0.03</v>
      </c>
      <c r="E7" t="s">
        <v>6</v>
      </c>
      <c r="K7" t="s">
        <v>3</v>
      </c>
      <c r="L7" s="1">
        <f>7613+273</f>
        <v>7886</v>
      </c>
      <c r="M7" t="s">
        <v>6</v>
      </c>
    </row>
    <row r="8" spans="2:13" x14ac:dyDescent="0.2">
      <c r="K8" t="s">
        <v>4</v>
      </c>
      <c r="L8" s="1">
        <f>1499+4129</f>
        <v>5628</v>
      </c>
      <c r="M8" t="s">
        <v>6</v>
      </c>
    </row>
    <row r="9" spans="2:13" x14ac:dyDescent="0.2">
      <c r="K9" t="s">
        <v>5</v>
      </c>
      <c r="L9" s="1">
        <f>L6-L7+L8</f>
        <v>198049.64800000002</v>
      </c>
    </row>
    <row r="11" spans="2:13" x14ac:dyDescent="0.2">
      <c r="K11" t="s">
        <v>77</v>
      </c>
      <c r="L11" s="1">
        <f>L7-L8</f>
        <v>2258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44A5-7D0D-8D44-9725-01C5CFCCFF63}">
  <dimension ref="B2:DV60"/>
  <sheetViews>
    <sheetView tabSelected="1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AM61" sqref="AM61"/>
    </sheetView>
  </sheetViews>
  <sheetFormatPr baseColWidth="10" defaultRowHeight="16" x14ac:dyDescent="0.2"/>
  <cols>
    <col min="2" max="2" width="17.1640625" bestFit="1" customWidth="1"/>
    <col min="3" max="41" width="10.83203125" style="2"/>
    <col min="44" max="44" width="11.83203125" bestFit="1" customWidth="1"/>
  </cols>
  <sheetData>
    <row r="2" spans="2:41" s="4" customFormat="1" x14ac:dyDescent="0.2"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6</v>
      </c>
      <c r="O2" s="5" t="s">
        <v>19</v>
      </c>
      <c r="P2" s="5" t="s">
        <v>20</v>
      </c>
      <c r="Q2" s="5" t="s">
        <v>21</v>
      </c>
      <c r="R2" s="5" t="s">
        <v>22</v>
      </c>
      <c r="S2" s="5"/>
      <c r="T2" s="5"/>
      <c r="U2" s="5"/>
      <c r="V2" s="5"/>
      <c r="W2" s="5">
        <v>2022</v>
      </c>
      <c r="X2" s="5">
        <f>+W2+1</f>
        <v>2023</v>
      </c>
      <c r="Y2" s="5">
        <f t="shared" ref="Y2:AO2" si="0">+X2+1</f>
        <v>2024</v>
      </c>
      <c r="Z2" s="5">
        <f t="shared" si="0"/>
        <v>2025</v>
      </c>
      <c r="AA2" s="5">
        <f t="shared" si="0"/>
        <v>2026</v>
      </c>
      <c r="AB2" s="5">
        <f t="shared" si="0"/>
        <v>2027</v>
      </c>
      <c r="AC2" s="5">
        <f t="shared" si="0"/>
        <v>2028</v>
      </c>
      <c r="AD2" s="5">
        <f t="shared" si="0"/>
        <v>2029</v>
      </c>
      <c r="AE2" s="5">
        <f t="shared" si="0"/>
        <v>2030</v>
      </c>
      <c r="AF2" s="5">
        <f t="shared" si="0"/>
        <v>2031</v>
      </c>
      <c r="AG2" s="5">
        <f t="shared" si="0"/>
        <v>2032</v>
      </c>
      <c r="AH2" s="5">
        <f t="shared" si="0"/>
        <v>2033</v>
      </c>
      <c r="AI2" s="5">
        <f t="shared" si="0"/>
        <v>2034</v>
      </c>
      <c r="AJ2" s="5">
        <f t="shared" si="0"/>
        <v>2035</v>
      </c>
      <c r="AK2" s="5">
        <f t="shared" si="0"/>
        <v>2036</v>
      </c>
      <c r="AL2" s="5">
        <f t="shared" si="0"/>
        <v>2037</v>
      </c>
      <c r="AM2" s="5">
        <f t="shared" si="0"/>
        <v>2038</v>
      </c>
      <c r="AN2" s="5">
        <f t="shared" si="0"/>
        <v>2039</v>
      </c>
      <c r="AO2" s="5">
        <f t="shared" si="0"/>
        <v>2040</v>
      </c>
    </row>
    <row r="3" spans="2:41" x14ac:dyDescent="0.2">
      <c r="B3" t="s">
        <v>78</v>
      </c>
      <c r="Y3" s="2">
        <v>179000</v>
      </c>
      <c r="AB3" s="2">
        <v>293000</v>
      </c>
    </row>
    <row r="4" spans="2:41" s="3" customFormat="1" x14ac:dyDescent="0.2">
      <c r="B4" s="3" t="s">
        <v>79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>
        <f>Y11/Y3</f>
        <v>0.12013966480446928</v>
      </c>
      <c r="Z4" s="10"/>
      <c r="AA4" s="10"/>
      <c r="AB4" s="10">
        <f>AB11/AB3</f>
        <v>9.663481228668945E-2</v>
      </c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</row>
    <row r="5" spans="2:41" x14ac:dyDescent="0.2">
      <c r="B5" t="s">
        <v>23</v>
      </c>
      <c r="W5" s="2">
        <v>10459</v>
      </c>
      <c r="X5" s="2">
        <v>11517</v>
      </c>
      <c r="Y5" s="2">
        <v>12682</v>
      </c>
    </row>
    <row r="6" spans="2:41" x14ac:dyDescent="0.2">
      <c r="B6" t="s">
        <v>24</v>
      </c>
      <c r="W6" s="2">
        <v>2383</v>
      </c>
      <c r="X6" s="2">
        <v>2699</v>
      </c>
      <c r="Y6" s="2">
        <v>3182</v>
      </c>
    </row>
    <row r="8" spans="2:41" x14ac:dyDescent="0.2">
      <c r="B8" t="s">
        <v>26</v>
      </c>
      <c r="C8" s="2">
        <v>3958</v>
      </c>
      <c r="D8" s="2">
        <v>4070</v>
      </c>
      <c r="E8" s="2">
        <v>4128</v>
      </c>
      <c r="F8" s="2">
        <v>4232</v>
      </c>
      <c r="G8" s="2">
        <v>4373</v>
      </c>
      <c r="H8" s="2">
        <v>4517</v>
      </c>
      <c r="I8" s="2">
        <v>4631</v>
      </c>
      <c r="J8" s="2">
        <v>4763</v>
      </c>
      <c r="K8" s="2">
        <v>4916</v>
      </c>
      <c r="L8" s="2">
        <v>5060</v>
      </c>
      <c r="M8" s="2">
        <v>5180</v>
      </c>
      <c r="N8" s="2">
        <v>5365</v>
      </c>
      <c r="W8" s="13">
        <f>SUM(C8:F8)</f>
        <v>16388</v>
      </c>
      <c r="X8" s="13">
        <f>SUM(G8:J8)</f>
        <v>18284</v>
      </c>
      <c r="Y8" s="13">
        <f>SUM(K8:N8)</f>
        <v>20521</v>
      </c>
    </row>
    <row r="9" spans="2:41" x14ac:dyDescent="0.2">
      <c r="B9" t="s">
        <v>27</v>
      </c>
      <c r="C9" s="2">
        <v>145</v>
      </c>
      <c r="D9" s="2">
        <v>146</v>
      </c>
      <c r="E9" s="2">
        <v>126</v>
      </c>
      <c r="F9" s="2">
        <v>115</v>
      </c>
      <c r="G9" s="2">
        <v>120</v>
      </c>
      <c r="H9" s="2">
        <v>130</v>
      </c>
      <c r="I9" s="2">
        <v>96</v>
      </c>
      <c r="J9" s="2">
        <v>114</v>
      </c>
      <c r="K9" s="2">
        <v>119</v>
      </c>
      <c r="L9" s="2">
        <v>104</v>
      </c>
      <c r="M9" s="2">
        <v>82</v>
      </c>
      <c r="N9" s="2">
        <v>81</v>
      </c>
      <c r="W9" s="13">
        <f t="shared" ref="W9:W10" si="1">SUM(C9:F9)</f>
        <v>532</v>
      </c>
      <c r="X9" s="13">
        <f t="shared" ref="X9:X10" si="2">SUM(G9:J9)</f>
        <v>460</v>
      </c>
      <c r="Y9" s="13">
        <f>SUM(K9:N9)</f>
        <v>386</v>
      </c>
    </row>
    <row r="10" spans="2:41" x14ac:dyDescent="0.2">
      <c r="B10" t="s">
        <v>28</v>
      </c>
      <c r="C10" s="2">
        <v>159</v>
      </c>
      <c r="D10" s="2">
        <v>170</v>
      </c>
      <c r="E10" s="2">
        <v>179</v>
      </c>
      <c r="F10" s="2">
        <v>178</v>
      </c>
      <c r="G10" s="2">
        <v>162</v>
      </c>
      <c r="H10" s="2">
        <v>169</v>
      </c>
      <c r="I10" s="2">
        <v>163</v>
      </c>
      <c r="J10" s="2">
        <v>71</v>
      </c>
      <c r="K10" s="2">
        <v>147</v>
      </c>
      <c r="L10" s="2">
        <v>145</v>
      </c>
      <c r="M10" s="2">
        <v>146</v>
      </c>
      <c r="N10" s="2">
        <v>160</v>
      </c>
      <c r="W10" s="13">
        <f t="shared" si="1"/>
        <v>686</v>
      </c>
      <c r="X10" s="13">
        <f t="shared" si="2"/>
        <v>565</v>
      </c>
      <c r="Y10" s="13">
        <f>SUM(K10:N10)</f>
        <v>598</v>
      </c>
    </row>
    <row r="11" spans="2:41" s="6" customFormat="1" x14ac:dyDescent="0.2">
      <c r="B11" s="6" t="s">
        <v>7</v>
      </c>
      <c r="C11" s="7">
        <f t="shared" ref="C11:N11" si="3">SUM(C8:C10)</f>
        <v>4262</v>
      </c>
      <c r="D11" s="7">
        <f t="shared" si="3"/>
        <v>4386</v>
      </c>
      <c r="E11" s="7">
        <f t="shared" si="3"/>
        <v>4433</v>
      </c>
      <c r="F11" s="7">
        <f t="shared" si="3"/>
        <v>4525</v>
      </c>
      <c r="G11" s="7">
        <f t="shared" si="3"/>
        <v>4655</v>
      </c>
      <c r="H11" s="7">
        <f t="shared" si="3"/>
        <v>4816</v>
      </c>
      <c r="I11" s="7">
        <f t="shared" si="3"/>
        <v>4890</v>
      </c>
      <c r="J11" s="7">
        <f t="shared" si="3"/>
        <v>4948</v>
      </c>
      <c r="K11" s="7">
        <f t="shared" si="3"/>
        <v>5182</v>
      </c>
      <c r="L11" s="7">
        <f t="shared" si="3"/>
        <v>5309</v>
      </c>
      <c r="M11" s="7">
        <f t="shared" si="3"/>
        <v>5408</v>
      </c>
      <c r="N11" s="7">
        <f t="shared" si="3"/>
        <v>5606</v>
      </c>
      <c r="O11" s="7"/>
      <c r="P11" s="7"/>
      <c r="Q11" s="7"/>
      <c r="R11" s="7"/>
      <c r="S11" s="7"/>
      <c r="T11" s="7"/>
      <c r="U11" s="7"/>
      <c r="V11" s="7"/>
      <c r="W11" s="7">
        <f t="shared" ref="W11:Y11" si="4">SUM(W8:W10)</f>
        <v>17606</v>
      </c>
      <c r="X11" s="7">
        <f t="shared" si="4"/>
        <v>19309</v>
      </c>
      <c r="Y11" s="7">
        <f t="shared" si="4"/>
        <v>21505</v>
      </c>
      <c r="Z11" s="7">
        <v>23400</v>
      </c>
      <c r="AA11" s="7">
        <f>Z11*1.1</f>
        <v>25740.000000000004</v>
      </c>
      <c r="AB11" s="7">
        <f t="shared" ref="AB11:AE11" si="5">AA11*1.1</f>
        <v>28314.000000000007</v>
      </c>
      <c r="AC11" s="7">
        <f t="shared" si="5"/>
        <v>31145.400000000009</v>
      </c>
      <c r="AD11" s="7">
        <f t="shared" si="5"/>
        <v>34259.94000000001</v>
      </c>
      <c r="AE11" s="7">
        <f t="shared" si="5"/>
        <v>37685.934000000016</v>
      </c>
      <c r="AF11" s="7">
        <f>AE11*1.05</f>
        <v>39570.230700000015</v>
      </c>
      <c r="AG11" s="7">
        <f t="shared" ref="AG11:AJ11" si="6">AF11*1.05</f>
        <v>41548.74223500002</v>
      </c>
      <c r="AH11" s="7">
        <f t="shared" si="6"/>
        <v>43626.179346750025</v>
      </c>
      <c r="AI11" s="7">
        <f t="shared" si="6"/>
        <v>45807.488314087524</v>
      </c>
      <c r="AJ11" s="7">
        <f t="shared" si="6"/>
        <v>48097.862729791901</v>
      </c>
      <c r="AK11" s="7">
        <f>AJ11*1.03</f>
        <v>49540.798611685663</v>
      </c>
      <c r="AL11" s="7">
        <f t="shared" ref="AL11:AO11" si="7">AK11*1.03</f>
        <v>51027.022570036235</v>
      </c>
      <c r="AM11" s="7">
        <f t="shared" si="7"/>
        <v>52557.833247137321</v>
      </c>
      <c r="AN11" s="7">
        <f t="shared" si="7"/>
        <v>54134.568244551439</v>
      </c>
      <c r="AO11" s="7">
        <f t="shared" si="7"/>
        <v>55758.605291887987</v>
      </c>
    </row>
    <row r="12" spans="2:41" x14ac:dyDescent="0.2">
      <c r="B12" t="s">
        <v>35</v>
      </c>
      <c r="C12" s="2">
        <v>393</v>
      </c>
      <c r="D12" s="2">
        <v>410</v>
      </c>
      <c r="E12" s="2">
        <v>413</v>
      </c>
      <c r="F12" s="2">
        <v>430</v>
      </c>
      <c r="G12" s="2">
        <v>434</v>
      </c>
      <c r="H12" s="2">
        <v>436</v>
      </c>
      <c r="I12" s="2">
        <v>447</v>
      </c>
      <c r="J12" s="2">
        <v>505</v>
      </c>
      <c r="K12" s="2">
        <v>455</v>
      </c>
      <c r="L12" s="2">
        <v>456</v>
      </c>
      <c r="M12" s="2">
        <v>413</v>
      </c>
      <c r="N12" s="2">
        <v>475</v>
      </c>
      <c r="W12" s="13">
        <f t="shared" ref="W12:W14" si="8">SUM(C12:F12)</f>
        <v>1646</v>
      </c>
      <c r="X12" s="13">
        <f>SUM(G12:J12)</f>
        <v>1822</v>
      </c>
      <c r="Y12" s="13">
        <f>SUM(K12:N12)</f>
        <v>1799</v>
      </c>
    </row>
    <row r="13" spans="2:41" x14ac:dyDescent="0.2">
      <c r="B13" t="s">
        <v>36</v>
      </c>
      <c r="C13" s="2">
        <v>10</v>
      </c>
      <c r="D13" s="2">
        <v>9</v>
      </c>
      <c r="E13" s="2">
        <v>8</v>
      </c>
      <c r="F13" s="2">
        <v>8</v>
      </c>
      <c r="G13" s="2">
        <v>8</v>
      </c>
      <c r="H13" s="2">
        <v>8</v>
      </c>
      <c r="I13" s="2">
        <v>7</v>
      </c>
      <c r="J13" s="2">
        <v>6</v>
      </c>
      <c r="K13" s="2">
        <v>5</v>
      </c>
      <c r="L13" s="2">
        <v>8</v>
      </c>
      <c r="M13" s="2">
        <v>6</v>
      </c>
      <c r="N13" s="2">
        <v>6</v>
      </c>
      <c r="W13" s="13">
        <f t="shared" si="8"/>
        <v>35</v>
      </c>
      <c r="X13" s="13">
        <f>SUM(G13:J13)</f>
        <v>29</v>
      </c>
      <c r="Y13" s="13">
        <f>SUM(K13:N13)</f>
        <v>25</v>
      </c>
    </row>
    <row r="14" spans="2:41" x14ac:dyDescent="0.2">
      <c r="B14" t="s">
        <v>37</v>
      </c>
      <c r="C14" s="2">
        <v>109</v>
      </c>
      <c r="D14" s="2">
        <v>120</v>
      </c>
      <c r="E14" s="2">
        <v>125</v>
      </c>
      <c r="F14" s="2">
        <v>130</v>
      </c>
      <c r="G14" s="2">
        <v>126</v>
      </c>
      <c r="H14" s="2">
        <v>128</v>
      </c>
      <c r="I14" s="2">
        <v>126</v>
      </c>
      <c r="J14" s="2">
        <v>123</v>
      </c>
      <c r="K14" s="2">
        <v>130</v>
      </c>
      <c r="L14" s="2">
        <v>134</v>
      </c>
      <c r="M14" s="2">
        <v>135</v>
      </c>
      <c r="N14" s="2">
        <v>135</v>
      </c>
      <c r="W14" s="13">
        <f t="shared" si="8"/>
        <v>484</v>
      </c>
      <c r="X14" s="13">
        <f>SUM(G14:J14)</f>
        <v>503</v>
      </c>
      <c r="Y14" s="13">
        <f>SUM(K14:N14)</f>
        <v>534</v>
      </c>
    </row>
    <row r="15" spans="2:41" x14ac:dyDescent="0.2">
      <c r="B15" t="s">
        <v>38</v>
      </c>
      <c r="C15" s="2">
        <f t="shared" ref="C15:N15" si="9">SUM(C12:C14)</f>
        <v>512</v>
      </c>
      <c r="D15" s="2">
        <f t="shared" si="9"/>
        <v>539</v>
      </c>
      <c r="E15" s="2">
        <f t="shared" si="9"/>
        <v>546</v>
      </c>
      <c r="F15" s="2">
        <f t="shared" si="9"/>
        <v>568</v>
      </c>
      <c r="G15" s="2">
        <f t="shared" si="9"/>
        <v>568</v>
      </c>
      <c r="H15" s="2">
        <f t="shared" si="9"/>
        <v>572</v>
      </c>
      <c r="I15" s="2">
        <f t="shared" si="9"/>
        <v>580</v>
      </c>
      <c r="J15" s="2">
        <f t="shared" si="9"/>
        <v>634</v>
      </c>
      <c r="K15" s="2">
        <f t="shared" si="9"/>
        <v>590</v>
      </c>
      <c r="L15" s="2">
        <f t="shared" si="9"/>
        <v>598</v>
      </c>
      <c r="M15" s="2">
        <f t="shared" si="9"/>
        <v>554</v>
      </c>
      <c r="N15" s="2">
        <f t="shared" si="9"/>
        <v>616</v>
      </c>
      <c r="W15" s="2">
        <f t="shared" ref="W15:Y15" si="10">SUM(W12:W14)</f>
        <v>2165</v>
      </c>
      <c r="X15" s="2">
        <f t="shared" si="10"/>
        <v>2354</v>
      </c>
      <c r="Y15" s="2">
        <f t="shared" si="10"/>
        <v>2358</v>
      </c>
    </row>
    <row r="16" spans="2:41" x14ac:dyDescent="0.2">
      <c r="B16" t="s">
        <v>39</v>
      </c>
      <c r="C16" s="2">
        <f t="shared" ref="C16:N16" si="11">C11-C15</f>
        <v>3750</v>
      </c>
      <c r="D16" s="2">
        <f t="shared" si="11"/>
        <v>3847</v>
      </c>
      <c r="E16" s="2">
        <f t="shared" si="11"/>
        <v>3887</v>
      </c>
      <c r="F16" s="2">
        <f t="shared" si="11"/>
        <v>3957</v>
      </c>
      <c r="G16" s="2">
        <f t="shared" si="11"/>
        <v>4087</v>
      </c>
      <c r="H16" s="2">
        <f t="shared" si="11"/>
        <v>4244</v>
      </c>
      <c r="I16" s="2">
        <f t="shared" si="11"/>
        <v>4310</v>
      </c>
      <c r="J16" s="2">
        <f t="shared" si="11"/>
        <v>4314</v>
      </c>
      <c r="K16" s="2">
        <f t="shared" si="11"/>
        <v>4592</v>
      </c>
      <c r="L16" s="2">
        <f t="shared" si="11"/>
        <v>4711</v>
      </c>
      <c r="M16" s="2">
        <f t="shared" si="11"/>
        <v>4854</v>
      </c>
      <c r="N16" s="2">
        <f t="shared" si="11"/>
        <v>4990</v>
      </c>
      <c r="W16" s="2">
        <f t="shared" ref="W16:Y16" si="12">W11-W15</f>
        <v>15441</v>
      </c>
      <c r="X16" s="2">
        <f t="shared" si="12"/>
        <v>16955</v>
      </c>
      <c r="Y16" s="2">
        <f t="shared" si="12"/>
        <v>19147</v>
      </c>
      <c r="Z16" s="2">
        <f>0.89*Z11</f>
        <v>20826</v>
      </c>
      <c r="AA16" s="2">
        <f t="shared" ref="AA16:AO16" si="13">0.89*AA11</f>
        <v>22908.600000000002</v>
      </c>
      <c r="AB16" s="2">
        <f t="shared" si="13"/>
        <v>25199.460000000006</v>
      </c>
      <c r="AC16" s="2">
        <f t="shared" si="13"/>
        <v>27719.40600000001</v>
      </c>
      <c r="AD16" s="2">
        <f t="shared" si="13"/>
        <v>30491.346600000008</v>
      </c>
      <c r="AE16" s="2">
        <f t="shared" si="13"/>
        <v>33540.481260000015</v>
      </c>
      <c r="AF16" s="2">
        <f t="shared" si="13"/>
        <v>35217.505323000012</v>
      </c>
      <c r="AG16" s="2">
        <f t="shared" si="13"/>
        <v>36978.380589150016</v>
      </c>
      <c r="AH16" s="2">
        <f t="shared" si="13"/>
        <v>38827.299618607525</v>
      </c>
      <c r="AI16" s="2">
        <f t="shared" si="13"/>
        <v>40768.6645995379</v>
      </c>
      <c r="AJ16" s="2">
        <f t="shared" si="13"/>
        <v>42807.097829514794</v>
      </c>
      <c r="AK16" s="2">
        <f t="shared" si="13"/>
        <v>44091.310764400238</v>
      </c>
      <c r="AL16" s="2">
        <f t="shared" si="13"/>
        <v>45414.050087332253</v>
      </c>
      <c r="AM16" s="2">
        <f t="shared" si="13"/>
        <v>46776.47158995222</v>
      </c>
      <c r="AN16" s="2">
        <f t="shared" si="13"/>
        <v>48179.765737650785</v>
      </c>
      <c r="AO16" s="2">
        <f t="shared" si="13"/>
        <v>49625.158709780306</v>
      </c>
    </row>
    <row r="17" spans="2:126" x14ac:dyDescent="0.2">
      <c r="B17" t="s">
        <v>40</v>
      </c>
      <c r="C17" s="2">
        <v>701</v>
      </c>
      <c r="D17" s="2">
        <v>738</v>
      </c>
      <c r="E17" s="2">
        <v>775</v>
      </c>
      <c r="F17" s="2">
        <v>773</v>
      </c>
      <c r="G17" s="2">
        <v>827</v>
      </c>
      <c r="H17" s="2">
        <v>876</v>
      </c>
      <c r="I17" s="2">
        <v>881</v>
      </c>
      <c r="J17" s="2">
        <v>889</v>
      </c>
      <c r="K17" s="2">
        <v>939</v>
      </c>
      <c r="L17" s="2">
        <v>984</v>
      </c>
      <c r="M17" s="2">
        <v>1022</v>
      </c>
      <c r="N17" s="2">
        <v>999</v>
      </c>
      <c r="W17" s="13">
        <f t="shared" ref="W17:W20" si="14">SUM(C17:F17)</f>
        <v>2987</v>
      </c>
      <c r="X17" s="13">
        <f>SUM(G17:J17)</f>
        <v>3473</v>
      </c>
      <c r="Y17" s="13">
        <f t="shared" ref="Y17:Y20" si="15">SUM(K17:N17)</f>
        <v>3944</v>
      </c>
      <c r="Z17" s="2">
        <f>Y17*1.15</f>
        <v>4535.5999999999995</v>
      </c>
      <c r="AA17" s="2">
        <f t="shared" ref="AA17:AD17" si="16">Z17*1.15</f>
        <v>5215.9399999999987</v>
      </c>
      <c r="AB17" s="2">
        <f t="shared" si="16"/>
        <v>5998.3309999999983</v>
      </c>
      <c r="AC17" s="2">
        <f t="shared" si="16"/>
        <v>6898.0806499999971</v>
      </c>
      <c r="AD17" s="2">
        <f t="shared" si="16"/>
        <v>7932.792747499996</v>
      </c>
      <c r="AE17" s="2">
        <f>AD17*1.05</f>
        <v>8329.4323848749955</v>
      </c>
      <c r="AF17" s="2">
        <f t="shared" ref="AF17:AH17" si="17">AE17*1.05</f>
        <v>8745.9040041187454</v>
      </c>
      <c r="AG17" s="2">
        <f t="shared" si="17"/>
        <v>9183.1992043246828</v>
      </c>
      <c r="AH17" s="2">
        <f t="shared" si="17"/>
        <v>9642.3591645409178</v>
      </c>
      <c r="AI17" s="2">
        <f>AH17*1.02</f>
        <v>9835.2063478317359</v>
      </c>
      <c r="AJ17" s="2">
        <f t="shared" ref="AJ17:AO17" si="18">AI17*1.02</f>
        <v>10031.91047478837</v>
      </c>
      <c r="AK17" s="2">
        <f t="shared" si="18"/>
        <v>10232.548684284138</v>
      </c>
      <c r="AL17" s="2">
        <f t="shared" si="18"/>
        <v>10437.199657969821</v>
      </c>
      <c r="AM17" s="2">
        <f t="shared" si="18"/>
        <v>10645.943651129217</v>
      </c>
      <c r="AN17" s="2">
        <f t="shared" si="18"/>
        <v>10858.862524151802</v>
      </c>
      <c r="AO17" s="2">
        <f t="shared" si="18"/>
        <v>11076.039774634839</v>
      </c>
    </row>
    <row r="18" spans="2:126" x14ac:dyDescent="0.2">
      <c r="B18" t="s">
        <v>41</v>
      </c>
      <c r="C18" s="2">
        <v>1158</v>
      </c>
      <c r="D18" s="2">
        <v>1247</v>
      </c>
      <c r="E18" s="2">
        <v>1266</v>
      </c>
      <c r="F18" s="2">
        <v>1297</v>
      </c>
      <c r="G18" s="2">
        <v>1301</v>
      </c>
      <c r="H18" s="2">
        <v>1345</v>
      </c>
      <c r="I18" s="2">
        <v>1337</v>
      </c>
      <c r="J18" s="2">
        <v>1368</v>
      </c>
      <c r="K18" s="2">
        <v>1352</v>
      </c>
      <c r="L18" s="2">
        <v>1445</v>
      </c>
      <c r="M18" s="2">
        <v>1431</v>
      </c>
      <c r="N18" s="2">
        <v>1536</v>
      </c>
      <c r="W18" s="13">
        <f t="shared" si="14"/>
        <v>4968</v>
      </c>
      <c r="X18" s="13">
        <f>SUM(G18:J18)</f>
        <v>5351</v>
      </c>
      <c r="Y18" s="13">
        <f t="shared" si="15"/>
        <v>5764</v>
      </c>
      <c r="Z18" s="2">
        <f>Y18*1.08</f>
        <v>6225.1200000000008</v>
      </c>
      <c r="AA18" s="2">
        <f t="shared" ref="AA18:AO18" si="19">Z18*1.08</f>
        <v>6723.1296000000011</v>
      </c>
      <c r="AB18" s="2">
        <f t="shared" si="19"/>
        <v>7260.9799680000015</v>
      </c>
      <c r="AC18" s="2">
        <f t="shared" si="19"/>
        <v>7841.8583654400018</v>
      </c>
      <c r="AD18" s="2">
        <f t="shared" si="19"/>
        <v>8469.2070346752025</v>
      </c>
      <c r="AE18" s="2">
        <f t="shared" si="19"/>
        <v>9146.74359744922</v>
      </c>
      <c r="AF18" s="2">
        <f t="shared" si="19"/>
        <v>9878.4830852451578</v>
      </c>
      <c r="AG18" s="2">
        <f t="shared" si="19"/>
        <v>10668.761732064771</v>
      </c>
      <c r="AH18" s="2">
        <f t="shared" si="19"/>
        <v>11522.262670629954</v>
      </c>
      <c r="AI18" s="2">
        <f t="shared" si="19"/>
        <v>12444.043684280352</v>
      </c>
      <c r="AJ18" s="2">
        <f t="shared" si="19"/>
        <v>13439.567179022781</v>
      </c>
      <c r="AK18" s="2">
        <f>AJ18*1.05</f>
        <v>14111.54553797392</v>
      </c>
      <c r="AL18" s="2">
        <f t="shared" ref="AL18:AO18" si="20">AK18*1.05</f>
        <v>14817.122814872617</v>
      </c>
      <c r="AM18" s="2">
        <f t="shared" si="20"/>
        <v>15557.978955616249</v>
      </c>
      <c r="AN18" s="2">
        <f t="shared" si="20"/>
        <v>16335.877903397062</v>
      </c>
      <c r="AO18" s="2">
        <f t="shared" si="20"/>
        <v>17152.671798566917</v>
      </c>
    </row>
    <row r="19" spans="2:126" x14ac:dyDescent="0.2">
      <c r="B19" t="s">
        <v>50</v>
      </c>
      <c r="C19" s="2">
        <v>269</v>
      </c>
      <c r="D19" s="2">
        <v>291</v>
      </c>
      <c r="E19" s="2">
        <v>319</v>
      </c>
      <c r="F19" s="2">
        <v>340</v>
      </c>
      <c r="G19" s="2">
        <v>331</v>
      </c>
      <c r="H19" s="2">
        <v>357</v>
      </c>
      <c r="I19" s="2">
        <v>353</v>
      </c>
      <c r="J19" s="2">
        <v>372</v>
      </c>
      <c r="K19" s="2">
        <v>352</v>
      </c>
      <c r="L19" s="2">
        <v>355</v>
      </c>
      <c r="M19" s="2">
        <v>366</v>
      </c>
      <c r="N19" s="2">
        <v>456</v>
      </c>
      <c r="W19" s="13">
        <f t="shared" si="14"/>
        <v>1219</v>
      </c>
      <c r="X19" s="13">
        <f>SUM(G19:J19)</f>
        <v>1413</v>
      </c>
      <c r="Y19" s="13">
        <f t="shared" si="15"/>
        <v>1529</v>
      </c>
      <c r="Z19" s="2">
        <f>Y19*1.08</f>
        <v>1651.3200000000002</v>
      </c>
      <c r="AA19" s="2">
        <f t="shared" ref="AA19:AD19" si="21">Z19*1.08</f>
        <v>1783.4256000000003</v>
      </c>
      <c r="AB19" s="2">
        <f t="shared" si="21"/>
        <v>1926.0996480000003</v>
      </c>
      <c r="AC19" s="2">
        <f t="shared" si="21"/>
        <v>2080.1876198400005</v>
      </c>
      <c r="AD19" s="2">
        <f t="shared" si="21"/>
        <v>2246.6026294272006</v>
      </c>
      <c r="AE19" s="2">
        <f>AD19*1.03</f>
        <v>2314.0007083100168</v>
      </c>
      <c r="AF19" s="2">
        <f t="shared" ref="AF19:AO19" si="22">AE19*1.03</f>
        <v>2383.4207295593174</v>
      </c>
      <c r="AG19" s="2">
        <f t="shared" si="22"/>
        <v>2454.9233514460971</v>
      </c>
      <c r="AH19" s="2">
        <f t="shared" si="22"/>
        <v>2528.5710519894801</v>
      </c>
      <c r="AI19" s="2">
        <f t="shared" si="22"/>
        <v>2604.4281835491647</v>
      </c>
      <c r="AJ19" s="2">
        <f t="shared" si="22"/>
        <v>2682.5610290556397</v>
      </c>
      <c r="AK19" s="2">
        <f t="shared" si="22"/>
        <v>2763.037859927309</v>
      </c>
      <c r="AL19" s="2">
        <f t="shared" si="22"/>
        <v>2845.9289957251285</v>
      </c>
      <c r="AM19" s="2">
        <f t="shared" si="22"/>
        <v>2931.3068655968823</v>
      </c>
      <c r="AN19" s="2">
        <f t="shared" si="22"/>
        <v>3019.246071564789</v>
      </c>
      <c r="AO19" s="2">
        <f t="shared" si="22"/>
        <v>3109.8234537117328</v>
      </c>
    </row>
    <row r="20" spans="2:126" x14ac:dyDescent="0.2">
      <c r="B20" t="s">
        <v>42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1000</v>
      </c>
      <c r="L20" s="2">
        <v>0</v>
      </c>
      <c r="M20" s="2">
        <v>0</v>
      </c>
      <c r="N20" s="2">
        <v>0</v>
      </c>
      <c r="W20" s="13">
        <f t="shared" si="14"/>
        <v>0</v>
      </c>
      <c r="X20" s="13">
        <f>SUM(G20:J20)</f>
        <v>0</v>
      </c>
      <c r="Y20" s="13">
        <f t="shared" si="15"/>
        <v>1000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2:126" x14ac:dyDescent="0.2">
      <c r="B21" t="s">
        <v>43</v>
      </c>
      <c r="C21" s="2">
        <f t="shared" ref="C21:N21" si="23">SUM(C17:C20)</f>
        <v>2128</v>
      </c>
      <c r="D21" s="2">
        <f t="shared" si="23"/>
        <v>2276</v>
      </c>
      <c r="E21" s="2">
        <f t="shared" si="23"/>
        <v>2360</v>
      </c>
      <c r="F21" s="2">
        <f t="shared" si="23"/>
        <v>2410</v>
      </c>
      <c r="G21" s="2">
        <f t="shared" si="23"/>
        <v>2459</v>
      </c>
      <c r="H21" s="2">
        <f t="shared" si="23"/>
        <v>2578</v>
      </c>
      <c r="I21" s="2">
        <f t="shared" si="23"/>
        <v>2571</v>
      </c>
      <c r="J21" s="2">
        <f t="shared" si="23"/>
        <v>2629</v>
      </c>
      <c r="K21" s="2">
        <f t="shared" si="23"/>
        <v>3643</v>
      </c>
      <c r="L21" s="2">
        <f t="shared" si="23"/>
        <v>2784</v>
      </c>
      <c r="M21" s="2">
        <f t="shared" si="23"/>
        <v>2819</v>
      </c>
      <c r="N21" s="2">
        <f t="shared" si="23"/>
        <v>2991</v>
      </c>
      <c r="W21" s="2">
        <f t="shared" ref="W21:Y21" si="24">SUM(W17:W20)</f>
        <v>9174</v>
      </c>
      <c r="X21" s="2">
        <f t="shared" si="24"/>
        <v>10237</v>
      </c>
      <c r="Y21" s="2">
        <f t="shared" si="24"/>
        <v>12237</v>
      </c>
      <c r="Z21" s="2">
        <f t="shared" ref="Z21" si="25">SUM(Z17:Z20)</f>
        <v>12412.04</v>
      </c>
      <c r="AA21" s="2">
        <f t="shared" ref="AA21" si="26">SUM(AA17:AA20)</f>
        <v>13722.495199999999</v>
      </c>
      <c r="AB21" s="2">
        <f t="shared" ref="AB21" si="27">SUM(AB17:AB20)</f>
        <v>15185.410616000001</v>
      </c>
      <c r="AC21" s="2">
        <f t="shared" ref="AC21" si="28">SUM(AC17:AC20)</f>
        <v>16820.126635280001</v>
      </c>
      <c r="AD21" s="2">
        <f t="shared" ref="AD21" si="29">SUM(AD17:AD20)</f>
        <v>18648.602411602398</v>
      </c>
      <c r="AE21" s="2">
        <f t="shared" ref="AE21" si="30">SUM(AE17:AE20)</f>
        <v>19790.176690634235</v>
      </c>
      <c r="AF21" s="2">
        <f t="shared" ref="AF21" si="31">SUM(AF17:AF20)</f>
        <v>21007.807818923222</v>
      </c>
      <c r="AG21" s="2">
        <f t="shared" ref="AG21" si="32">SUM(AG17:AG20)</f>
        <v>22306.884287835554</v>
      </c>
      <c r="AH21" s="2">
        <f t="shared" ref="AH21" si="33">SUM(AH17:AH20)</f>
        <v>23693.192887160352</v>
      </c>
      <c r="AI21" s="2">
        <f t="shared" ref="AI21" si="34">SUM(AI17:AI20)</f>
        <v>24883.678215661253</v>
      </c>
      <c r="AJ21" s="2">
        <f t="shared" ref="AJ21" si="35">SUM(AJ17:AJ20)</f>
        <v>26154.038682866791</v>
      </c>
      <c r="AK21" s="2">
        <f t="shared" ref="AK21" si="36">SUM(AK17:AK20)</f>
        <v>27107.132082185366</v>
      </c>
      <c r="AL21" s="2">
        <f t="shared" ref="AL21" si="37">SUM(AL17:AL20)</f>
        <v>28100.251468567567</v>
      </c>
      <c r="AM21" s="2">
        <f t="shared" ref="AM21" si="38">SUM(AM17:AM20)</f>
        <v>29135.229472342347</v>
      </c>
      <c r="AN21" s="2">
        <f t="shared" ref="AN21" si="39">SUM(AN17:AN20)</f>
        <v>30213.986499113656</v>
      </c>
      <c r="AO21" s="2">
        <f t="shared" ref="AO21" si="40">SUM(AO17:AO20)</f>
        <v>31338.535026913487</v>
      </c>
    </row>
    <row r="22" spans="2:126" x14ac:dyDescent="0.2">
      <c r="B22" t="s">
        <v>44</v>
      </c>
      <c r="C22" s="2">
        <f t="shared" ref="C22:N22" si="41">C16-C21</f>
        <v>1622</v>
      </c>
      <c r="D22" s="2">
        <f t="shared" si="41"/>
        <v>1571</v>
      </c>
      <c r="E22" s="2">
        <f t="shared" si="41"/>
        <v>1527</v>
      </c>
      <c r="F22" s="2">
        <f t="shared" si="41"/>
        <v>1547</v>
      </c>
      <c r="G22" s="2">
        <f t="shared" si="41"/>
        <v>1628</v>
      </c>
      <c r="H22" s="2">
        <f t="shared" si="41"/>
        <v>1666</v>
      </c>
      <c r="I22" s="2">
        <f t="shared" si="41"/>
        <v>1739</v>
      </c>
      <c r="J22" s="2">
        <f t="shared" si="41"/>
        <v>1685</v>
      </c>
      <c r="K22" s="2">
        <f t="shared" si="41"/>
        <v>949</v>
      </c>
      <c r="L22" s="2">
        <f t="shared" si="41"/>
        <v>1927</v>
      </c>
      <c r="M22" s="2">
        <f t="shared" si="41"/>
        <v>2035</v>
      </c>
      <c r="N22" s="2">
        <f t="shared" si="41"/>
        <v>1999</v>
      </c>
      <c r="W22" s="2">
        <f t="shared" ref="W22:Y22" si="42">W16-W21</f>
        <v>6267</v>
      </c>
      <c r="X22" s="2">
        <f t="shared" si="42"/>
        <v>6718</v>
      </c>
      <c r="Y22" s="2">
        <f t="shared" si="42"/>
        <v>6910</v>
      </c>
      <c r="Z22" s="2">
        <f t="shared" ref="Z22" si="43">Z16-Z21</f>
        <v>8413.9599999999991</v>
      </c>
      <c r="AA22" s="2">
        <f t="shared" ref="AA22" si="44">AA16-AA21</f>
        <v>9186.1048000000028</v>
      </c>
      <c r="AB22" s="2">
        <f t="shared" ref="AB22" si="45">AB16-AB21</f>
        <v>10014.049384000005</v>
      </c>
      <c r="AC22" s="2">
        <f t="shared" ref="AC22" si="46">AC16-AC21</f>
        <v>10899.279364720009</v>
      </c>
      <c r="AD22" s="2">
        <f t="shared" ref="AD22" si="47">AD16-AD21</f>
        <v>11842.74418839761</v>
      </c>
      <c r="AE22" s="2">
        <f t="shared" ref="AE22" si="48">AE16-AE21</f>
        <v>13750.30456936578</v>
      </c>
      <c r="AF22" s="2">
        <f t="shared" ref="AF22" si="49">AF16-AF21</f>
        <v>14209.69750407679</v>
      </c>
      <c r="AG22" s="2">
        <f t="shared" ref="AG22" si="50">AG16-AG21</f>
        <v>14671.496301314462</v>
      </c>
      <c r="AH22" s="2">
        <f t="shared" ref="AH22" si="51">AH16-AH21</f>
        <v>15134.106731447173</v>
      </c>
      <c r="AI22" s="2">
        <f t="shared" ref="AI22" si="52">AI16-AI21</f>
        <v>15884.986383876647</v>
      </c>
      <c r="AJ22" s="2">
        <f t="shared" ref="AJ22" si="53">AJ16-AJ21</f>
        <v>16653.059146648004</v>
      </c>
      <c r="AK22" s="2">
        <f t="shared" ref="AK22" si="54">AK16-AK21</f>
        <v>16984.178682214872</v>
      </c>
      <c r="AL22" s="2">
        <f t="shared" ref="AL22" si="55">AL16-AL21</f>
        <v>17313.798618764686</v>
      </c>
      <c r="AM22" s="2">
        <f t="shared" ref="AM22" si="56">AM16-AM21</f>
        <v>17641.242117609872</v>
      </c>
      <c r="AN22" s="2">
        <f t="shared" ref="AN22" si="57">AN16-AN21</f>
        <v>17965.779238537129</v>
      </c>
      <c r="AO22" s="2">
        <f t="shared" ref="AO22" si="58">AO16-AO21</f>
        <v>18286.623682866819</v>
      </c>
    </row>
    <row r="23" spans="2:126" x14ac:dyDescent="0.2">
      <c r="B23" t="s">
        <v>45</v>
      </c>
      <c r="C23" s="2">
        <f>-28-9</f>
        <v>-37</v>
      </c>
      <c r="D23" s="2">
        <f>-28-9</f>
        <v>-37</v>
      </c>
      <c r="E23" s="2">
        <f>-28-6+6</f>
        <v>-28</v>
      </c>
      <c r="F23" s="2">
        <f>-28+4+36</f>
        <v>12</v>
      </c>
      <c r="G23" s="2">
        <f>-31+43</f>
        <v>12</v>
      </c>
      <c r="H23" s="2">
        <f>-26+5+47</f>
        <v>26</v>
      </c>
      <c r="I23" s="2">
        <f>-27+6+67</f>
        <v>46</v>
      </c>
      <c r="J23" s="2">
        <f>-28+89+4</f>
        <v>65</v>
      </c>
      <c r="K23" s="2">
        <f>-27+18+70</f>
        <v>61</v>
      </c>
      <c r="L23" s="2">
        <f>-41+4+82</f>
        <v>45</v>
      </c>
      <c r="M23" s="2">
        <f>-51+12+89</f>
        <v>50</v>
      </c>
      <c r="N23" s="2">
        <f>-50+84</f>
        <v>34</v>
      </c>
      <c r="W23" s="13">
        <f>SUM(C23:F23)</f>
        <v>-90</v>
      </c>
      <c r="X23" s="13">
        <f>SUM(G23:J23)</f>
        <v>149</v>
      </c>
      <c r="Y23" s="13">
        <f t="shared" ref="Y23" si="59">SUM(K23:N23)</f>
        <v>190</v>
      </c>
      <c r="Z23" s="2">
        <f>Y39*$AR$40</f>
        <v>78.86</v>
      </c>
      <c r="AA23" s="2">
        <f t="shared" ref="AA23:AO23" si="60">Z39*$AR$40</f>
        <v>146.80256</v>
      </c>
      <c r="AB23" s="2">
        <f t="shared" si="60"/>
        <v>221.46581888</v>
      </c>
      <c r="AC23" s="2">
        <f t="shared" si="60"/>
        <v>303.34994050304005</v>
      </c>
      <c r="AD23" s="2">
        <f t="shared" si="60"/>
        <v>392.97097494482443</v>
      </c>
      <c r="AE23" s="2">
        <f t="shared" si="60"/>
        <v>490.85669625156385</v>
      </c>
      <c r="AF23" s="2">
        <f t="shared" si="60"/>
        <v>604.78598637650259</v>
      </c>
      <c r="AG23" s="2">
        <f t="shared" si="60"/>
        <v>723.30185430012887</v>
      </c>
      <c r="AH23" s="2">
        <f t="shared" si="60"/>
        <v>846.46023954504562</v>
      </c>
      <c r="AI23" s="2">
        <f t="shared" si="60"/>
        <v>974.30477531298345</v>
      </c>
      <c r="AJ23" s="2">
        <f t="shared" si="60"/>
        <v>1109.1791045865004</v>
      </c>
      <c r="AK23" s="2">
        <f t="shared" si="60"/>
        <v>1251.2770105963766</v>
      </c>
      <c r="AL23" s="2">
        <f t="shared" si="60"/>
        <v>1397.1606561388664</v>
      </c>
      <c r="AM23" s="2">
        <f t="shared" si="60"/>
        <v>1546.8483303380947</v>
      </c>
      <c r="AN23" s="2">
        <f t="shared" si="60"/>
        <v>1700.3530539216786</v>
      </c>
      <c r="AO23" s="2">
        <f t="shared" si="60"/>
        <v>1857.6821122613492</v>
      </c>
    </row>
    <row r="24" spans="2:126" x14ac:dyDescent="0.2">
      <c r="B24" t="s">
        <v>46</v>
      </c>
      <c r="C24" s="2">
        <f t="shared" ref="C24:N24" si="61">C23+C22</f>
        <v>1585</v>
      </c>
      <c r="D24" s="2">
        <f t="shared" si="61"/>
        <v>1534</v>
      </c>
      <c r="E24" s="2">
        <f t="shared" si="61"/>
        <v>1499</v>
      </c>
      <c r="F24" s="2">
        <f t="shared" si="61"/>
        <v>1559</v>
      </c>
      <c r="G24" s="2">
        <f t="shared" si="61"/>
        <v>1640</v>
      </c>
      <c r="H24" s="2">
        <f t="shared" si="61"/>
        <v>1692</v>
      </c>
      <c r="I24" s="2">
        <f t="shared" si="61"/>
        <v>1785</v>
      </c>
      <c r="J24" s="2">
        <f t="shared" si="61"/>
        <v>1750</v>
      </c>
      <c r="K24" s="2">
        <f t="shared" si="61"/>
        <v>1010</v>
      </c>
      <c r="L24" s="2">
        <f t="shared" si="61"/>
        <v>1972</v>
      </c>
      <c r="M24" s="2">
        <f t="shared" si="61"/>
        <v>2085</v>
      </c>
      <c r="N24" s="2">
        <f t="shared" si="61"/>
        <v>2033</v>
      </c>
      <c r="W24" s="2">
        <f t="shared" ref="W24:Y24" si="62">W23+W22</f>
        <v>6177</v>
      </c>
      <c r="X24" s="2">
        <f t="shared" si="62"/>
        <v>6867</v>
      </c>
      <c r="Y24" s="2">
        <f t="shared" si="62"/>
        <v>7100</v>
      </c>
      <c r="Z24" s="2">
        <f t="shared" ref="Z24" si="63">Z23+Z22</f>
        <v>8492.82</v>
      </c>
      <c r="AA24" s="2">
        <f t="shared" ref="AA24" si="64">AA23+AA22</f>
        <v>9332.9073600000029</v>
      </c>
      <c r="AB24" s="2">
        <f t="shared" ref="AB24" si="65">AB23+AB22</f>
        <v>10235.515202880006</v>
      </c>
      <c r="AC24" s="2">
        <f t="shared" ref="AC24" si="66">AC23+AC22</f>
        <v>11202.629305223049</v>
      </c>
      <c r="AD24" s="2">
        <f t="shared" ref="AD24" si="67">AD23+AD22</f>
        <v>12235.715163342435</v>
      </c>
      <c r="AE24" s="2">
        <f t="shared" ref="AE24" si="68">AE23+AE22</f>
        <v>14241.161265617344</v>
      </c>
      <c r="AF24" s="2">
        <f t="shared" ref="AF24" si="69">AF23+AF22</f>
        <v>14814.483490453293</v>
      </c>
      <c r="AG24" s="2">
        <f t="shared" ref="AG24" si="70">AG23+AG22</f>
        <v>15394.798155614591</v>
      </c>
      <c r="AH24" s="2">
        <f t="shared" ref="AH24" si="71">AH23+AH22</f>
        <v>15980.566970992219</v>
      </c>
      <c r="AI24" s="2">
        <f t="shared" ref="AI24" si="72">AI23+AI22</f>
        <v>16859.29115918963</v>
      </c>
      <c r="AJ24" s="2">
        <f t="shared" ref="AJ24" si="73">AJ23+AJ22</f>
        <v>17762.238251234503</v>
      </c>
      <c r="AK24" s="2">
        <f t="shared" ref="AK24" si="74">AK23+AK22</f>
        <v>18235.455692811247</v>
      </c>
      <c r="AL24" s="2">
        <f t="shared" ref="AL24" si="75">AL23+AL22</f>
        <v>18710.959274903551</v>
      </c>
      <c r="AM24" s="2">
        <f t="shared" ref="AM24" si="76">AM23+AM22</f>
        <v>19188.090447947969</v>
      </c>
      <c r="AN24" s="2">
        <f t="shared" ref="AN24" si="77">AN23+AN22</f>
        <v>19666.132292458806</v>
      </c>
      <c r="AO24" s="2">
        <f t="shared" ref="AO24" si="78">AO23+AO22</f>
        <v>20144.305795128166</v>
      </c>
    </row>
    <row r="25" spans="2:126" x14ac:dyDescent="0.2">
      <c r="B25" t="s">
        <v>47</v>
      </c>
      <c r="C25" s="2">
        <v>277</v>
      </c>
      <c r="D25" s="2">
        <v>314</v>
      </c>
      <c r="E25" s="2">
        <v>320</v>
      </c>
      <c r="F25" s="2">
        <v>341</v>
      </c>
      <c r="G25" s="2">
        <v>351</v>
      </c>
      <c r="H25" s="2">
        <v>355</v>
      </c>
      <c r="I25" s="2">
        <v>340</v>
      </c>
      <c r="J25" s="2">
        <v>325</v>
      </c>
      <c r="K25" s="2">
        <v>348</v>
      </c>
      <c r="L25" s="2">
        <v>357</v>
      </c>
      <c r="M25" s="2">
        <v>358</v>
      </c>
      <c r="N25" s="2">
        <v>308</v>
      </c>
      <c r="W25" s="13">
        <f>SUM(C25:F25)</f>
        <v>1252</v>
      </c>
      <c r="X25" s="13">
        <f>SUM(G25:J25)</f>
        <v>1371</v>
      </c>
      <c r="Y25" s="13">
        <f t="shared" ref="Y25" si="79">SUM(K25:N25)</f>
        <v>1371</v>
      </c>
      <c r="Z25" s="2">
        <f>Z24*0.2</f>
        <v>1698.5640000000001</v>
      </c>
      <c r="AA25" s="2">
        <f t="shared" ref="AA25:AO25" si="80">AA24*0.2</f>
        <v>1866.5814720000008</v>
      </c>
      <c r="AB25" s="2">
        <f t="shared" si="80"/>
        <v>2047.1030405760011</v>
      </c>
      <c r="AC25" s="2">
        <f t="shared" si="80"/>
        <v>2240.5258610446099</v>
      </c>
      <c r="AD25" s="2">
        <f t="shared" si="80"/>
        <v>2447.1430326684872</v>
      </c>
      <c r="AE25" s="2">
        <f t="shared" si="80"/>
        <v>2848.232253123469</v>
      </c>
      <c r="AF25" s="2">
        <f t="shared" si="80"/>
        <v>2962.8966980906589</v>
      </c>
      <c r="AG25" s="2">
        <f t="shared" si="80"/>
        <v>3078.9596311229184</v>
      </c>
      <c r="AH25" s="2">
        <f t="shared" si="80"/>
        <v>3196.113394198444</v>
      </c>
      <c r="AI25" s="2">
        <f t="shared" si="80"/>
        <v>3371.8582318379263</v>
      </c>
      <c r="AJ25" s="2">
        <f t="shared" si="80"/>
        <v>3552.4476502469006</v>
      </c>
      <c r="AK25" s="2">
        <f t="shared" si="80"/>
        <v>3647.0911385622494</v>
      </c>
      <c r="AL25" s="2">
        <f t="shared" si="80"/>
        <v>3742.1918549807106</v>
      </c>
      <c r="AM25" s="2">
        <f t="shared" si="80"/>
        <v>3837.6180895895941</v>
      </c>
      <c r="AN25" s="2">
        <f t="shared" si="80"/>
        <v>3933.2264584917612</v>
      </c>
      <c r="AO25" s="2">
        <f t="shared" si="80"/>
        <v>4028.8611590256332</v>
      </c>
    </row>
    <row r="26" spans="2:126" x14ac:dyDescent="0.2">
      <c r="B26" t="s">
        <v>48</v>
      </c>
      <c r="C26" s="2">
        <f t="shared" ref="C26:N26" si="81">C24-C25</f>
        <v>1308</v>
      </c>
      <c r="D26" s="2">
        <f t="shared" si="81"/>
        <v>1220</v>
      </c>
      <c r="E26" s="2">
        <f t="shared" si="81"/>
        <v>1179</v>
      </c>
      <c r="F26" s="2">
        <f t="shared" si="81"/>
        <v>1218</v>
      </c>
      <c r="G26" s="2">
        <f t="shared" si="81"/>
        <v>1289</v>
      </c>
      <c r="H26" s="2">
        <f t="shared" si="81"/>
        <v>1337</v>
      </c>
      <c r="I26" s="2">
        <f t="shared" si="81"/>
        <v>1445</v>
      </c>
      <c r="J26" s="2">
        <f t="shared" si="81"/>
        <v>1425</v>
      </c>
      <c r="K26" s="2">
        <f t="shared" si="81"/>
        <v>662</v>
      </c>
      <c r="L26" s="2">
        <f t="shared" si="81"/>
        <v>1615</v>
      </c>
      <c r="M26" s="2">
        <f t="shared" si="81"/>
        <v>1727</v>
      </c>
      <c r="N26" s="2">
        <f t="shared" si="81"/>
        <v>1725</v>
      </c>
      <c r="W26" s="2">
        <f t="shared" ref="W26:Y26" si="82">W24-W25</f>
        <v>4925</v>
      </c>
      <c r="X26" s="2">
        <f t="shared" si="82"/>
        <v>5496</v>
      </c>
      <c r="Y26" s="2">
        <f t="shared" si="82"/>
        <v>5729</v>
      </c>
      <c r="Z26" s="2">
        <f t="shared" ref="Z26" si="83">Z24-Z25</f>
        <v>6794.2559999999994</v>
      </c>
      <c r="AA26" s="2">
        <f t="shared" ref="AA26" si="84">AA24-AA25</f>
        <v>7466.3258880000021</v>
      </c>
      <c r="AB26" s="2">
        <f t="shared" ref="AB26" si="85">AB24-AB25</f>
        <v>8188.4121623040046</v>
      </c>
      <c r="AC26" s="2">
        <f t="shared" ref="AC26" si="86">AC24-AC25</f>
        <v>8962.1034441784395</v>
      </c>
      <c r="AD26" s="2">
        <f t="shared" ref="AD26" si="87">AD24-AD25</f>
        <v>9788.572130673947</v>
      </c>
      <c r="AE26" s="2">
        <f t="shared" ref="AE26" si="88">AE24-AE25</f>
        <v>11392.929012493874</v>
      </c>
      <c r="AF26" s="2">
        <f t="shared" ref="AF26" si="89">AF24-AF25</f>
        <v>11851.586792362634</v>
      </c>
      <c r="AG26" s="2">
        <f t="shared" ref="AG26" si="90">AG24-AG25</f>
        <v>12315.838524491674</v>
      </c>
      <c r="AH26" s="2">
        <f t="shared" ref="AH26" si="91">AH24-AH25</f>
        <v>12784.453576793774</v>
      </c>
      <c r="AI26" s="2">
        <f t="shared" ref="AI26" si="92">AI24-AI25</f>
        <v>13487.432927351703</v>
      </c>
      <c r="AJ26" s="2">
        <f t="shared" ref="AJ26" si="93">AJ24-AJ25</f>
        <v>14209.790600987602</v>
      </c>
      <c r="AK26" s="2">
        <f t="shared" ref="AK26" si="94">AK24-AK25</f>
        <v>14588.364554248998</v>
      </c>
      <c r="AL26" s="2">
        <f t="shared" ref="AL26" si="95">AL24-AL25</f>
        <v>14968.76741992284</v>
      </c>
      <c r="AM26" s="2">
        <f t="shared" ref="AM26" si="96">AM24-AM25</f>
        <v>15350.472358358375</v>
      </c>
      <c r="AN26" s="2">
        <f t="shared" ref="AN26" si="97">AN24-AN25</f>
        <v>15732.905833967045</v>
      </c>
      <c r="AO26" s="2">
        <f t="shared" ref="AO26" si="98">AO24-AO25</f>
        <v>16115.444636102533</v>
      </c>
      <c r="AP26" s="2">
        <f>AO26*(1+$AR$41)</f>
        <v>15793.135743380482</v>
      </c>
      <c r="AQ26" s="2">
        <f t="shared" ref="AQ26:DB26" si="99">AP26*(1+$AR$41)</f>
        <v>15477.273028512873</v>
      </c>
      <c r="AR26" s="2">
        <f t="shared" si="99"/>
        <v>15167.727567942615</v>
      </c>
      <c r="AS26" s="2">
        <f t="shared" si="99"/>
        <v>14864.373016583762</v>
      </c>
      <c r="AT26" s="2">
        <f t="shared" si="99"/>
        <v>14567.085556252086</v>
      </c>
      <c r="AU26" s="2">
        <f t="shared" si="99"/>
        <v>14275.743845127045</v>
      </c>
      <c r="AV26" s="2">
        <f t="shared" si="99"/>
        <v>13990.228968224503</v>
      </c>
      <c r="AW26" s="2">
        <f t="shared" si="99"/>
        <v>13710.424388860012</v>
      </c>
      <c r="AX26" s="2">
        <f t="shared" si="99"/>
        <v>13436.215901082811</v>
      </c>
      <c r="AY26" s="2">
        <f t="shared" si="99"/>
        <v>13167.491583061155</v>
      </c>
      <c r="AZ26" s="2">
        <f t="shared" si="99"/>
        <v>12904.141751399931</v>
      </c>
      <c r="BA26" s="2">
        <f t="shared" si="99"/>
        <v>12646.058916371932</v>
      </c>
      <c r="BB26" s="2">
        <f t="shared" si="99"/>
        <v>12393.137738044494</v>
      </c>
      <c r="BC26" s="2">
        <f t="shared" si="99"/>
        <v>12145.274983283603</v>
      </c>
      <c r="BD26" s="2">
        <f t="shared" si="99"/>
        <v>11902.369483617931</v>
      </c>
      <c r="BE26" s="2">
        <f t="shared" si="99"/>
        <v>11664.322093945571</v>
      </c>
      <c r="BF26" s="2">
        <f t="shared" si="99"/>
        <v>11431.035652066659</v>
      </c>
      <c r="BG26" s="2">
        <f t="shared" si="99"/>
        <v>11202.414939025326</v>
      </c>
      <c r="BH26" s="2">
        <f t="shared" si="99"/>
        <v>10978.36664024482</v>
      </c>
      <c r="BI26" s="2">
        <f t="shared" si="99"/>
        <v>10758.799307439924</v>
      </c>
      <c r="BJ26" s="2">
        <f t="shared" si="99"/>
        <v>10543.623321291125</v>
      </c>
      <c r="BK26" s="2">
        <f t="shared" si="99"/>
        <v>10332.750854865302</v>
      </c>
      <c r="BL26" s="2">
        <f t="shared" si="99"/>
        <v>10126.095837767996</v>
      </c>
      <c r="BM26" s="2">
        <f t="shared" si="99"/>
        <v>9923.5739210126358</v>
      </c>
      <c r="BN26" s="2">
        <f t="shared" si="99"/>
        <v>9725.1024425923824</v>
      </c>
      <c r="BO26" s="2">
        <f t="shared" si="99"/>
        <v>9530.6003937405349</v>
      </c>
      <c r="BP26" s="2">
        <f t="shared" si="99"/>
        <v>9339.9883858657231</v>
      </c>
      <c r="BQ26" s="2">
        <f t="shared" si="99"/>
        <v>9153.1886181484078</v>
      </c>
      <c r="BR26" s="2">
        <f t="shared" si="99"/>
        <v>8970.1248457854399</v>
      </c>
      <c r="BS26" s="2">
        <f t="shared" si="99"/>
        <v>8790.7223488697309</v>
      </c>
      <c r="BT26" s="2">
        <f t="shared" si="99"/>
        <v>8614.9079018923367</v>
      </c>
      <c r="BU26" s="2">
        <f t="shared" si="99"/>
        <v>8442.6097438544894</v>
      </c>
      <c r="BV26" s="2">
        <f t="shared" si="99"/>
        <v>8273.757548977399</v>
      </c>
      <c r="BW26" s="2">
        <f t="shared" si="99"/>
        <v>8108.2823979978511</v>
      </c>
      <c r="BX26" s="2">
        <f t="shared" si="99"/>
        <v>7946.1167500378942</v>
      </c>
      <c r="BY26" s="2">
        <f t="shared" si="99"/>
        <v>7787.1944150371364</v>
      </c>
      <c r="BZ26" s="2">
        <f t="shared" si="99"/>
        <v>7631.4505267363938</v>
      </c>
      <c r="CA26" s="2">
        <f t="shared" si="99"/>
        <v>7478.8215162016659</v>
      </c>
      <c r="CB26" s="2">
        <f t="shared" si="99"/>
        <v>7329.2450858776328</v>
      </c>
      <c r="CC26" s="2">
        <f t="shared" si="99"/>
        <v>7182.6601841600805</v>
      </c>
      <c r="CD26" s="2">
        <f t="shared" si="99"/>
        <v>7039.0069804768791</v>
      </c>
      <c r="CE26" s="2">
        <f t="shared" si="99"/>
        <v>6898.2268408673417</v>
      </c>
      <c r="CF26" s="2">
        <f t="shared" si="99"/>
        <v>6760.2623040499948</v>
      </c>
      <c r="CG26" s="2">
        <f t="shared" si="99"/>
        <v>6625.0570579689947</v>
      </c>
      <c r="CH26" s="2">
        <f t="shared" si="99"/>
        <v>6492.5559168096152</v>
      </c>
      <c r="CI26" s="2">
        <f t="shared" si="99"/>
        <v>6362.7047984734227</v>
      </c>
      <c r="CJ26" s="2">
        <f t="shared" si="99"/>
        <v>6235.4507025039538</v>
      </c>
      <c r="CK26" s="2">
        <f t="shared" si="99"/>
        <v>6110.7416884538743</v>
      </c>
      <c r="CL26" s="2">
        <f t="shared" si="99"/>
        <v>5988.5268546847965</v>
      </c>
      <c r="CM26" s="2">
        <f t="shared" si="99"/>
        <v>5868.7563175911</v>
      </c>
      <c r="CN26" s="2">
        <f t="shared" si="99"/>
        <v>5751.3811912392775</v>
      </c>
      <c r="CO26" s="2">
        <f t="shared" si="99"/>
        <v>5636.3535674144923</v>
      </c>
      <c r="CP26" s="2">
        <f t="shared" si="99"/>
        <v>5523.626496066202</v>
      </c>
      <c r="CQ26" s="2">
        <f t="shared" si="99"/>
        <v>5413.1539661448778</v>
      </c>
      <c r="CR26" s="2">
        <f t="shared" si="99"/>
        <v>5304.8908868219805</v>
      </c>
      <c r="CS26" s="2">
        <f t="shared" si="99"/>
        <v>5198.793069085541</v>
      </c>
      <c r="CT26" s="2">
        <f t="shared" si="99"/>
        <v>5094.8172077038298</v>
      </c>
      <c r="CU26" s="2">
        <f t="shared" si="99"/>
        <v>4992.9208635497534</v>
      </c>
      <c r="CV26" s="2">
        <f t="shared" si="99"/>
        <v>4893.0624462787582</v>
      </c>
      <c r="CW26" s="2">
        <f t="shared" si="99"/>
        <v>4795.2011973531826</v>
      </c>
      <c r="CX26" s="2">
        <f t="shared" si="99"/>
        <v>4699.2971734061184</v>
      </c>
      <c r="CY26" s="2">
        <f t="shared" si="99"/>
        <v>4605.3112299379964</v>
      </c>
      <c r="CZ26" s="2">
        <f t="shared" si="99"/>
        <v>4513.2050053392368</v>
      </c>
      <c r="DA26" s="2">
        <f t="shared" si="99"/>
        <v>4422.9409052324518</v>
      </c>
      <c r="DB26" s="2">
        <f t="shared" si="99"/>
        <v>4334.4820871278025</v>
      </c>
      <c r="DC26" s="2">
        <f t="shared" ref="DC26:DV26" si="100">DB26*(1+$AR$41)</f>
        <v>4247.7924453852465</v>
      </c>
      <c r="DD26" s="2">
        <f t="shared" si="100"/>
        <v>4162.8365964775412</v>
      </c>
      <c r="DE26" s="2">
        <f t="shared" si="100"/>
        <v>4079.5798645479904</v>
      </c>
      <c r="DF26" s="2">
        <f t="shared" si="100"/>
        <v>3997.9882672570307</v>
      </c>
      <c r="DG26" s="2">
        <f t="shared" si="100"/>
        <v>3918.0285019118901</v>
      </c>
      <c r="DH26" s="2">
        <f t="shared" si="100"/>
        <v>3839.6679318736524</v>
      </c>
      <c r="DI26" s="2">
        <f t="shared" si="100"/>
        <v>3762.8745732361795</v>
      </c>
      <c r="DJ26" s="2">
        <f t="shared" si="100"/>
        <v>3687.617081771456</v>
      </c>
      <c r="DK26" s="2">
        <f t="shared" si="100"/>
        <v>3613.8647401360267</v>
      </c>
      <c r="DL26" s="2">
        <f t="shared" si="100"/>
        <v>3541.5874453333063</v>
      </c>
      <c r="DM26" s="2">
        <f t="shared" si="100"/>
        <v>3470.75569642664</v>
      </c>
      <c r="DN26" s="2">
        <f t="shared" si="100"/>
        <v>3401.3405824981073</v>
      </c>
      <c r="DO26" s="2">
        <f t="shared" si="100"/>
        <v>3333.3137708481449</v>
      </c>
      <c r="DP26" s="2">
        <f t="shared" si="100"/>
        <v>3266.6474954311821</v>
      </c>
      <c r="DQ26" s="2">
        <f t="shared" si="100"/>
        <v>3201.3145455225585</v>
      </c>
      <c r="DR26" s="2">
        <f t="shared" si="100"/>
        <v>3137.2882546121073</v>
      </c>
      <c r="DS26" s="2">
        <f t="shared" si="100"/>
        <v>3074.5424895198653</v>
      </c>
      <c r="DT26" s="2">
        <f t="shared" si="100"/>
        <v>3013.0516397294678</v>
      </c>
      <c r="DU26" s="2">
        <f t="shared" si="100"/>
        <v>2952.7906069348783</v>
      </c>
      <c r="DV26" s="2">
        <f t="shared" si="100"/>
        <v>2893.7347947961807</v>
      </c>
    </row>
    <row r="27" spans="2:126" x14ac:dyDescent="0.2">
      <c r="B27" t="s">
        <v>1</v>
      </c>
      <c r="C27" s="2">
        <v>475</v>
      </c>
      <c r="D27" s="2">
        <v>472</v>
      </c>
      <c r="E27" s="2">
        <v>469</v>
      </c>
      <c r="F27" s="2">
        <v>466</v>
      </c>
      <c r="G27" s="2">
        <v>460</v>
      </c>
      <c r="H27" s="2">
        <v>458</v>
      </c>
      <c r="I27" s="2">
        <v>459</v>
      </c>
      <c r="J27" s="2">
        <v>459</v>
      </c>
      <c r="K27" s="2">
        <v>453</v>
      </c>
      <c r="L27" s="2">
        <v>451</v>
      </c>
      <c r="M27" s="2">
        <v>448</v>
      </c>
      <c r="N27" s="2">
        <v>443</v>
      </c>
      <c r="W27" s="2">
        <f>AVERAGE(C27:F27)</f>
        <v>470.5</v>
      </c>
      <c r="X27" s="2">
        <f>AVERAGE(G27:J27)</f>
        <v>459</v>
      </c>
      <c r="Y27" s="2">
        <f>AVERAGE(K27:N27)</f>
        <v>448.75</v>
      </c>
    </row>
    <row r="28" spans="2:126" s="8" customFormat="1" x14ac:dyDescent="0.2">
      <c r="B28" s="8" t="s">
        <v>49</v>
      </c>
      <c r="C28" s="9">
        <f t="shared" ref="C28:N28" si="101">C26/C27</f>
        <v>2.7536842105263157</v>
      </c>
      <c r="D28" s="9">
        <f t="shared" si="101"/>
        <v>2.5847457627118646</v>
      </c>
      <c r="E28" s="9">
        <f t="shared" si="101"/>
        <v>2.5138592750533051</v>
      </c>
      <c r="F28" s="9">
        <f t="shared" si="101"/>
        <v>2.6137339055793993</v>
      </c>
      <c r="G28" s="9">
        <f t="shared" si="101"/>
        <v>2.8021739130434784</v>
      </c>
      <c r="H28" s="9">
        <f t="shared" si="101"/>
        <v>2.9192139737991267</v>
      </c>
      <c r="I28" s="9">
        <f t="shared" si="101"/>
        <v>3.1481481481481484</v>
      </c>
      <c r="J28" s="9">
        <f t="shared" si="101"/>
        <v>3.1045751633986929</v>
      </c>
      <c r="K28" s="9">
        <f t="shared" si="101"/>
        <v>1.4613686534216335</v>
      </c>
      <c r="L28" s="9">
        <f t="shared" si="101"/>
        <v>3.5809312638580932</v>
      </c>
      <c r="M28" s="9">
        <f t="shared" si="101"/>
        <v>3.8549107142857144</v>
      </c>
      <c r="N28" s="9">
        <f t="shared" si="101"/>
        <v>3.8939051918735892</v>
      </c>
      <c r="O28" s="9"/>
      <c r="P28" s="9"/>
      <c r="Q28" s="9"/>
      <c r="R28" s="9"/>
      <c r="S28" s="9"/>
      <c r="T28" s="9"/>
      <c r="U28" s="9"/>
      <c r="V28" s="9"/>
      <c r="W28" s="9">
        <f t="shared" ref="W28:Y28" si="102">W26/W27</f>
        <v>10.467587672688628</v>
      </c>
      <c r="X28" s="9">
        <f t="shared" si="102"/>
        <v>11.973856209150327</v>
      </c>
      <c r="Y28" s="9">
        <f t="shared" si="102"/>
        <v>12.766573816155988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30" spans="2:126" s="3" customFormat="1" x14ac:dyDescent="0.2">
      <c r="B30" s="3" t="s">
        <v>53</v>
      </c>
      <c r="C30" s="10"/>
      <c r="D30" s="10"/>
      <c r="E30" s="10"/>
      <c r="F30" s="10"/>
      <c r="G30" s="10">
        <f t="shared" ref="G30:L30" si="103">G11/C11-1</f>
        <v>9.2210229938995747E-2</v>
      </c>
      <c r="H30" s="10">
        <f t="shared" si="103"/>
        <v>9.8039215686274606E-2</v>
      </c>
      <c r="I30" s="10">
        <f t="shared" si="103"/>
        <v>0.1030904579291676</v>
      </c>
      <c r="J30" s="10">
        <f>N11/J11-1</f>
        <v>0.13298302344381563</v>
      </c>
      <c r="K30" s="10">
        <f t="shared" si="103"/>
        <v>0.11321160042964551</v>
      </c>
      <c r="L30" s="10">
        <f t="shared" si="103"/>
        <v>0.10236710963455153</v>
      </c>
      <c r="M30" s="10">
        <f>M11/I11-1</f>
        <v>0.10593047034764824</v>
      </c>
      <c r="N30" s="10">
        <f>N11/J11-1</f>
        <v>0.13298302344381563</v>
      </c>
      <c r="O30" s="10"/>
      <c r="P30" s="10"/>
      <c r="Q30" s="10"/>
      <c r="R30" s="10"/>
      <c r="S30" s="10"/>
      <c r="T30" s="10"/>
      <c r="U30" s="10"/>
      <c r="V30" s="10"/>
      <c r="W30" s="10"/>
      <c r="X30" s="10">
        <f t="shared" ref="X30:Z30" si="104">X11/W11-1</f>
        <v>9.6728388049528657E-2</v>
      </c>
      <c r="Y30" s="10">
        <f t="shared" si="104"/>
        <v>0.1137293490082345</v>
      </c>
      <c r="Z30" s="10">
        <f>Z11/Y11-1</f>
        <v>8.811904208323651E-2</v>
      </c>
      <c r="AA30" s="10">
        <f t="shared" ref="AA30:AO30" si="105">AA11/Z11-1</f>
        <v>0.10000000000000009</v>
      </c>
      <c r="AB30" s="10">
        <f t="shared" si="105"/>
        <v>0.10000000000000009</v>
      </c>
      <c r="AC30" s="10">
        <f t="shared" si="105"/>
        <v>0.10000000000000009</v>
      </c>
      <c r="AD30" s="10">
        <f t="shared" si="105"/>
        <v>0.10000000000000009</v>
      </c>
      <c r="AE30" s="10">
        <f t="shared" si="105"/>
        <v>0.10000000000000009</v>
      </c>
      <c r="AF30" s="10">
        <f t="shared" si="105"/>
        <v>5.0000000000000044E-2</v>
      </c>
      <c r="AG30" s="10">
        <f t="shared" si="105"/>
        <v>5.0000000000000044E-2</v>
      </c>
      <c r="AH30" s="10">
        <f t="shared" si="105"/>
        <v>5.0000000000000044E-2</v>
      </c>
      <c r="AI30" s="10">
        <f t="shared" si="105"/>
        <v>5.0000000000000044E-2</v>
      </c>
      <c r="AJ30" s="10">
        <f t="shared" si="105"/>
        <v>5.0000000000000044E-2</v>
      </c>
      <c r="AK30" s="10">
        <f t="shared" si="105"/>
        <v>3.0000000000000027E-2</v>
      </c>
      <c r="AL30" s="10">
        <f t="shared" si="105"/>
        <v>3.0000000000000027E-2</v>
      </c>
      <c r="AM30" s="10">
        <f t="shared" si="105"/>
        <v>3.0000000000000027E-2</v>
      </c>
      <c r="AN30" s="10">
        <f t="shared" si="105"/>
        <v>3.0000000000000027E-2</v>
      </c>
      <c r="AO30" s="10">
        <f t="shared" si="105"/>
        <v>3.0000000000000027E-2</v>
      </c>
    </row>
    <row r="31" spans="2:126" s="3" customFormat="1" x14ac:dyDescent="0.2">
      <c r="B31" s="3" t="s">
        <v>57</v>
      </c>
      <c r="C31" s="10"/>
      <c r="D31" s="10"/>
      <c r="E31" s="10"/>
      <c r="F31" s="10"/>
      <c r="G31" s="10">
        <f t="shared" ref="G31:L31" si="106">G17/C17-1</f>
        <v>0.17974322396576325</v>
      </c>
      <c r="H31" s="10">
        <f t="shared" si="106"/>
        <v>0.18699186991869921</v>
      </c>
      <c r="I31" s="10">
        <f t="shared" si="106"/>
        <v>0.13677419354838705</v>
      </c>
      <c r="J31" s="10">
        <f>N17/J17-1</f>
        <v>0.12373453318335215</v>
      </c>
      <c r="K31" s="10">
        <f t="shared" si="106"/>
        <v>0.13542926239419595</v>
      </c>
      <c r="L31" s="10">
        <f t="shared" si="106"/>
        <v>0.12328767123287676</v>
      </c>
      <c r="M31" s="10">
        <f>M17/I17-1</f>
        <v>0.16004540295119174</v>
      </c>
      <c r="N31" s="10">
        <f>N17/J17-1</f>
        <v>0.12373453318335215</v>
      </c>
      <c r="O31" s="10"/>
      <c r="P31" s="10"/>
      <c r="Q31" s="10"/>
      <c r="R31" s="10"/>
      <c r="S31" s="10"/>
      <c r="T31" s="10"/>
      <c r="U31" s="10"/>
      <c r="V31" s="10"/>
      <c r="W31" s="10"/>
      <c r="X31" s="10">
        <f>X17/W17-1</f>
        <v>0.16270505523937051</v>
      </c>
      <c r="Y31" s="10">
        <f>Y17/X17-1</f>
        <v>0.13561762165274982</v>
      </c>
      <c r="Z31" s="10">
        <f t="shared" ref="Z31:AO31" si="107">Z17/Y17-1</f>
        <v>0.14999999999999991</v>
      </c>
      <c r="AA31" s="10">
        <f t="shared" si="107"/>
        <v>0.14999999999999991</v>
      </c>
      <c r="AB31" s="10">
        <f t="shared" si="107"/>
        <v>0.14999999999999991</v>
      </c>
      <c r="AC31" s="10">
        <f t="shared" si="107"/>
        <v>0.14999999999999991</v>
      </c>
      <c r="AD31" s="10">
        <f t="shared" si="107"/>
        <v>0.14999999999999991</v>
      </c>
      <c r="AE31" s="10">
        <f t="shared" si="107"/>
        <v>5.0000000000000044E-2</v>
      </c>
      <c r="AF31" s="10">
        <f t="shared" si="107"/>
        <v>5.0000000000000044E-2</v>
      </c>
      <c r="AG31" s="10">
        <f t="shared" si="107"/>
        <v>5.0000000000000044E-2</v>
      </c>
      <c r="AH31" s="10">
        <f t="shared" si="107"/>
        <v>5.0000000000000044E-2</v>
      </c>
      <c r="AI31" s="10">
        <f t="shared" si="107"/>
        <v>2.0000000000000018E-2</v>
      </c>
      <c r="AJ31" s="10">
        <f t="shared" si="107"/>
        <v>2.0000000000000018E-2</v>
      </c>
      <c r="AK31" s="10">
        <f t="shared" si="107"/>
        <v>2.0000000000000018E-2</v>
      </c>
      <c r="AL31" s="10">
        <f t="shared" si="107"/>
        <v>2.0000000000000018E-2</v>
      </c>
      <c r="AM31" s="10">
        <f t="shared" si="107"/>
        <v>2.0000000000000018E-2</v>
      </c>
      <c r="AN31" s="10">
        <f t="shared" si="107"/>
        <v>2.0000000000000018E-2</v>
      </c>
      <c r="AO31" s="10">
        <f t="shared" si="107"/>
        <v>2.0000000000000018E-2</v>
      </c>
    </row>
    <row r="32" spans="2:126" s="3" customFormat="1" x14ac:dyDescent="0.2">
      <c r="B32" s="3" t="s">
        <v>58</v>
      </c>
      <c r="C32" s="10"/>
      <c r="D32" s="10"/>
      <c r="E32" s="10"/>
      <c r="F32" s="10"/>
      <c r="G32" s="10">
        <f t="shared" ref="G32:N32" si="108">G18/C18-1</f>
        <v>0.12348877374784117</v>
      </c>
      <c r="H32" s="10">
        <f t="shared" si="108"/>
        <v>7.8588612670408953E-2</v>
      </c>
      <c r="I32" s="10">
        <f t="shared" si="108"/>
        <v>5.6082148499210005E-2</v>
      </c>
      <c r="J32" s="10">
        <f>N18/J18-1</f>
        <v>0.12280701754385959</v>
      </c>
      <c r="K32" s="10">
        <f t="shared" si="108"/>
        <v>3.9200614911606424E-2</v>
      </c>
      <c r="L32" s="10">
        <f t="shared" si="108"/>
        <v>7.4349442379182173E-2</v>
      </c>
      <c r="M32" s="10">
        <f t="shared" si="108"/>
        <v>7.0306656694091307E-2</v>
      </c>
      <c r="N32" s="10">
        <f t="shared" si="108"/>
        <v>0.12280701754385959</v>
      </c>
      <c r="O32" s="10"/>
      <c r="P32" s="10"/>
      <c r="Q32" s="10"/>
      <c r="R32" s="10"/>
      <c r="S32" s="10"/>
      <c r="T32" s="10"/>
      <c r="U32" s="10"/>
      <c r="V32" s="10"/>
      <c r="W32" s="10"/>
      <c r="X32" s="10">
        <f t="shared" ref="X32:AO32" si="109">X18/W18-1</f>
        <v>7.7093397745571668E-2</v>
      </c>
      <c r="Y32" s="10">
        <f t="shared" si="109"/>
        <v>7.7181835170996083E-2</v>
      </c>
      <c r="Z32" s="10">
        <f t="shared" si="109"/>
        <v>8.0000000000000071E-2</v>
      </c>
      <c r="AA32" s="10">
        <f t="shared" si="109"/>
        <v>8.0000000000000071E-2</v>
      </c>
      <c r="AB32" s="10">
        <f t="shared" si="109"/>
        <v>8.0000000000000071E-2</v>
      </c>
      <c r="AC32" s="10">
        <f t="shared" si="109"/>
        <v>8.0000000000000071E-2</v>
      </c>
      <c r="AD32" s="10">
        <f t="shared" si="109"/>
        <v>8.0000000000000071E-2</v>
      </c>
      <c r="AE32" s="10">
        <f t="shared" si="109"/>
        <v>8.0000000000000071E-2</v>
      </c>
      <c r="AF32" s="10">
        <f t="shared" si="109"/>
        <v>8.0000000000000071E-2</v>
      </c>
      <c r="AG32" s="10">
        <f t="shared" si="109"/>
        <v>8.0000000000000071E-2</v>
      </c>
      <c r="AH32" s="10">
        <f t="shared" si="109"/>
        <v>8.0000000000000071E-2</v>
      </c>
      <c r="AI32" s="10">
        <f t="shared" si="109"/>
        <v>8.0000000000000071E-2</v>
      </c>
      <c r="AJ32" s="10">
        <f t="shared" si="109"/>
        <v>8.0000000000000071E-2</v>
      </c>
      <c r="AK32" s="10">
        <f t="shared" si="109"/>
        <v>5.0000000000000044E-2</v>
      </c>
      <c r="AL32" s="10">
        <f t="shared" si="109"/>
        <v>5.0000000000000044E-2</v>
      </c>
      <c r="AM32" s="10">
        <f t="shared" si="109"/>
        <v>5.0000000000000044E-2</v>
      </c>
      <c r="AN32" s="10">
        <f t="shared" si="109"/>
        <v>5.0000000000000044E-2</v>
      </c>
      <c r="AO32" s="10">
        <f t="shared" si="109"/>
        <v>5.0000000000000044E-2</v>
      </c>
    </row>
    <row r="33" spans="2:44" s="3" customFormat="1" x14ac:dyDescent="0.2">
      <c r="B33" s="3" t="s">
        <v>59</v>
      </c>
      <c r="C33" s="10"/>
      <c r="D33" s="10"/>
      <c r="E33" s="10"/>
      <c r="F33" s="10"/>
      <c r="G33" s="10">
        <f t="shared" ref="G33:N33" si="110">G19/C19-1</f>
        <v>0.23048327137546476</v>
      </c>
      <c r="H33" s="10">
        <f t="shared" si="110"/>
        <v>0.22680412371134029</v>
      </c>
      <c r="I33" s="10">
        <f t="shared" si="110"/>
        <v>0.10658307210031337</v>
      </c>
      <c r="J33" s="10">
        <f>N19/J19-1</f>
        <v>0.22580645161290325</v>
      </c>
      <c r="K33" s="10">
        <f t="shared" si="110"/>
        <v>6.3444108761329332E-2</v>
      </c>
      <c r="L33" s="10">
        <f t="shared" si="110"/>
        <v>-5.6022408963585235E-3</v>
      </c>
      <c r="M33" s="10">
        <f t="shared" si="110"/>
        <v>3.6827195467422191E-2</v>
      </c>
      <c r="N33" s="10">
        <f t="shared" si="110"/>
        <v>0.22580645161290325</v>
      </c>
      <c r="O33" s="10"/>
      <c r="P33" s="10"/>
      <c r="Q33" s="10"/>
      <c r="R33" s="10"/>
      <c r="S33" s="10"/>
      <c r="T33" s="10"/>
      <c r="U33" s="10"/>
      <c r="V33" s="10"/>
      <c r="W33" s="10"/>
      <c r="X33" s="10">
        <f t="shared" ref="X33:AO33" si="111">X19/W19-1</f>
        <v>0.1591468416735029</v>
      </c>
      <c r="Y33" s="10">
        <f t="shared" si="111"/>
        <v>8.2094833687190283E-2</v>
      </c>
      <c r="Z33" s="10">
        <f t="shared" si="111"/>
        <v>8.0000000000000071E-2</v>
      </c>
      <c r="AA33" s="10">
        <f t="shared" si="111"/>
        <v>8.0000000000000071E-2</v>
      </c>
      <c r="AB33" s="10">
        <f t="shared" si="111"/>
        <v>8.0000000000000071E-2</v>
      </c>
      <c r="AC33" s="10">
        <f t="shared" si="111"/>
        <v>8.0000000000000071E-2</v>
      </c>
      <c r="AD33" s="10">
        <f t="shared" si="111"/>
        <v>8.0000000000000071E-2</v>
      </c>
      <c r="AE33" s="10">
        <f t="shared" si="111"/>
        <v>3.0000000000000027E-2</v>
      </c>
      <c r="AF33" s="10">
        <f t="shared" si="111"/>
        <v>3.0000000000000027E-2</v>
      </c>
      <c r="AG33" s="10">
        <f t="shared" si="111"/>
        <v>3.0000000000000027E-2</v>
      </c>
      <c r="AH33" s="10">
        <f t="shared" si="111"/>
        <v>3.0000000000000027E-2</v>
      </c>
      <c r="AI33" s="10">
        <f t="shared" si="111"/>
        <v>3.0000000000000027E-2</v>
      </c>
      <c r="AJ33" s="10">
        <f t="shared" si="111"/>
        <v>3.0000000000000027E-2</v>
      </c>
      <c r="AK33" s="10">
        <f t="shared" si="111"/>
        <v>3.0000000000000027E-2</v>
      </c>
      <c r="AL33" s="10">
        <f t="shared" si="111"/>
        <v>3.0000000000000027E-2</v>
      </c>
      <c r="AM33" s="10">
        <f t="shared" si="111"/>
        <v>3.0000000000000027E-2</v>
      </c>
      <c r="AN33" s="10">
        <f t="shared" si="111"/>
        <v>3.0000000000000027E-2</v>
      </c>
      <c r="AO33" s="10">
        <f t="shared" si="111"/>
        <v>3.0000000000000027E-2</v>
      </c>
    </row>
    <row r="34" spans="2:44" s="3" customFormat="1" x14ac:dyDescent="0.2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</row>
    <row r="35" spans="2:44" s="3" customFormat="1" x14ac:dyDescent="0.2">
      <c r="B35" s="3" t="s">
        <v>54</v>
      </c>
      <c r="C35" s="10">
        <f t="shared" ref="C35:L35" si="112">C16/C11</f>
        <v>0.87986860628812769</v>
      </c>
      <c r="D35" s="10">
        <f t="shared" si="112"/>
        <v>0.87710898312813501</v>
      </c>
      <c r="E35" s="10">
        <f t="shared" si="112"/>
        <v>0.87683284457478006</v>
      </c>
      <c r="F35" s="10">
        <f>J16/J11</f>
        <v>0.87186742118027483</v>
      </c>
      <c r="G35" s="10">
        <f t="shared" si="112"/>
        <v>0.87798066595059077</v>
      </c>
      <c r="H35" s="10">
        <f t="shared" si="112"/>
        <v>0.8812292358803987</v>
      </c>
      <c r="I35" s="10">
        <f t="shared" si="112"/>
        <v>0.88139059304703471</v>
      </c>
      <c r="J35" s="10">
        <f>N16/N11</f>
        <v>0.89011773100249736</v>
      </c>
      <c r="K35" s="10">
        <f t="shared" si="112"/>
        <v>0.88614434581242763</v>
      </c>
      <c r="L35" s="10">
        <f t="shared" si="112"/>
        <v>0.88736108495008481</v>
      </c>
      <c r="M35" s="10">
        <f>M16/M11</f>
        <v>0.8975591715976331</v>
      </c>
      <c r="N35" s="10">
        <f>N16/N11</f>
        <v>0.89011773100249736</v>
      </c>
      <c r="O35" s="10"/>
      <c r="P35" s="10"/>
      <c r="Q35" s="10"/>
      <c r="R35" s="10"/>
      <c r="S35" s="10"/>
      <c r="T35" s="10"/>
      <c r="U35" s="10"/>
      <c r="V35" s="10"/>
      <c r="W35" s="10">
        <f>W16/W11</f>
        <v>0.87703055776439853</v>
      </c>
      <c r="X35" s="10">
        <f t="shared" ref="X35:Y35" si="113">X16/X11</f>
        <v>0.87808793826712928</v>
      </c>
      <c r="Y35" s="10">
        <f t="shared" si="113"/>
        <v>0.89035108114392003</v>
      </c>
      <c r="Z35" s="10">
        <f t="shared" ref="Z35:AO35" si="114">Z16/Z11</f>
        <v>0.89</v>
      </c>
      <c r="AA35" s="10">
        <f t="shared" si="114"/>
        <v>0.89</v>
      </c>
      <c r="AB35" s="10">
        <f t="shared" si="114"/>
        <v>0.89</v>
      </c>
      <c r="AC35" s="10">
        <f t="shared" si="114"/>
        <v>0.89000000000000012</v>
      </c>
      <c r="AD35" s="10">
        <f t="shared" si="114"/>
        <v>0.89</v>
      </c>
      <c r="AE35" s="10">
        <f t="shared" si="114"/>
        <v>0.89</v>
      </c>
      <c r="AF35" s="10">
        <f t="shared" si="114"/>
        <v>0.89</v>
      </c>
      <c r="AG35" s="10">
        <f t="shared" si="114"/>
        <v>0.89</v>
      </c>
      <c r="AH35" s="10">
        <f t="shared" si="114"/>
        <v>0.89000000000000012</v>
      </c>
      <c r="AI35" s="10">
        <f t="shared" si="114"/>
        <v>0.89000000000000012</v>
      </c>
      <c r="AJ35" s="10">
        <f t="shared" si="114"/>
        <v>0.89</v>
      </c>
      <c r="AK35" s="10">
        <f t="shared" si="114"/>
        <v>0.8899999999999999</v>
      </c>
      <c r="AL35" s="10">
        <f t="shared" si="114"/>
        <v>0.89</v>
      </c>
      <c r="AM35" s="10">
        <f t="shared" si="114"/>
        <v>0.89000000000000012</v>
      </c>
      <c r="AN35" s="10">
        <f t="shared" si="114"/>
        <v>0.89000000000000012</v>
      </c>
      <c r="AO35" s="10">
        <f t="shared" si="114"/>
        <v>0.8899999999999999</v>
      </c>
    </row>
    <row r="36" spans="2:44" s="3" customFormat="1" x14ac:dyDescent="0.2">
      <c r="B36" s="3" t="s">
        <v>56</v>
      </c>
      <c r="C36" s="10">
        <f t="shared" ref="C36:L36" si="115">C22/C11</f>
        <v>0.38057250117315816</v>
      </c>
      <c r="D36" s="10">
        <f t="shared" si="115"/>
        <v>0.35818513451892386</v>
      </c>
      <c r="E36" s="10">
        <f t="shared" si="115"/>
        <v>0.34446198962327995</v>
      </c>
      <c r="F36" s="10">
        <f>J22/J11</f>
        <v>0.34054163298302342</v>
      </c>
      <c r="G36" s="10">
        <f t="shared" si="115"/>
        <v>0.34973147153598283</v>
      </c>
      <c r="H36" s="10">
        <f t="shared" si="115"/>
        <v>0.34593023255813954</v>
      </c>
      <c r="I36" s="10">
        <f t="shared" si="115"/>
        <v>0.35562372188139058</v>
      </c>
      <c r="J36" s="10">
        <f>N22/N11</f>
        <v>0.35658223332144129</v>
      </c>
      <c r="K36" s="10">
        <f t="shared" si="115"/>
        <v>0.18313392512543419</v>
      </c>
      <c r="L36" s="10">
        <f t="shared" si="115"/>
        <v>0.36296854398191752</v>
      </c>
      <c r="M36" s="10">
        <f>M22/M11</f>
        <v>0.37629437869822485</v>
      </c>
      <c r="N36" s="10">
        <f>N22/N11</f>
        <v>0.35658223332144129</v>
      </c>
      <c r="O36" s="10"/>
      <c r="P36" s="10"/>
      <c r="Q36" s="10"/>
      <c r="R36" s="10"/>
      <c r="S36" s="10"/>
      <c r="T36" s="10"/>
      <c r="U36" s="10"/>
      <c r="V36" s="10"/>
      <c r="W36" s="10">
        <f>W22/W11</f>
        <v>0.35595819606952173</v>
      </c>
      <c r="X36" s="10">
        <f t="shared" ref="X36:Y36" si="116">X22/X11</f>
        <v>0.34792065876016365</v>
      </c>
      <c r="Y36" s="10">
        <f t="shared" si="116"/>
        <v>0.32132062311090442</v>
      </c>
      <c r="Z36" s="10">
        <f t="shared" ref="Z36:AO36" si="117">Z22/Z11</f>
        <v>0.35957094017094016</v>
      </c>
      <c r="AA36" s="10">
        <f t="shared" si="117"/>
        <v>0.35688052836052842</v>
      </c>
      <c r="AB36" s="10">
        <f t="shared" si="117"/>
        <v>0.3536783705587343</v>
      </c>
      <c r="AC36" s="10">
        <f t="shared" si="117"/>
        <v>0.34994828657586691</v>
      </c>
      <c r="AD36" s="10">
        <f t="shared" si="117"/>
        <v>0.34567323201376321</v>
      </c>
      <c r="AE36" s="10">
        <f t="shared" si="117"/>
        <v>0.36486569682380104</v>
      </c>
      <c r="AF36" s="10">
        <f t="shared" si="117"/>
        <v>0.35910069900291952</v>
      </c>
      <c r="AG36" s="10">
        <f t="shared" si="117"/>
        <v>0.35311529331820352</v>
      </c>
      <c r="AH36" s="10">
        <f t="shared" si="117"/>
        <v>0.34690424323336039</v>
      </c>
      <c r="AI36" s="10">
        <f t="shared" si="117"/>
        <v>0.34677706568319783</v>
      </c>
      <c r="AJ36" s="10">
        <f t="shared" si="117"/>
        <v>0.3462328303484693</v>
      </c>
      <c r="AK36" s="10">
        <f t="shared" si="117"/>
        <v>0.34283215366271164</v>
      </c>
      <c r="AL36" s="10">
        <f t="shared" si="117"/>
        <v>0.33930646443266288</v>
      </c>
      <c r="AM36" s="10">
        <f t="shared" si="117"/>
        <v>0.33565390785151406</v>
      </c>
      <c r="AN36" s="10">
        <f t="shared" si="117"/>
        <v>0.33187258753736076</v>
      </c>
      <c r="AO36" s="10">
        <f t="shared" si="117"/>
        <v>0.32796056477989488</v>
      </c>
    </row>
    <row r="37" spans="2:44" s="3" customFormat="1" x14ac:dyDescent="0.2">
      <c r="B37" s="3" t="s">
        <v>55</v>
      </c>
      <c r="C37" s="10">
        <f t="shared" ref="C37:L37" si="118">C25/C24</f>
        <v>0.17476340694006309</v>
      </c>
      <c r="D37" s="10">
        <f t="shared" si="118"/>
        <v>0.2046936114732725</v>
      </c>
      <c r="E37" s="10">
        <f t="shared" si="118"/>
        <v>0.2134756504336224</v>
      </c>
      <c r="F37" s="10">
        <f>J25/J24</f>
        <v>0.18571428571428572</v>
      </c>
      <c r="G37" s="10">
        <f t="shared" si="118"/>
        <v>0.21402439024390243</v>
      </c>
      <c r="H37" s="10">
        <f t="shared" si="118"/>
        <v>0.20981087470449172</v>
      </c>
      <c r="I37" s="10">
        <f t="shared" si="118"/>
        <v>0.19047619047619047</v>
      </c>
      <c r="J37" s="10">
        <f>N25/N24</f>
        <v>0.15150024594195768</v>
      </c>
      <c r="K37" s="10">
        <f t="shared" si="118"/>
        <v>0.34455445544554453</v>
      </c>
      <c r="L37" s="10">
        <f t="shared" si="118"/>
        <v>0.18103448275862069</v>
      </c>
      <c r="M37" s="10">
        <f>M25/M24</f>
        <v>0.17170263788968826</v>
      </c>
      <c r="N37" s="10">
        <f>N25/N24</f>
        <v>0.15150024594195768</v>
      </c>
      <c r="O37" s="10"/>
      <c r="P37" s="10"/>
      <c r="Q37" s="10"/>
      <c r="R37" s="10"/>
      <c r="S37" s="10"/>
      <c r="T37" s="10"/>
      <c r="U37" s="10"/>
      <c r="V37" s="10"/>
      <c r="W37" s="10">
        <f>W25/W24</f>
        <v>0.20268738870001618</v>
      </c>
      <c r="X37" s="10">
        <f t="shared" ref="X37:Y37" si="119">X25/X24</f>
        <v>0.19965050240279597</v>
      </c>
      <c r="Y37" s="10">
        <f t="shared" si="119"/>
        <v>0.19309859154929576</v>
      </c>
      <c r="Z37" s="10">
        <f t="shared" ref="Z37:AO37" si="120">Z25/Z24</f>
        <v>0.2</v>
      </c>
      <c r="AA37" s="10">
        <f t="shared" si="120"/>
        <v>0.2</v>
      </c>
      <c r="AB37" s="10">
        <f t="shared" si="120"/>
        <v>0.2</v>
      </c>
      <c r="AC37" s="10">
        <f t="shared" si="120"/>
        <v>0.2</v>
      </c>
      <c r="AD37" s="10">
        <f t="shared" si="120"/>
        <v>0.2</v>
      </c>
      <c r="AE37" s="10">
        <f t="shared" si="120"/>
        <v>0.2</v>
      </c>
      <c r="AF37" s="10">
        <f t="shared" si="120"/>
        <v>0.2</v>
      </c>
      <c r="AG37" s="10">
        <f t="shared" si="120"/>
        <v>0.2</v>
      </c>
      <c r="AH37" s="10">
        <f t="shared" si="120"/>
        <v>0.2</v>
      </c>
      <c r="AI37" s="10">
        <f t="shared" si="120"/>
        <v>0.2</v>
      </c>
      <c r="AJ37" s="10">
        <f t="shared" si="120"/>
        <v>0.2</v>
      </c>
      <c r="AK37" s="10">
        <f t="shared" si="120"/>
        <v>0.2</v>
      </c>
      <c r="AL37" s="10">
        <f t="shared" si="120"/>
        <v>0.2</v>
      </c>
      <c r="AM37" s="10">
        <f t="shared" si="120"/>
        <v>0.2</v>
      </c>
      <c r="AN37" s="10">
        <f t="shared" si="120"/>
        <v>0.2</v>
      </c>
      <c r="AO37" s="10">
        <f t="shared" si="120"/>
        <v>0.2</v>
      </c>
    </row>
    <row r="38" spans="2:44" s="3" customFormat="1" x14ac:dyDescent="0.2"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2:44" s="6" customFormat="1" x14ac:dyDescent="0.2">
      <c r="B39" s="11" t="s">
        <v>77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12">
        <f>7613+273</f>
        <v>7886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12">
        <f>7613+273</f>
        <v>7886</v>
      </c>
      <c r="Z39" s="7">
        <f>Y39+Z26</f>
        <v>14680.255999999999</v>
      </c>
      <c r="AA39" s="7">
        <f t="shared" ref="AA39:AO39" si="121">Z39+AA26</f>
        <v>22146.581888000001</v>
      </c>
      <c r="AB39" s="7">
        <f t="shared" si="121"/>
        <v>30334.994050304005</v>
      </c>
      <c r="AC39" s="7">
        <f t="shared" si="121"/>
        <v>39297.097494482441</v>
      </c>
      <c r="AD39" s="7">
        <f t="shared" si="121"/>
        <v>49085.669625156384</v>
      </c>
      <c r="AE39" s="7">
        <f t="shared" si="121"/>
        <v>60478.598637650255</v>
      </c>
      <c r="AF39" s="7">
        <f t="shared" si="121"/>
        <v>72330.185430012891</v>
      </c>
      <c r="AG39" s="7">
        <f t="shared" si="121"/>
        <v>84646.023954504562</v>
      </c>
      <c r="AH39" s="7">
        <f t="shared" si="121"/>
        <v>97430.47753129834</v>
      </c>
      <c r="AI39" s="7">
        <f t="shared" si="121"/>
        <v>110917.91045865005</v>
      </c>
      <c r="AJ39" s="7">
        <f t="shared" si="121"/>
        <v>125127.70105963765</v>
      </c>
      <c r="AK39" s="7">
        <f t="shared" si="121"/>
        <v>139716.06561388663</v>
      </c>
      <c r="AL39" s="7">
        <f t="shared" si="121"/>
        <v>154684.83303380947</v>
      </c>
      <c r="AM39" s="7">
        <f t="shared" si="121"/>
        <v>170035.30539216785</v>
      </c>
      <c r="AN39" s="7">
        <f t="shared" si="121"/>
        <v>185768.21122613491</v>
      </c>
      <c r="AO39" s="7">
        <f t="shared" si="121"/>
        <v>201883.65586223744</v>
      </c>
    </row>
    <row r="40" spans="2:44" x14ac:dyDescent="0.2">
      <c r="B40" t="s">
        <v>51</v>
      </c>
      <c r="F40" s="2">
        <f>F26</f>
        <v>1218</v>
      </c>
      <c r="J40" s="2">
        <f>J26</f>
        <v>1425</v>
      </c>
      <c r="N40" s="2">
        <f>N26</f>
        <v>1725</v>
      </c>
      <c r="AQ40" t="s">
        <v>80</v>
      </c>
      <c r="AR40" s="3">
        <v>0.01</v>
      </c>
    </row>
    <row r="41" spans="2:44" x14ac:dyDescent="0.2">
      <c r="B41" s="3" t="s">
        <v>52</v>
      </c>
      <c r="F41" s="2">
        <v>1176</v>
      </c>
      <c r="J41" s="2">
        <v>1483</v>
      </c>
      <c r="N41" s="2">
        <v>1683</v>
      </c>
      <c r="AQ41" t="s">
        <v>81</v>
      </c>
      <c r="AR41" s="3">
        <v>-0.02</v>
      </c>
    </row>
    <row r="42" spans="2:44" x14ac:dyDescent="0.2">
      <c r="B42" s="3" t="s">
        <v>60</v>
      </c>
      <c r="F42" s="2">
        <v>215</v>
      </c>
      <c r="J42" s="2">
        <v>222</v>
      </c>
      <c r="N42" s="2">
        <v>218</v>
      </c>
      <c r="AQ42" t="s">
        <v>82</v>
      </c>
      <c r="AR42" s="3">
        <v>0.06</v>
      </c>
    </row>
    <row r="43" spans="2:44" x14ac:dyDescent="0.2">
      <c r="B43" s="3" t="s">
        <v>61</v>
      </c>
      <c r="F43" s="2">
        <v>388</v>
      </c>
      <c r="J43" s="2">
        <v>427</v>
      </c>
      <c r="N43" s="2">
        <v>441</v>
      </c>
      <c r="AQ43" t="s">
        <v>83</v>
      </c>
      <c r="AR43" s="14">
        <f>NPV(AR42,Z26:DV26)</f>
        <v>192146.67404615041</v>
      </c>
    </row>
    <row r="44" spans="2:44" x14ac:dyDescent="0.2">
      <c r="B44" s="3" t="s">
        <v>62</v>
      </c>
      <c r="F44" s="2">
        <v>0</v>
      </c>
      <c r="J44" s="2">
        <v>0</v>
      </c>
      <c r="N44" s="2">
        <v>78</v>
      </c>
      <c r="AQ44" t="s">
        <v>1</v>
      </c>
      <c r="AR44" s="1">
        <v>435.3</v>
      </c>
    </row>
    <row r="45" spans="2:44" x14ac:dyDescent="0.2">
      <c r="B45" s="3" t="s">
        <v>63</v>
      </c>
      <c r="F45" s="2">
        <v>-4</v>
      </c>
      <c r="J45" s="2">
        <v>-3</v>
      </c>
      <c r="N45" s="2">
        <v>-11</v>
      </c>
      <c r="AQ45" t="s">
        <v>0</v>
      </c>
      <c r="AR45" s="8">
        <f>AR43/AR44</f>
        <v>441.41206994291389</v>
      </c>
    </row>
    <row r="46" spans="2:44" x14ac:dyDescent="0.2">
      <c r="B46" s="3" t="s">
        <v>64</v>
      </c>
      <c r="F46" s="2">
        <v>68</v>
      </c>
      <c r="J46" s="2">
        <v>-129</v>
      </c>
      <c r="N46" s="2">
        <v>-105</v>
      </c>
      <c r="AQ46" t="s">
        <v>84</v>
      </c>
      <c r="AR46">
        <v>454.56</v>
      </c>
    </row>
    <row r="47" spans="2:44" x14ac:dyDescent="0.2">
      <c r="B47" s="3" t="s">
        <v>65</v>
      </c>
      <c r="F47" s="2">
        <v>471</v>
      </c>
      <c r="J47" s="2">
        <v>467</v>
      </c>
      <c r="N47" s="2">
        <v>353</v>
      </c>
    </row>
    <row r="48" spans="2:44" x14ac:dyDescent="0.2">
      <c r="B48" s="3" t="s">
        <v>62</v>
      </c>
      <c r="F48" s="2">
        <v>11</v>
      </c>
      <c r="J48" s="2">
        <v>-870</v>
      </c>
      <c r="N48" s="2">
        <v>264</v>
      </c>
      <c r="AQ48" t="s">
        <v>85</v>
      </c>
      <c r="AR48" s="3">
        <f>AR45/AR46-1</f>
        <v>-2.8924520540932086E-2</v>
      </c>
    </row>
    <row r="49" spans="2:41" x14ac:dyDescent="0.2">
      <c r="B49" s="3" t="s">
        <v>66</v>
      </c>
      <c r="F49" s="2">
        <f>SUM(F41:F48)</f>
        <v>2325</v>
      </c>
      <c r="J49" s="2">
        <f>SUM(J41:J48)</f>
        <v>1597</v>
      </c>
      <c r="N49" s="2">
        <f>SUM(N41:N48)</f>
        <v>2921</v>
      </c>
    </row>
    <row r="50" spans="2:41" x14ac:dyDescent="0.2">
      <c r="B50" s="3" t="s">
        <v>67</v>
      </c>
      <c r="F50" s="2">
        <v>29</v>
      </c>
      <c r="J50" s="2">
        <v>219</v>
      </c>
      <c r="N50" s="2">
        <v>50</v>
      </c>
    </row>
    <row r="51" spans="2:41" x14ac:dyDescent="0.2">
      <c r="B51" s="3" t="s">
        <v>68</v>
      </c>
      <c r="F51" s="2">
        <v>-91</v>
      </c>
      <c r="J51" s="2">
        <v>-47</v>
      </c>
      <c r="N51" s="2">
        <v>-48</v>
      </c>
    </row>
    <row r="52" spans="2:41" x14ac:dyDescent="0.2">
      <c r="B52" s="3" t="s">
        <v>69</v>
      </c>
      <c r="F52" s="2">
        <v>-7</v>
      </c>
      <c r="J52" s="2">
        <v>-19</v>
      </c>
      <c r="N52" s="2">
        <v>17</v>
      </c>
    </row>
    <row r="53" spans="2:41" x14ac:dyDescent="0.2">
      <c r="B53" s="3" t="s">
        <v>70</v>
      </c>
      <c r="F53" s="2">
        <f>SUM(F50:F52)</f>
        <v>-69</v>
      </c>
      <c r="J53" s="2">
        <f>SUM(J50:J52)</f>
        <v>153</v>
      </c>
      <c r="N53" s="2">
        <f>SUM(N50:N52)</f>
        <v>19</v>
      </c>
    </row>
    <row r="54" spans="2:41" x14ac:dyDescent="0.2">
      <c r="B54" s="3" t="s">
        <v>71</v>
      </c>
      <c r="F54" s="2">
        <v>-1750</v>
      </c>
      <c r="J54" s="2">
        <v>-1000</v>
      </c>
      <c r="N54" s="2">
        <f>-2500</f>
        <v>-2500</v>
      </c>
    </row>
    <row r="55" spans="2:41" x14ac:dyDescent="0.2">
      <c r="B55" s="3" t="s">
        <v>72</v>
      </c>
      <c r="F55" s="2">
        <v>-67</v>
      </c>
      <c r="J55" s="2">
        <v>-202</v>
      </c>
      <c r="N55" s="2">
        <v>-152</v>
      </c>
    </row>
    <row r="56" spans="2:41" x14ac:dyDescent="0.2">
      <c r="B56" s="3" t="s">
        <v>73</v>
      </c>
      <c r="F56" s="2">
        <v>-94</v>
      </c>
      <c r="J56" s="2">
        <v>-15</v>
      </c>
      <c r="N56" s="2">
        <v>151</v>
      </c>
    </row>
    <row r="57" spans="2:41" x14ac:dyDescent="0.2">
      <c r="B57" s="3" t="s">
        <v>74</v>
      </c>
      <c r="F57" s="2">
        <f>SUM(F54:F56)</f>
        <v>-1911</v>
      </c>
      <c r="J57" s="2">
        <f>SUM(J54:J56)</f>
        <v>-1217</v>
      </c>
      <c r="N57" s="2">
        <f>SUM(N54:N56)</f>
        <v>-2501</v>
      </c>
    </row>
    <row r="59" spans="2:41" x14ac:dyDescent="0.2">
      <c r="B59" s="3" t="s">
        <v>75</v>
      </c>
      <c r="F59" s="2">
        <f>F49+F51</f>
        <v>2234</v>
      </c>
      <c r="J59" s="2">
        <f>J49+J51</f>
        <v>1550</v>
      </c>
      <c r="N59" s="2">
        <f>N49+N51</f>
        <v>2873</v>
      </c>
    </row>
    <row r="60" spans="2:41" s="6" customFormat="1" x14ac:dyDescent="0.2">
      <c r="B60" s="11" t="s">
        <v>76</v>
      </c>
      <c r="C60" s="7"/>
      <c r="D60" s="7"/>
      <c r="E60" s="7"/>
      <c r="F60" s="7">
        <f>F57+F53+F49</f>
        <v>345</v>
      </c>
      <c r="G60" s="7"/>
      <c r="H60" s="7"/>
      <c r="I60" s="7"/>
      <c r="J60" s="7">
        <f>J57+J53+J49</f>
        <v>533</v>
      </c>
      <c r="K60" s="7"/>
      <c r="L60" s="7"/>
      <c r="M60" s="7"/>
      <c r="N60" s="7">
        <f>N57+N53+N49</f>
        <v>439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S</dc:creator>
  <cp:lastModifiedBy>Bobby S</cp:lastModifiedBy>
  <dcterms:created xsi:type="dcterms:W3CDTF">2025-02-17T14:36:26Z</dcterms:created>
  <dcterms:modified xsi:type="dcterms:W3CDTF">2025-02-21T15:38:05Z</dcterms:modified>
</cp:coreProperties>
</file>