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07474b3756498a/Value Investing/"/>
    </mc:Choice>
  </mc:AlternateContent>
  <xr:revisionPtr revIDLastSave="492" documentId="8_{3D6CA7A7-772E-F746-A0F5-4603810763D2}" xr6:coauthVersionLast="47" xr6:coauthVersionMax="47" xr10:uidLastSave="{C12E4B51-1B91-1A46-AF44-EE4C1948712C}"/>
  <bookViews>
    <workbookView xWindow="-38940" yWindow="-11860" windowWidth="38940" windowHeight="31500" activeTab="1" xr2:uid="{1EFB91EF-92BA-9A43-918B-25829E17A320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N34" i="2"/>
  <c r="M34" i="2"/>
  <c r="L34" i="2"/>
  <c r="K34" i="2"/>
  <c r="N32" i="2"/>
  <c r="M32" i="2"/>
  <c r="L32" i="2"/>
  <c r="K32" i="2"/>
  <c r="N29" i="2"/>
  <c r="M29" i="2"/>
  <c r="L29" i="2"/>
  <c r="N28" i="2"/>
  <c r="M28" i="2"/>
  <c r="L28" i="2"/>
  <c r="N27" i="2"/>
  <c r="M27" i="2"/>
  <c r="L27" i="2"/>
  <c r="N26" i="2"/>
  <c r="M26" i="2"/>
  <c r="L26" i="2"/>
  <c r="N25" i="2"/>
  <c r="M25" i="2"/>
  <c r="L25" i="2"/>
  <c r="N23" i="2"/>
  <c r="M23" i="2"/>
  <c r="L23" i="2"/>
  <c r="K23" i="2"/>
  <c r="N21" i="2"/>
  <c r="M21" i="2"/>
  <c r="L21" i="2"/>
  <c r="K21" i="2"/>
  <c r="N20" i="2"/>
  <c r="M20" i="2"/>
  <c r="L20" i="2"/>
  <c r="K20" i="2"/>
  <c r="J34" i="2"/>
  <c r="I34" i="2"/>
  <c r="H34" i="2"/>
  <c r="G34" i="2"/>
  <c r="F34" i="2"/>
  <c r="E34" i="2"/>
  <c r="D34" i="2"/>
  <c r="C34" i="2"/>
  <c r="N19" i="2"/>
  <c r="M19" i="2"/>
  <c r="L19" i="2"/>
  <c r="K19" i="2"/>
  <c r="N17" i="2"/>
  <c r="M17" i="2"/>
  <c r="L17" i="2"/>
  <c r="K17" i="2"/>
  <c r="N16" i="2"/>
  <c r="M16" i="2"/>
  <c r="L16" i="2"/>
  <c r="K16" i="2"/>
  <c r="K15" i="2"/>
  <c r="L15" i="2" s="1"/>
  <c r="M15" i="2" s="1"/>
  <c r="N15" i="2" s="1"/>
  <c r="K14" i="2"/>
  <c r="L14" i="2" s="1"/>
  <c r="M14" i="2" s="1"/>
  <c r="N14" i="2" s="1"/>
  <c r="L13" i="2"/>
  <c r="M13" i="2" s="1"/>
  <c r="N13" i="2" s="1"/>
  <c r="K13" i="2"/>
  <c r="N12" i="2"/>
  <c r="M12" i="2"/>
  <c r="L12" i="2"/>
  <c r="N9" i="2"/>
  <c r="M9" i="2"/>
  <c r="L9" i="2"/>
  <c r="K9" i="2"/>
  <c r="K12" i="2"/>
  <c r="N6" i="2"/>
  <c r="M6" i="2"/>
  <c r="L6" i="2"/>
  <c r="L5" i="2"/>
  <c r="M5" i="2" s="1"/>
  <c r="N5" i="2" s="1"/>
  <c r="M4" i="2"/>
  <c r="N4" i="2" s="1"/>
  <c r="L4" i="2"/>
  <c r="G41" i="2"/>
  <c r="K29" i="2"/>
  <c r="K28" i="2"/>
  <c r="K27" i="2"/>
  <c r="K26" i="2"/>
  <c r="K25" i="2"/>
  <c r="K6" i="2"/>
  <c r="C33" i="2"/>
  <c r="C32" i="2"/>
  <c r="C23" i="2"/>
  <c r="C21" i="2"/>
  <c r="C20" i="2"/>
  <c r="C19" i="2"/>
  <c r="C18" i="2"/>
  <c r="C16" i="2"/>
  <c r="C17" i="2" s="1"/>
  <c r="C15" i="2"/>
  <c r="C14" i="2"/>
  <c r="C13" i="2"/>
  <c r="C11" i="2"/>
  <c r="C10" i="2"/>
  <c r="C12" i="2" s="1"/>
  <c r="D11" i="2"/>
  <c r="D12" i="2"/>
  <c r="D32" i="2" s="1"/>
  <c r="C9" i="2"/>
  <c r="C8" i="2"/>
  <c r="C7" i="2"/>
  <c r="C6" i="2"/>
  <c r="C5" i="2"/>
  <c r="C4" i="2"/>
  <c r="G33" i="2"/>
  <c r="G32" i="2"/>
  <c r="G23" i="2"/>
  <c r="G19" i="2"/>
  <c r="G21" i="2"/>
  <c r="G20" i="2"/>
  <c r="G7" i="2"/>
  <c r="G16" i="2"/>
  <c r="G18" i="2"/>
  <c r="G15" i="2"/>
  <c r="G14" i="2"/>
  <c r="G13" i="2"/>
  <c r="G11" i="2"/>
  <c r="G10" i="2"/>
  <c r="G12" i="2" s="1"/>
  <c r="G17" i="2" s="1"/>
  <c r="G9" i="2"/>
  <c r="G8" i="2"/>
  <c r="G6" i="2"/>
  <c r="G5" i="2"/>
  <c r="G4" i="2"/>
  <c r="D33" i="2"/>
  <c r="D18" i="2"/>
  <c r="D16" i="2"/>
  <c r="D10" i="2"/>
  <c r="D17" i="2" s="1"/>
  <c r="D9" i="2"/>
  <c r="D6" i="2"/>
  <c r="H18" i="2"/>
  <c r="H28" i="2"/>
  <c r="H27" i="2"/>
  <c r="H26" i="2"/>
  <c r="H16" i="2"/>
  <c r="H11" i="2"/>
  <c r="H10" i="2"/>
  <c r="H12" i="2" s="1"/>
  <c r="H17" i="2" s="1"/>
  <c r="H19" i="2" s="1"/>
  <c r="H21" i="2" s="1"/>
  <c r="H23" i="2" s="1"/>
  <c r="H9" i="2"/>
  <c r="H6" i="2"/>
  <c r="E33" i="2"/>
  <c r="E32" i="2"/>
  <c r="I33" i="2"/>
  <c r="I32" i="2"/>
  <c r="E18" i="2"/>
  <c r="E16" i="2"/>
  <c r="E11" i="2"/>
  <c r="E10" i="2"/>
  <c r="E12" i="2" s="1"/>
  <c r="E17" i="2" s="1"/>
  <c r="E19" i="2" s="1"/>
  <c r="E21" i="2" s="1"/>
  <c r="E23" i="2" s="1"/>
  <c r="E9" i="2"/>
  <c r="E6" i="2"/>
  <c r="I18" i="2"/>
  <c r="I28" i="2"/>
  <c r="I27" i="2"/>
  <c r="I26" i="2"/>
  <c r="I16" i="2"/>
  <c r="I11" i="2"/>
  <c r="I10" i="2"/>
  <c r="I12" i="2" s="1"/>
  <c r="I9" i="2"/>
  <c r="I6" i="2"/>
  <c r="F33" i="2"/>
  <c r="F32" i="2"/>
  <c r="J33" i="2"/>
  <c r="J32" i="2"/>
  <c r="J29" i="2"/>
  <c r="J28" i="2"/>
  <c r="J27" i="2"/>
  <c r="J26" i="2"/>
  <c r="J25" i="2"/>
  <c r="F18" i="2"/>
  <c r="F16" i="2"/>
  <c r="F11" i="2"/>
  <c r="F10" i="2"/>
  <c r="F12" i="2" s="1"/>
  <c r="F9" i="2"/>
  <c r="F6" i="2"/>
  <c r="J18" i="2"/>
  <c r="J16" i="2"/>
  <c r="J11" i="2"/>
  <c r="J10" i="2"/>
  <c r="J12" i="2" s="1"/>
  <c r="J17" i="2" s="1"/>
  <c r="J19" i="2" s="1"/>
  <c r="J21" i="2" s="1"/>
  <c r="J23" i="2" s="1"/>
  <c r="J9" i="2"/>
  <c r="J6" i="2"/>
  <c r="V14" i="2"/>
  <c r="V27" i="2" s="1"/>
  <c r="V15" i="2"/>
  <c r="V28" i="2"/>
  <c r="T27" i="2"/>
  <c r="U28" i="2"/>
  <c r="T28" i="2"/>
  <c r="U27" i="2"/>
  <c r="U26" i="2"/>
  <c r="T26" i="2"/>
  <c r="V13" i="2"/>
  <c r="V26" i="2" s="1"/>
  <c r="V5" i="2"/>
  <c r="V4" i="2"/>
  <c r="V33" i="2" s="1"/>
  <c r="V3" i="2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T33" i="2"/>
  <c r="U18" i="2"/>
  <c r="T18" i="2"/>
  <c r="S18" i="2"/>
  <c r="M10" i="1"/>
  <c r="U16" i="2"/>
  <c r="T16" i="2"/>
  <c r="S16" i="2"/>
  <c r="S11" i="2"/>
  <c r="U11" i="2"/>
  <c r="T11" i="2"/>
  <c r="U10" i="2"/>
  <c r="T10" i="2"/>
  <c r="S10" i="2"/>
  <c r="S33" i="2" s="1"/>
  <c r="U9" i="2"/>
  <c r="T9" i="2"/>
  <c r="S9" i="2"/>
  <c r="U6" i="2"/>
  <c r="T6" i="2"/>
  <c r="S6" i="2"/>
  <c r="M8" i="1"/>
  <c r="M5" i="1"/>
  <c r="D19" i="2" l="1"/>
  <c r="D21" i="2" s="1"/>
  <c r="D23" i="2" s="1"/>
  <c r="H25" i="2"/>
  <c r="H32" i="2"/>
  <c r="H33" i="2"/>
  <c r="I25" i="2"/>
  <c r="I17" i="2"/>
  <c r="I19" i="2" s="1"/>
  <c r="I21" i="2" s="1"/>
  <c r="I23" i="2" s="1"/>
  <c r="F17" i="2"/>
  <c r="F19" i="2" s="1"/>
  <c r="F21" i="2" s="1"/>
  <c r="F23" i="2" s="1"/>
  <c r="V16" i="2"/>
  <c r="U12" i="2"/>
  <c r="V6" i="2"/>
  <c r="V12" i="2" s="1"/>
  <c r="V32" i="2" s="1"/>
  <c r="U17" i="2"/>
  <c r="U19" i="2" s="1"/>
  <c r="U21" i="2" s="1"/>
  <c r="T25" i="2"/>
  <c r="U25" i="2"/>
  <c r="U32" i="2"/>
  <c r="U33" i="2"/>
  <c r="V25" i="2"/>
  <c r="S12" i="2"/>
  <c r="T12" i="2"/>
  <c r="H29" i="2" l="1"/>
  <c r="I29" i="2"/>
  <c r="U23" i="2"/>
  <c r="V17" i="2"/>
  <c r="V19" i="2" s="1"/>
  <c r="T17" i="2"/>
  <c r="T19" i="2" s="1"/>
  <c r="T21" i="2" s="1"/>
  <c r="T32" i="2"/>
  <c r="S17" i="2"/>
  <c r="S32" i="2"/>
  <c r="T23" i="2" l="1"/>
  <c r="U29" i="2"/>
  <c r="S19" i="2"/>
  <c r="S21" i="2" s="1"/>
  <c r="V20" i="2"/>
  <c r="V21" i="2" s="1"/>
  <c r="V29" i="2" s="1"/>
  <c r="S23" i="2" l="1"/>
  <c r="T29" i="2"/>
  <c r="V22" i="2"/>
  <c r="V23" i="2" s="1"/>
</calcChain>
</file>

<file path=xl/sharedStrings.xml><?xml version="1.0" encoding="utf-8"?>
<sst xmlns="http://schemas.openxmlformats.org/spreadsheetml/2006/main" count="50" uniqueCount="46">
  <si>
    <t>Price</t>
  </si>
  <si>
    <t>Shares</t>
  </si>
  <si>
    <t>MC</t>
  </si>
  <si>
    <t>Cash</t>
  </si>
  <si>
    <t>Debt</t>
  </si>
  <si>
    <t>EV</t>
  </si>
  <si>
    <t>Q424</t>
  </si>
  <si>
    <t>Q423</t>
  </si>
  <si>
    <t>Revenue</t>
  </si>
  <si>
    <t>SaaS</t>
  </si>
  <si>
    <t>Hardware</t>
  </si>
  <si>
    <t>Cost of SaaS</t>
  </si>
  <si>
    <t>Cost of Hardware</t>
  </si>
  <si>
    <t>COGS</t>
  </si>
  <si>
    <t>Gross Margin SaaS</t>
  </si>
  <si>
    <t>Gross Margin HW</t>
  </si>
  <si>
    <t>Gross Margin</t>
  </si>
  <si>
    <t>S&amp;M</t>
  </si>
  <si>
    <t>G&amp;A</t>
  </si>
  <si>
    <t>R&amp;D</t>
  </si>
  <si>
    <t>OpEx</t>
  </si>
  <si>
    <t>Op Income</t>
  </si>
  <si>
    <t>Main</t>
  </si>
  <si>
    <t>Pretax Income</t>
  </si>
  <si>
    <t>Taxes</t>
  </si>
  <si>
    <t>Net Income</t>
  </si>
  <si>
    <t>Interest Income</t>
  </si>
  <si>
    <t>EPS</t>
  </si>
  <si>
    <t>Q123</t>
  </si>
  <si>
    <t>Q223</t>
  </si>
  <si>
    <t>Q323</t>
  </si>
  <si>
    <t>Q124</t>
  </si>
  <si>
    <t>Q224</t>
  </si>
  <si>
    <t>Q324</t>
  </si>
  <si>
    <t>Revenue Y/Y</t>
  </si>
  <si>
    <t>Gross Profit</t>
  </si>
  <si>
    <t>SaaS GM</t>
  </si>
  <si>
    <t>S&amp;M Y/Y</t>
  </si>
  <si>
    <t>G&amp;A Y/Y</t>
  </si>
  <si>
    <t>R&amp;D Y/Y</t>
  </si>
  <si>
    <t>Net Income Y/Y</t>
  </si>
  <si>
    <t>Q122</t>
  </si>
  <si>
    <t>Q222</t>
  </si>
  <si>
    <t>Q322</t>
  </si>
  <si>
    <t>Q422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</si>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</sst>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0" fontId="2" fillId="0" borderId="0" xfId="1"/>
    <xf numFmtId="2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9A5D7-927D-5D41-A138-B40AF24BB7E2}">
  <dimension ref="L3:N10"/>
  <sheetViews>
    <sheetView zoomScale="160" zoomScaleNormal="160" workbookViewId="0">
      <selection activeCell="C3" sqref="C3"/>
    </sheetView>
  </sheetViews>
  <sheetFormatPr baseColWidth="10" defaultRowHeight="16" x14ac:dyDescent="0.2"/>
  <sheetData>
    <row r="3" spans="12:14" x14ac:dyDescent="0.2">
      <c r="L3" s="1" t="s">
        <v>0</v>
      </c>
      <c r="M3">
        <v>60.7</v>
      </c>
    </row>
    <row r="4" spans="12:14" x14ac:dyDescent="0.2">
      <c r="L4" s="1" t="s">
        <v>1</v>
      </c>
      <c r="M4">
        <v>49.945</v>
      </c>
      <c r="N4" t="s">
        <v>7</v>
      </c>
    </row>
    <row r="5" spans="12:14" x14ac:dyDescent="0.2">
      <c r="L5" s="1" t="s">
        <v>2</v>
      </c>
      <c r="M5">
        <f>M4*M3</f>
        <v>3031.6615000000002</v>
      </c>
    </row>
    <row r="6" spans="12:14" x14ac:dyDescent="0.2">
      <c r="L6" s="1" t="s">
        <v>3</v>
      </c>
      <c r="M6">
        <v>696</v>
      </c>
      <c r="N6" t="s">
        <v>7</v>
      </c>
    </row>
    <row r="7" spans="12:14" x14ac:dyDescent="0.2">
      <c r="L7" s="1" t="s">
        <v>4</v>
      </c>
      <c r="M7">
        <v>0</v>
      </c>
      <c r="N7" t="s">
        <v>7</v>
      </c>
    </row>
    <row r="8" spans="12:14" x14ac:dyDescent="0.2">
      <c r="L8" s="1" t="s">
        <v>5</v>
      </c>
      <c r="M8">
        <f>M5-M6+M7</f>
        <v>2335.6615000000002</v>
      </c>
    </row>
    <row r="9" spans="12:14" x14ac:dyDescent="0.2">
      <c r="M9">
        <v>100</v>
      </c>
    </row>
    <row r="10" spans="12:14" x14ac:dyDescent="0.2">
      <c r="M10">
        <f>M8/M9</f>
        <v>23.356615000000001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3141-BE68-0F4A-BA03-A02129002FC0}">
  <dimension ref="A1:AL41"/>
  <sheetViews>
    <sheetView tabSelected="1" zoomScale="120" zoomScaleNormal="12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9" sqref="C49"/>
    </sheetView>
  </sheetViews>
  <sheetFormatPr baseColWidth="10" defaultRowHeight="16" x14ac:dyDescent="0.2"/>
  <cols>
    <col min="2" max="2" width="18.5" customWidth="1"/>
    <col min="3" max="3" width="11.5" customWidth="1"/>
    <col min="4" max="4" width="10" customWidth="1"/>
    <col min="5" max="5" width="8.6640625" customWidth="1"/>
    <col min="6" max="6" width="9" customWidth="1"/>
    <col min="8" max="16384" width="10.83203125" style="7"/>
  </cols>
  <sheetData>
    <row r="1" spans="1:38" customFormat="1" x14ac:dyDescent="0.2">
      <c r="A1" s="4" t="s">
        <v>22</v>
      </c>
    </row>
    <row r="2" spans="1:38" customFormat="1" x14ac:dyDescent="0.2"/>
    <row r="3" spans="1:38" x14ac:dyDescent="0.2">
      <c r="C3" t="s">
        <v>41</v>
      </c>
      <c r="D3" t="s">
        <v>42</v>
      </c>
      <c r="E3" t="s">
        <v>43</v>
      </c>
      <c r="F3" t="s">
        <v>44</v>
      </c>
      <c r="G3" t="s">
        <v>28</v>
      </c>
      <c r="H3" s="7" t="s">
        <v>29</v>
      </c>
      <c r="I3" s="7" t="s">
        <v>30</v>
      </c>
      <c r="J3" s="7" t="s">
        <v>7</v>
      </c>
      <c r="K3" s="7" t="s">
        <v>31</v>
      </c>
      <c r="L3" s="7" t="s">
        <v>32</v>
      </c>
      <c r="M3" s="7" t="s">
        <v>33</v>
      </c>
      <c r="N3" s="7" t="s">
        <v>6</v>
      </c>
      <c r="S3" s="7">
        <v>2021</v>
      </c>
      <c r="T3" s="7">
        <v>2022</v>
      </c>
      <c r="U3" s="7">
        <v>2023</v>
      </c>
      <c r="V3" s="7">
        <f>U3+1</f>
        <v>2024</v>
      </c>
      <c r="W3" s="7">
        <f t="shared" ref="W3:AL3" si="0">V3+1</f>
        <v>2025</v>
      </c>
      <c r="X3" s="7">
        <f t="shared" si="0"/>
        <v>2026</v>
      </c>
      <c r="Y3" s="7">
        <f t="shared" si="0"/>
        <v>2027</v>
      </c>
      <c r="Z3" s="7">
        <f t="shared" si="0"/>
        <v>2028</v>
      </c>
      <c r="AA3" s="7">
        <f t="shared" si="0"/>
        <v>2029</v>
      </c>
      <c r="AB3" s="7">
        <f t="shared" si="0"/>
        <v>2030</v>
      </c>
      <c r="AC3" s="7">
        <f t="shared" si="0"/>
        <v>2031</v>
      </c>
      <c r="AD3" s="7">
        <f t="shared" si="0"/>
        <v>2032</v>
      </c>
      <c r="AE3" s="7">
        <f t="shared" si="0"/>
        <v>2033</v>
      </c>
      <c r="AF3" s="7">
        <f t="shared" si="0"/>
        <v>2034</v>
      </c>
      <c r="AG3" s="7">
        <f t="shared" si="0"/>
        <v>2035</v>
      </c>
      <c r="AH3" s="7">
        <f t="shared" si="0"/>
        <v>2036</v>
      </c>
      <c r="AI3" s="7">
        <f t="shared" si="0"/>
        <v>2037</v>
      </c>
      <c r="AJ3" s="7">
        <f t="shared" si="0"/>
        <v>2038</v>
      </c>
      <c r="AK3" s="7">
        <f t="shared" si="0"/>
        <v>2039</v>
      </c>
      <c r="AL3" s="7">
        <f t="shared" si="0"/>
        <v>2040</v>
      </c>
    </row>
    <row r="4" spans="1:38" s="8" customFormat="1" x14ac:dyDescent="0.2">
      <c r="A4" s="2"/>
      <c r="B4" s="2" t="s">
        <v>9</v>
      </c>
      <c r="C4" s="2">
        <f>T4-D4-E4-F4</f>
        <v>123.22499999999997</v>
      </c>
      <c r="D4" s="8">
        <v>129.47499999999999</v>
      </c>
      <c r="E4" s="8">
        <v>133.126</v>
      </c>
      <c r="F4" s="8">
        <v>134.55099999999999</v>
      </c>
      <c r="G4" s="2">
        <f>U4-H4-I4-J4</f>
        <v>135.39400000000003</v>
      </c>
      <c r="H4" s="8">
        <v>140.43199999999999</v>
      </c>
      <c r="I4" s="8">
        <v>145.02699999999999</v>
      </c>
      <c r="J4" s="8">
        <v>148.34700000000001</v>
      </c>
      <c r="K4" s="8">
        <v>148.69999999999999</v>
      </c>
      <c r="L4" s="8">
        <f>K4*1.1</f>
        <v>163.57</v>
      </c>
      <c r="M4" s="8">
        <f t="shared" ref="M4:N5" si="1">L4*1.1</f>
        <v>179.92700000000002</v>
      </c>
      <c r="N4" s="8">
        <f t="shared" si="1"/>
        <v>197.91970000000003</v>
      </c>
      <c r="S4" s="8">
        <v>460.37200000000001</v>
      </c>
      <c r="T4" s="8">
        <v>520.37699999999995</v>
      </c>
      <c r="U4" s="8">
        <v>569.20000000000005</v>
      </c>
      <c r="V4" s="8">
        <f>U4*1.09</f>
        <v>620.42800000000011</v>
      </c>
    </row>
    <row r="5" spans="1:38" s="8" customFormat="1" x14ac:dyDescent="0.2">
      <c r="A5" s="2"/>
      <c r="B5" s="2" t="s">
        <v>10</v>
      </c>
      <c r="C5" s="2">
        <f>T5-D5-E5-F5</f>
        <v>82.242000000000004</v>
      </c>
      <c r="D5" s="8">
        <v>83.37</v>
      </c>
      <c r="E5" s="8">
        <v>83.012</v>
      </c>
      <c r="F5" s="8">
        <v>73.558000000000007</v>
      </c>
      <c r="G5" s="2">
        <f>U5-H5-I5-J5</f>
        <v>74.322000000000045</v>
      </c>
      <c r="H5" s="8">
        <v>83.442999999999998</v>
      </c>
      <c r="I5" s="8">
        <v>76.826999999999998</v>
      </c>
      <c r="J5" s="8">
        <v>77.89</v>
      </c>
      <c r="K5" s="8">
        <v>77.89</v>
      </c>
      <c r="L5" s="8">
        <f>K5*1.1</f>
        <v>85.679000000000002</v>
      </c>
      <c r="M5" s="8">
        <f t="shared" si="1"/>
        <v>94.246900000000011</v>
      </c>
      <c r="N5" s="8">
        <f t="shared" si="1"/>
        <v>103.67159000000002</v>
      </c>
      <c r="S5" s="8">
        <v>288.59699999999998</v>
      </c>
      <c r="T5" s="8">
        <v>322.18200000000002</v>
      </c>
      <c r="U5" s="8">
        <v>312.48200000000003</v>
      </c>
      <c r="V5" s="8">
        <f>U5*0.95</f>
        <v>296.85790000000003</v>
      </c>
    </row>
    <row r="6" spans="1:38" s="9" customFormat="1" x14ac:dyDescent="0.2">
      <c r="A6" s="3"/>
      <c r="B6" s="3" t="s">
        <v>8</v>
      </c>
      <c r="C6" s="9">
        <f>SUM(C4:C5)</f>
        <v>205.46699999999998</v>
      </c>
      <c r="D6" s="9">
        <f>SUM(D4:D5)</f>
        <v>212.845</v>
      </c>
      <c r="E6" s="9">
        <f>SUM(E4:E5)</f>
        <v>216.13800000000001</v>
      </c>
      <c r="F6" s="9">
        <f>SUM(F4:F5)</f>
        <v>208.10899999999998</v>
      </c>
      <c r="G6" s="9">
        <f>SUM(G4:G5)</f>
        <v>209.71600000000007</v>
      </c>
      <c r="H6" s="9">
        <f>SUM(H4:H5)</f>
        <v>223.875</v>
      </c>
      <c r="I6" s="9">
        <f>SUM(I4:I5)</f>
        <v>221.85399999999998</v>
      </c>
      <c r="J6" s="9">
        <f>SUM(J4:J5)</f>
        <v>226.23700000000002</v>
      </c>
      <c r="K6" s="9">
        <f>SUM(K4:K5)</f>
        <v>226.58999999999997</v>
      </c>
      <c r="L6" s="9">
        <f t="shared" ref="L6:N6" si="2">SUM(L4:L5)</f>
        <v>249.249</v>
      </c>
      <c r="M6" s="9">
        <f t="shared" si="2"/>
        <v>274.1739</v>
      </c>
      <c r="N6" s="9">
        <f t="shared" si="2"/>
        <v>301.59129000000007</v>
      </c>
      <c r="S6" s="9">
        <f>SUM(S4:S5)</f>
        <v>748.96900000000005</v>
      </c>
      <c r="T6" s="9">
        <f t="shared" ref="T6:V6" si="3">SUM(T4:T5)</f>
        <v>842.55899999999997</v>
      </c>
      <c r="U6" s="9">
        <f t="shared" si="3"/>
        <v>881.68200000000002</v>
      </c>
      <c r="V6" s="9">
        <f t="shared" si="3"/>
        <v>917.28590000000008</v>
      </c>
    </row>
    <row r="7" spans="1:38" s="8" customFormat="1" x14ac:dyDescent="0.2">
      <c r="A7" s="2"/>
      <c r="B7" s="2" t="s">
        <v>11</v>
      </c>
      <c r="C7" s="2">
        <f>S7-D7-E7-F7</f>
        <v>9.774999999999995</v>
      </c>
      <c r="D7" s="8">
        <v>18.667999999999999</v>
      </c>
      <c r="E7" s="8">
        <v>18.437000000000001</v>
      </c>
      <c r="F7" s="8">
        <v>19.878</v>
      </c>
      <c r="G7" s="2">
        <f>U7-H7-I7-J7</f>
        <v>19.583000000000002</v>
      </c>
      <c r="H7" s="8">
        <v>21.576000000000001</v>
      </c>
      <c r="I7" s="8">
        <v>21.917000000000002</v>
      </c>
      <c r="J7" s="8">
        <v>22.821999999999999</v>
      </c>
      <c r="K7" s="8">
        <f>K10/K4</f>
        <v>0</v>
      </c>
      <c r="S7" s="8">
        <v>66.757999999999996</v>
      </c>
      <c r="T7" s="8">
        <v>73.897000000000006</v>
      </c>
      <c r="U7" s="8">
        <v>85.897999999999996</v>
      </c>
    </row>
    <row r="8" spans="1:38" s="8" customFormat="1" x14ac:dyDescent="0.2">
      <c r="A8" s="2"/>
      <c r="B8" s="2" t="s">
        <v>12</v>
      </c>
      <c r="C8" s="2">
        <f>S8-D8-E8-F8</f>
        <v>43.649999999999991</v>
      </c>
      <c r="D8" s="8">
        <v>68.647999999999996</v>
      </c>
      <c r="E8" s="8">
        <v>67.149000000000001</v>
      </c>
      <c r="F8" s="8">
        <v>59.694000000000003</v>
      </c>
      <c r="G8" s="2">
        <f>U8-I8-H8-J8</f>
        <v>56.588999999999999</v>
      </c>
      <c r="H8" s="8">
        <v>64.790999999999997</v>
      </c>
      <c r="I8" s="8">
        <v>59.488</v>
      </c>
      <c r="J8" s="8">
        <v>58.393000000000001</v>
      </c>
      <c r="S8" s="8">
        <v>239.14099999999999</v>
      </c>
      <c r="T8" s="8">
        <v>268.68400000000003</v>
      </c>
      <c r="U8" s="8">
        <v>239.261</v>
      </c>
    </row>
    <row r="9" spans="1:38" s="8" customFormat="1" x14ac:dyDescent="0.2">
      <c r="A9" s="2"/>
      <c r="B9" s="3" t="s">
        <v>13</v>
      </c>
      <c r="C9" s="9">
        <f>SUM(C7:C8)</f>
        <v>53.424999999999983</v>
      </c>
      <c r="D9" s="9">
        <f>SUM(D7:D8)</f>
        <v>87.316000000000003</v>
      </c>
      <c r="E9" s="9">
        <f>SUM(E7:E8)</f>
        <v>85.585999999999999</v>
      </c>
      <c r="F9" s="9">
        <f>SUM(F7:F8)</f>
        <v>79.572000000000003</v>
      </c>
      <c r="G9" s="9">
        <f>SUM(G7:G8)</f>
        <v>76.171999999999997</v>
      </c>
      <c r="H9" s="9">
        <f>SUM(H7:H8)</f>
        <v>86.36699999999999</v>
      </c>
      <c r="I9" s="9">
        <f>SUM(I7:I8)</f>
        <v>81.405000000000001</v>
      </c>
      <c r="J9" s="9">
        <f>SUM(J7:J8)</f>
        <v>81.215000000000003</v>
      </c>
      <c r="K9" s="8">
        <f>K6-K12</f>
        <v>79.3065</v>
      </c>
      <c r="L9" s="8">
        <f t="shared" ref="L9:N9" si="4">L6-L12</f>
        <v>87.237149999999986</v>
      </c>
      <c r="M9" s="8">
        <f t="shared" si="4"/>
        <v>95.960864999999984</v>
      </c>
      <c r="N9" s="8">
        <f t="shared" si="4"/>
        <v>105.55695150000003</v>
      </c>
      <c r="S9" s="9">
        <f>SUM(S7:S8)</f>
        <v>305.899</v>
      </c>
      <c r="T9" s="9">
        <f t="shared" ref="T9:U9" si="5">SUM(T7:T8)</f>
        <v>342.58100000000002</v>
      </c>
      <c r="U9" s="9">
        <f t="shared" si="5"/>
        <v>325.15899999999999</v>
      </c>
    </row>
    <row r="10" spans="1:38" s="8" customFormat="1" x14ac:dyDescent="0.2">
      <c r="A10" s="2"/>
      <c r="B10" s="2" t="s">
        <v>14</v>
      </c>
      <c r="C10" s="8">
        <f>C4-C7</f>
        <v>113.44999999999997</v>
      </c>
      <c r="D10" s="8">
        <f>D4-D7</f>
        <v>110.80699999999999</v>
      </c>
      <c r="E10" s="8">
        <f>E4-E7</f>
        <v>114.68900000000001</v>
      </c>
      <c r="F10" s="8">
        <f>F4-F7</f>
        <v>114.67299999999999</v>
      </c>
      <c r="G10" s="8">
        <f>G4-G7</f>
        <v>115.81100000000004</v>
      </c>
      <c r="H10" s="8">
        <f>H4-H7</f>
        <v>118.85599999999999</v>
      </c>
      <c r="I10" s="8">
        <f>I4-I7</f>
        <v>123.10999999999999</v>
      </c>
      <c r="J10" s="8">
        <f>J4-J7</f>
        <v>125.52500000000001</v>
      </c>
      <c r="S10" s="8">
        <f>S4-S7</f>
        <v>393.61400000000003</v>
      </c>
      <c r="T10" s="8">
        <f t="shared" ref="T10:U10" si="6">T4-T7</f>
        <v>446.47999999999996</v>
      </c>
      <c r="U10" s="8">
        <f t="shared" si="6"/>
        <v>483.30200000000002</v>
      </c>
    </row>
    <row r="11" spans="1:38" s="8" customFormat="1" x14ac:dyDescent="0.2">
      <c r="A11" s="2"/>
      <c r="B11" s="2" t="s">
        <v>15</v>
      </c>
      <c r="C11" s="8">
        <f>C5-C8</f>
        <v>38.592000000000013</v>
      </c>
      <c r="D11" s="8">
        <f>D5-D8</f>
        <v>14.722000000000008</v>
      </c>
      <c r="E11" s="8">
        <f>E5-E8</f>
        <v>15.863</v>
      </c>
      <c r="F11" s="8">
        <f>F5-F8</f>
        <v>13.864000000000004</v>
      </c>
      <c r="G11" s="8">
        <f>G5-G8</f>
        <v>17.733000000000047</v>
      </c>
      <c r="H11" s="8">
        <f>H5-H8</f>
        <v>18.652000000000001</v>
      </c>
      <c r="I11" s="8">
        <f>I5-I8</f>
        <v>17.338999999999999</v>
      </c>
      <c r="J11" s="8">
        <f>J5-J8</f>
        <v>19.497</v>
      </c>
      <c r="S11" s="8">
        <f>S5-S8</f>
        <v>49.455999999999989</v>
      </c>
      <c r="T11" s="8">
        <f>T5-T8</f>
        <v>53.49799999999999</v>
      </c>
      <c r="U11" s="8">
        <f>U5-U8</f>
        <v>73.221000000000032</v>
      </c>
    </row>
    <row r="12" spans="1:38" s="10" customFormat="1" x14ac:dyDescent="0.2">
      <c r="A12" s="1"/>
      <c r="B12" s="3" t="s">
        <v>35</v>
      </c>
      <c r="C12" s="9">
        <f>SUM(C10:C11)</f>
        <v>152.04199999999997</v>
      </c>
      <c r="D12" s="9">
        <f>SUM(D10:D11)</f>
        <v>125.529</v>
      </c>
      <c r="E12" s="9">
        <f>SUM(E10:E11)</f>
        <v>130.55200000000002</v>
      </c>
      <c r="F12" s="9">
        <f>SUM(F10:F11)</f>
        <v>128.53699999999998</v>
      </c>
      <c r="G12" s="9">
        <f>SUM(G10:G11)</f>
        <v>133.5440000000001</v>
      </c>
      <c r="H12" s="9">
        <f>SUM(H10:H11)</f>
        <v>137.50799999999998</v>
      </c>
      <c r="I12" s="9">
        <f>SUM(I10:I11)</f>
        <v>140.44899999999998</v>
      </c>
      <c r="J12" s="9">
        <f>SUM(J10:J11)</f>
        <v>145.02199999999999</v>
      </c>
      <c r="K12" s="10">
        <f>K6*0.65</f>
        <v>147.28349999999998</v>
      </c>
      <c r="L12" s="10">
        <f t="shared" ref="L12:N12" si="7">L6*0.65</f>
        <v>162.01185000000001</v>
      </c>
      <c r="M12" s="10">
        <f t="shared" si="7"/>
        <v>178.21303500000002</v>
      </c>
      <c r="N12" s="10">
        <f t="shared" si="7"/>
        <v>196.03433850000005</v>
      </c>
      <c r="S12" s="9">
        <f>SUM(S10:S11)</f>
        <v>443.07000000000005</v>
      </c>
      <c r="T12" s="9">
        <f t="shared" ref="T12:U12" si="8">SUM(T10:T11)</f>
        <v>499.97799999999995</v>
      </c>
      <c r="U12" s="9">
        <f t="shared" si="8"/>
        <v>556.52300000000002</v>
      </c>
      <c r="V12" s="9">
        <f>V6*0.64</f>
        <v>587.06297600000005</v>
      </c>
    </row>
    <row r="13" spans="1:38" s="8" customFormat="1" x14ac:dyDescent="0.2">
      <c r="A13" s="2"/>
      <c r="B13" s="2" t="s">
        <v>17</v>
      </c>
      <c r="C13" s="2">
        <f>S13-D13-E13-F13</f>
        <v>17.108000000000008</v>
      </c>
      <c r="D13" s="8">
        <v>22.933</v>
      </c>
      <c r="E13" s="8">
        <v>23.056999999999999</v>
      </c>
      <c r="F13" s="8">
        <v>23.565999999999999</v>
      </c>
      <c r="G13" s="2">
        <f>U13-H13-I13-J13</f>
        <v>26.645000000000003</v>
      </c>
      <c r="H13" s="8">
        <v>23.771999999999998</v>
      </c>
      <c r="I13" s="8">
        <v>23.861000000000001</v>
      </c>
      <c r="J13" s="8">
        <v>25.948</v>
      </c>
      <c r="K13" s="8">
        <f>J13*1.05</f>
        <v>27.2454</v>
      </c>
      <c r="L13" s="8">
        <f t="shared" ref="L13:N15" si="9">K13*1.05</f>
        <v>28.607670000000002</v>
      </c>
      <c r="M13" s="8">
        <f t="shared" si="9"/>
        <v>30.038053500000004</v>
      </c>
      <c r="N13" s="8">
        <f t="shared" si="9"/>
        <v>31.539956175000004</v>
      </c>
      <c r="S13" s="8">
        <v>86.664000000000001</v>
      </c>
      <c r="T13" s="8">
        <v>92.748000000000005</v>
      </c>
      <c r="U13" s="8">
        <v>100.226</v>
      </c>
      <c r="V13" s="8">
        <f>U13*1.06</f>
        <v>106.23956</v>
      </c>
    </row>
    <row r="14" spans="1:38" s="8" customFormat="1" x14ac:dyDescent="0.2">
      <c r="A14" s="2"/>
      <c r="B14" s="2" t="s">
        <v>18</v>
      </c>
      <c r="C14" s="2">
        <f t="shared" ref="C14:C15" si="10">S14-D14-E14-F14</f>
        <v>4.7120000000000104</v>
      </c>
      <c r="D14" s="8">
        <v>29.309000000000001</v>
      </c>
      <c r="E14" s="8">
        <v>28.010999999999999</v>
      </c>
      <c r="F14" s="8">
        <v>25.373999999999999</v>
      </c>
      <c r="G14" s="2">
        <f t="shared" ref="G14:G15" si="11">U14-H14-I14-J14</f>
        <v>28.499000000000002</v>
      </c>
      <c r="H14" s="8">
        <v>28.798999999999999</v>
      </c>
      <c r="I14" s="8">
        <v>31.454999999999998</v>
      </c>
      <c r="J14" s="8">
        <v>24.177</v>
      </c>
      <c r="K14" s="8">
        <f>J14*1.05</f>
        <v>25.385850000000001</v>
      </c>
      <c r="L14" s="8">
        <f t="shared" si="9"/>
        <v>26.655142500000004</v>
      </c>
      <c r="M14" s="8">
        <f t="shared" si="9"/>
        <v>27.987899625000004</v>
      </c>
      <c r="N14" s="8">
        <f t="shared" si="9"/>
        <v>29.387294606250006</v>
      </c>
      <c r="S14" s="8">
        <v>87.406000000000006</v>
      </c>
      <c r="T14" s="8">
        <v>106.688</v>
      </c>
      <c r="U14" s="8">
        <v>112.93</v>
      </c>
      <c r="V14" s="8">
        <f>U14*1.05</f>
        <v>118.57650000000001</v>
      </c>
    </row>
    <row r="15" spans="1:38" s="8" customFormat="1" x14ac:dyDescent="0.2">
      <c r="A15" s="2"/>
      <c r="B15" s="2" t="s">
        <v>19</v>
      </c>
      <c r="C15" s="2">
        <f t="shared" si="10"/>
        <v>10.567999999999984</v>
      </c>
      <c r="D15" s="8">
        <v>54.155999999999999</v>
      </c>
      <c r="E15" s="8">
        <v>55.581000000000003</v>
      </c>
      <c r="F15" s="8">
        <v>57.408000000000001</v>
      </c>
      <c r="G15" s="2">
        <f t="shared" si="11"/>
        <v>61.907999999999987</v>
      </c>
      <c r="H15" s="8">
        <v>60.917999999999999</v>
      </c>
      <c r="I15" s="8">
        <v>61.014000000000003</v>
      </c>
      <c r="J15" s="8">
        <v>61.274000000000001</v>
      </c>
      <c r="K15" s="8">
        <f>J15*1.05</f>
        <v>64.337699999999998</v>
      </c>
      <c r="L15" s="8">
        <f t="shared" si="9"/>
        <v>67.554585000000003</v>
      </c>
      <c r="M15" s="8">
        <f t="shared" si="9"/>
        <v>70.932314250000005</v>
      </c>
      <c r="N15" s="8">
        <f t="shared" si="9"/>
        <v>74.478929962500004</v>
      </c>
      <c r="S15" s="8">
        <v>177.71299999999999</v>
      </c>
      <c r="T15" s="8">
        <v>218.63499999999999</v>
      </c>
      <c r="U15" s="8">
        <v>245.114</v>
      </c>
      <c r="V15" s="8">
        <f>U15*1.01</f>
        <v>247.56514000000001</v>
      </c>
    </row>
    <row r="16" spans="1:38" s="10" customFormat="1" x14ac:dyDescent="0.2">
      <c r="A16" s="1"/>
      <c r="B16" s="3" t="s">
        <v>20</v>
      </c>
      <c r="C16" s="9">
        <f>SUM(C13:C15)</f>
        <v>32.388000000000005</v>
      </c>
      <c r="D16" s="9">
        <f>SUM(D13:D15)</f>
        <v>106.398</v>
      </c>
      <c r="E16" s="9">
        <f>SUM(E13:E15)</f>
        <v>106.649</v>
      </c>
      <c r="F16" s="9">
        <f>SUM(F13:F15)</f>
        <v>106.348</v>
      </c>
      <c r="G16" s="9">
        <f>SUM(G13:G15)</f>
        <v>117.05199999999999</v>
      </c>
      <c r="H16" s="9">
        <f>SUM(H13:H15)</f>
        <v>113.489</v>
      </c>
      <c r="I16" s="9">
        <f>SUM(I13:I15)</f>
        <v>116.33000000000001</v>
      </c>
      <c r="J16" s="9">
        <f>SUM(J13:J15)</f>
        <v>111.399</v>
      </c>
      <c r="K16" s="9">
        <f t="shared" ref="K16:N16" si="12">SUM(K13:K15)</f>
        <v>116.96895000000001</v>
      </c>
      <c r="L16" s="9">
        <f t="shared" si="12"/>
        <v>122.81739750000001</v>
      </c>
      <c r="M16" s="9">
        <f t="shared" si="12"/>
        <v>128.95826737500002</v>
      </c>
      <c r="N16" s="9">
        <f t="shared" si="12"/>
        <v>135.40618074375001</v>
      </c>
      <c r="S16" s="9">
        <f>SUM(S13:S15)</f>
        <v>351.78300000000002</v>
      </c>
      <c r="T16" s="9">
        <f>SUM(T13:T15)</f>
        <v>418.07100000000003</v>
      </c>
      <c r="U16" s="9">
        <f>SUM(U13:U15)</f>
        <v>458.27</v>
      </c>
      <c r="V16" s="9">
        <f>SUM(V13:V15)</f>
        <v>472.38120000000004</v>
      </c>
    </row>
    <row r="17" spans="1:22" s="10" customFormat="1" x14ac:dyDescent="0.2">
      <c r="A17" s="1"/>
      <c r="B17" s="3" t="s">
        <v>21</v>
      </c>
      <c r="C17" s="9">
        <f>C12-C16</f>
        <v>119.65399999999997</v>
      </c>
      <c r="D17" s="9">
        <f>D12-D16</f>
        <v>19.131</v>
      </c>
      <c r="E17" s="9">
        <f>E12-E16</f>
        <v>23.90300000000002</v>
      </c>
      <c r="F17" s="9">
        <f>F12-F16</f>
        <v>22.188999999999979</v>
      </c>
      <c r="G17" s="9">
        <f>G12-G16</f>
        <v>16.492000000000104</v>
      </c>
      <c r="H17" s="9">
        <f>H12-H16</f>
        <v>24.018999999999977</v>
      </c>
      <c r="I17" s="9">
        <f>I12-I16</f>
        <v>24.118999999999971</v>
      </c>
      <c r="J17" s="9">
        <f>J12-J16</f>
        <v>33.62299999999999</v>
      </c>
      <c r="K17" s="9">
        <f t="shared" ref="K17:N17" si="13">K12-K16</f>
        <v>30.314549999999969</v>
      </c>
      <c r="L17" s="9">
        <f t="shared" si="13"/>
        <v>39.194452499999997</v>
      </c>
      <c r="M17" s="9">
        <f t="shared" si="13"/>
        <v>49.254767624999999</v>
      </c>
      <c r="N17" s="9">
        <f t="shared" si="13"/>
        <v>60.628157756250033</v>
      </c>
      <c r="S17" s="9">
        <f>S12-S16</f>
        <v>91.287000000000035</v>
      </c>
      <c r="T17" s="9">
        <f>T12-T16</f>
        <v>81.906999999999925</v>
      </c>
      <c r="U17" s="9">
        <f>U12-U16</f>
        <v>98.253000000000043</v>
      </c>
      <c r="V17" s="9">
        <f>V12-V16</f>
        <v>114.68177600000001</v>
      </c>
    </row>
    <row r="18" spans="1:22" x14ac:dyDescent="0.2">
      <c r="B18" s="2" t="s">
        <v>26</v>
      </c>
      <c r="C18" s="2">
        <f>S18-D18-E18-F18</f>
        <v>-22.682999999999996</v>
      </c>
      <c r="D18" s="7">
        <f>-0.785+1.106+0.105</f>
        <v>0.42600000000000005</v>
      </c>
      <c r="E18" s="7">
        <f>-0.787+2.903-0.076</f>
        <v>2.04</v>
      </c>
      <c r="F18" s="7">
        <f>-0.788+4.697-0.101</f>
        <v>3.8079999999999998</v>
      </c>
      <c r="G18" s="2">
        <f>U18-H18-I18-J18</f>
        <v>4.1659999999999986</v>
      </c>
      <c r="H18" s="7">
        <f>-0.827+7.417-0.631</f>
        <v>5.9589999999999996</v>
      </c>
      <c r="I18" s="7">
        <f>-0.906+8.493-0.435</f>
        <v>7.152000000000001</v>
      </c>
      <c r="J18" s="7">
        <f>8.709-0.828+5.838</f>
        <v>13.718999999999999</v>
      </c>
      <c r="K18" s="7">
        <v>1.5</v>
      </c>
      <c r="L18" s="7">
        <v>1.5</v>
      </c>
      <c r="M18" s="7">
        <v>1.5</v>
      </c>
      <c r="N18" s="7">
        <v>1.5</v>
      </c>
      <c r="S18" s="8">
        <f>-15.956-0.587+0.134</f>
        <v>-16.408999999999999</v>
      </c>
      <c r="T18" s="8">
        <f>-3.144+8.759-0.059</f>
        <v>5.556</v>
      </c>
      <c r="U18" s="8">
        <f>-3.429+29.801+4.624</f>
        <v>30.995999999999999</v>
      </c>
      <c r="V18" s="7">
        <v>30</v>
      </c>
    </row>
    <row r="19" spans="1:22" s="8" customFormat="1" x14ac:dyDescent="0.2">
      <c r="A19" s="2"/>
      <c r="B19" s="2" t="s">
        <v>23</v>
      </c>
      <c r="C19" s="8">
        <f>C17+C18</f>
        <v>96.970999999999975</v>
      </c>
      <c r="D19" s="8">
        <f>D17+D18</f>
        <v>19.556999999999999</v>
      </c>
      <c r="E19" s="8">
        <f>E17+E18</f>
        <v>25.943000000000019</v>
      </c>
      <c r="F19" s="8">
        <f>F17+F18</f>
        <v>25.996999999999979</v>
      </c>
      <c r="G19" s="8">
        <f>G17+G18</f>
        <v>20.658000000000101</v>
      </c>
      <c r="H19" s="8">
        <f>H17+H18</f>
        <v>29.977999999999977</v>
      </c>
      <c r="I19" s="8">
        <f>I17+I18</f>
        <v>31.270999999999972</v>
      </c>
      <c r="J19" s="8">
        <f>J17+J18</f>
        <v>47.341999999999992</v>
      </c>
      <c r="K19" s="8">
        <f t="shared" ref="K19:N19" si="14">K17+K18</f>
        <v>31.814549999999969</v>
      </c>
      <c r="L19" s="8">
        <f t="shared" si="14"/>
        <v>40.694452499999997</v>
      </c>
      <c r="M19" s="8">
        <f t="shared" si="14"/>
        <v>50.754767624999999</v>
      </c>
      <c r="N19" s="8">
        <f t="shared" si="14"/>
        <v>62.128157756250033</v>
      </c>
      <c r="S19" s="8">
        <f>S17+S18</f>
        <v>74.878000000000043</v>
      </c>
      <c r="T19" s="8">
        <f t="shared" ref="T19:V19" si="15">T17+T18</f>
        <v>87.462999999999923</v>
      </c>
      <c r="U19" s="8">
        <f t="shared" si="15"/>
        <v>129.24900000000005</v>
      </c>
      <c r="V19" s="8">
        <f t="shared" si="15"/>
        <v>144.68177600000001</v>
      </c>
    </row>
    <row r="20" spans="1:22" s="8" customFormat="1" x14ac:dyDescent="0.2">
      <c r="A20" s="2"/>
      <c r="B20" s="2" t="s">
        <v>24</v>
      </c>
      <c r="C20" s="2">
        <f>S20-D20-E20-F20</f>
        <v>-6.6859999999999999</v>
      </c>
      <c r="D20" s="8">
        <v>0.84399999999999997</v>
      </c>
      <c r="E20" s="8">
        <v>0.246</v>
      </c>
      <c r="F20" s="8">
        <v>0.49</v>
      </c>
      <c r="G20" s="2">
        <f>U20-H20-I20-J20</f>
        <v>-1.2219999999999995</v>
      </c>
      <c r="H20" s="8">
        <v>6.5069999999999997</v>
      </c>
      <c r="I20" s="8">
        <v>3.972</v>
      </c>
      <c r="J20" s="8">
        <v>8.2279999999999998</v>
      </c>
      <c r="K20" s="8">
        <f>K19*0.2</f>
        <v>6.3629099999999941</v>
      </c>
      <c r="L20" s="8">
        <f t="shared" ref="L20:N20" si="16">L19*0.2</f>
        <v>8.1388905000000005</v>
      </c>
      <c r="M20" s="8">
        <f t="shared" si="16"/>
        <v>10.150953525</v>
      </c>
      <c r="N20" s="8">
        <f t="shared" si="16"/>
        <v>12.425631551250007</v>
      </c>
      <c r="S20" s="8">
        <v>-5.1059999999999999</v>
      </c>
      <c r="T20" s="8">
        <v>0.96199999999999997</v>
      </c>
      <c r="U20" s="8">
        <v>17.484999999999999</v>
      </c>
      <c r="V20" s="8">
        <f>V19*0.3</f>
        <v>43.404532800000005</v>
      </c>
    </row>
    <row r="21" spans="1:22" s="9" customFormat="1" x14ac:dyDescent="0.2">
      <c r="A21" s="3"/>
      <c r="B21" s="3" t="s">
        <v>25</v>
      </c>
      <c r="C21" s="9">
        <f>C19-C20</f>
        <v>103.65699999999998</v>
      </c>
      <c r="D21" s="9">
        <f>D19-D20</f>
        <v>18.712999999999997</v>
      </c>
      <c r="E21" s="9">
        <f>E19-E20</f>
        <v>25.69700000000002</v>
      </c>
      <c r="F21" s="9">
        <f>F19-F20</f>
        <v>25.50699999999998</v>
      </c>
      <c r="G21" s="9">
        <f>G19-G20</f>
        <v>21.880000000000102</v>
      </c>
      <c r="H21" s="9">
        <f>H19-H20</f>
        <v>23.470999999999975</v>
      </c>
      <c r="I21" s="9">
        <f>I19-I20</f>
        <v>27.298999999999971</v>
      </c>
      <c r="J21" s="9">
        <f>J19-J20</f>
        <v>39.11399999999999</v>
      </c>
      <c r="K21" s="9">
        <f t="shared" ref="K21:N21" si="17">K19-K20</f>
        <v>25.451639999999976</v>
      </c>
      <c r="L21" s="9">
        <f t="shared" si="17"/>
        <v>32.555561999999995</v>
      </c>
      <c r="M21" s="9">
        <f t="shared" si="17"/>
        <v>40.603814100000001</v>
      </c>
      <c r="N21" s="9">
        <f t="shared" si="17"/>
        <v>49.702526205000026</v>
      </c>
      <c r="S21" s="9">
        <f>S19-S20</f>
        <v>79.984000000000037</v>
      </c>
      <c r="T21" s="9">
        <f t="shared" ref="T21:V21" si="18">T19-T20</f>
        <v>86.50099999999992</v>
      </c>
      <c r="U21" s="9">
        <f t="shared" si="18"/>
        <v>111.76400000000005</v>
      </c>
      <c r="V21" s="9">
        <f t="shared" si="18"/>
        <v>101.27724320000002</v>
      </c>
    </row>
    <row r="22" spans="1:22" x14ac:dyDescent="0.2">
      <c r="B22" s="2" t="s">
        <v>1</v>
      </c>
      <c r="C22" s="7">
        <v>51.981900000000003</v>
      </c>
      <c r="D22" s="11">
        <v>54.756999999999998</v>
      </c>
      <c r="E22" s="11">
        <v>54.832000000000001</v>
      </c>
      <c r="F22" s="11">
        <v>54.533999999999999</v>
      </c>
      <c r="G22" s="7">
        <v>54.625</v>
      </c>
      <c r="H22" s="11">
        <v>54.445999999999998</v>
      </c>
      <c r="I22" s="11">
        <v>54.777999999999999</v>
      </c>
      <c r="J22" s="11">
        <v>54.710999999999999</v>
      </c>
      <c r="K22" s="11">
        <v>54.710999999999999</v>
      </c>
      <c r="L22" s="11">
        <v>54.710999999999999</v>
      </c>
      <c r="M22" s="11">
        <v>54.710999999999999</v>
      </c>
      <c r="N22" s="11">
        <v>54.710999999999999</v>
      </c>
      <c r="S22" s="7">
        <v>51.981900000000003</v>
      </c>
      <c r="T22" s="7">
        <v>54.932000000000002</v>
      </c>
      <c r="U22" s="7">
        <v>54.625</v>
      </c>
      <c r="V22" s="8">
        <f>+U22+V21</f>
        <v>155.90224320000002</v>
      </c>
    </row>
    <row r="23" spans="1:22" s="11" customFormat="1" x14ac:dyDescent="0.2">
      <c r="A23" s="5"/>
      <c r="B23" s="5" t="s">
        <v>27</v>
      </c>
      <c r="C23" s="11">
        <f>C21/C22</f>
        <v>1.994097945631075</v>
      </c>
      <c r="D23" s="11">
        <f>D21/D22</f>
        <v>0.34174626075204995</v>
      </c>
      <c r="E23" s="11">
        <f>E21/E22</f>
        <v>0.46864969360957143</v>
      </c>
      <c r="F23" s="11">
        <f>F21/F22</f>
        <v>0.46772655591007412</v>
      </c>
      <c r="G23" s="11">
        <f>G21/G22</f>
        <v>0.40054919908467007</v>
      </c>
      <c r="H23" s="11">
        <f>H21/H22</f>
        <v>0.43108768320905072</v>
      </c>
      <c r="I23" s="11">
        <f>I21/I22</f>
        <v>0.49835700463689753</v>
      </c>
      <c r="J23" s="11">
        <f>J21/J22</f>
        <v>0.71492021714097698</v>
      </c>
      <c r="K23" s="11">
        <f t="shared" ref="K23:N23" si="19">K21/K22</f>
        <v>0.46520151340680993</v>
      </c>
      <c r="L23" s="11">
        <f t="shared" si="19"/>
        <v>0.59504600537369079</v>
      </c>
      <c r="M23" s="11">
        <f t="shared" si="19"/>
        <v>0.74215083072873833</v>
      </c>
      <c r="N23" s="11">
        <f t="shared" si="19"/>
        <v>0.90845581702034373</v>
      </c>
      <c r="S23" s="11">
        <f>S21/S22</f>
        <v>1.5386894284356676</v>
      </c>
      <c r="T23" s="11">
        <f t="shared" ref="T23:V23" si="20">T21/T22</f>
        <v>1.5746923469016223</v>
      </c>
      <c r="U23" s="11">
        <f t="shared" si="20"/>
        <v>2.0460228832951954</v>
      </c>
      <c r="V23" s="11">
        <f t="shared" si="20"/>
        <v>0.6496201794227936</v>
      </c>
    </row>
    <row r="25" spans="1:22" x14ac:dyDescent="0.2">
      <c r="B25" t="s">
        <v>34</v>
      </c>
      <c r="H25" s="12">
        <f>H6/D6-1</f>
        <v>5.182174822053609E-2</v>
      </c>
      <c r="I25" s="12">
        <f>I6/E6-1</f>
        <v>2.64460668646882E-2</v>
      </c>
      <c r="J25" s="12">
        <f>J6/F6-1</f>
        <v>8.7108198107722634E-2</v>
      </c>
      <c r="K25" s="12">
        <f>K6/G6-1</f>
        <v>8.0461195140093755E-2</v>
      </c>
      <c r="L25" s="12">
        <f t="shared" ref="L25:N25" si="21">L6/H6-1</f>
        <v>0.11334003350083743</v>
      </c>
      <c r="M25" s="12">
        <f t="shared" si="21"/>
        <v>0.23583032084163458</v>
      </c>
      <c r="N25" s="12">
        <f t="shared" si="21"/>
        <v>0.33307677347206699</v>
      </c>
      <c r="S25" s="12"/>
      <c r="T25" s="12">
        <f>T6/S6-1</f>
        <v>0.12495844287280233</v>
      </c>
      <c r="U25" s="12">
        <f>U6/T6-1</f>
        <v>4.643354352632878E-2</v>
      </c>
      <c r="V25" s="12">
        <f>V6/U6-1</f>
        <v>4.0381792982050246E-2</v>
      </c>
    </row>
    <row r="26" spans="1:22" x14ac:dyDescent="0.2">
      <c r="B26" t="s">
        <v>37</v>
      </c>
      <c r="H26" s="12">
        <f>H13/D13-1</f>
        <v>3.6584834081890616E-2</v>
      </c>
      <c r="I26" s="12">
        <f>I13/E13-1</f>
        <v>3.4870104523572198E-2</v>
      </c>
      <c r="J26" s="12">
        <f>J13/F13-1</f>
        <v>0.10107782398370535</v>
      </c>
      <c r="K26" s="12">
        <f>K13/G13-1</f>
        <v>2.2533308313004152E-2</v>
      </c>
      <c r="L26" s="12">
        <f t="shared" ref="L26:N28" si="22">L13/H13-1</f>
        <v>0.20341872791519444</v>
      </c>
      <c r="M26" s="12">
        <f t="shared" si="22"/>
        <v>0.25887655588617431</v>
      </c>
      <c r="N26" s="12">
        <f t="shared" si="22"/>
        <v>0.21550625000000023</v>
      </c>
      <c r="S26" s="12"/>
      <c r="T26" s="12">
        <f>T13/S13-1</f>
        <v>7.0202160066463515E-2</v>
      </c>
      <c r="U26" s="12">
        <f t="shared" ref="U26:V26" si="23">U13/T13-1</f>
        <v>8.0627075516453095E-2</v>
      </c>
      <c r="V26" s="12">
        <f t="shared" si="23"/>
        <v>6.0000000000000053E-2</v>
      </c>
    </row>
    <row r="27" spans="1:22" x14ac:dyDescent="0.2">
      <c r="B27" t="s">
        <v>38</v>
      </c>
      <c r="H27" s="12">
        <f t="shared" ref="G27:K28" si="24">H14/D14-1</f>
        <v>-1.7400798389573202E-2</v>
      </c>
      <c r="I27" s="12">
        <f t="shared" si="24"/>
        <v>0.1229516975473921</v>
      </c>
      <c r="J27" s="12">
        <f t="shared" si="24"/>
        <v>-4.7174272877748891E-2</v>
      </c>
      <c r="K27" s="12">
        <f t="shared" si="24"/>
        <v>-0.10923716621635848</v>
      </c>
      <c r="L27" s="12">
        <f t="shared" si="22"/>
        <v>-7.4442081322268039E-2</v>
      </c>
      <c r="M27" s="12">
        <f t="shared" si="22"/>
        <v>-0.11022414163090111</v>
      </c>
      <c r="N27" s="12">
        <f t="shared" si="22"/>
        <v>0.21550625000000023</v>
      </c>
      <c r="S27" s="12"/>
      <c r="T27" s="12">
        <f>T14/S14-1</f>
        <v>0.22060270461982001</v>
      </c>
      <c r="U27" s="12">
        <f t="shared" ref="U27:V27" si="25">U14/T14-1</f>
        <v>5.8507048590281885E-2</v>
      </c>
      <c r="V27" s="12">
        <f t="shared" si="25"/>
        <v>5.0000000000000044E-2</v>
      </c>
    </row>
    <row r="28" spans="1:22" x14ac:dyDescent="0.2">
      <c r="B28" t="s">
        <v>39</v>
      </c>
      <c r="H28" s="12">
        <f t="shared" si="24"/>
        <v>0.12486151118989586</v>
      </c>
      <c r="I28" s="12">
        <f t="shared" si="24"/>
        <v>9.7749230852269609E-2</v>
      </c>
      <c r="J28" s="12">
        <f t="shared" si="24"/>
        <v>6.7342530657747979E-2</v>
      </c>
      <c r="K28" s="12">
        <f t="shared" si="24"/>
        <v>3.9246947082768102E-2</v>
      </c>
      <c r="L28" s="12">
        <f t="shared" si="22"/>
        <v>0.1089429232739092</v>
      </c>
      <c r="M28" s="12">
        <f t="shared" si="22"/>
        <v>0.1625580071786803</v>
      </c>
      <c r="N28" s="12">
        <f t="shared" si="22"/>
        <v>0.21550625000000001</v>
      </c>
      <c r="S28" s="12"/>
      <c r="T28" s="12">
        <f t="shared" ref="T28:U28" si="26">T15/S15-1</f>
        <v>0.23027015468761425</v>
      </c>
      <c r="U28" s="12">
        <f t="shared" si="26"/>
        <v>0.12111052667688171</v>
      </c>
      <c r="V28" s="12">
        <f>V15/U15-1</f>
        <v>1.0000000000000009E-2</v>
      </c>
    </row>
    <row r="29" spans="1:22" x14ac:dyDescent="0.2">
      <c r="B29" t="s">
        <v>40</v>
      </c>
      <c r="H29" s="12">
        <f>H21/D21-1</f>
        <v>0.25426174317319394</v>
      </c>
      <c r="I29" s="12">
        <f>I21/E21-1</f>
        <v>6.2341907615673042E-2</v>
      </c>
      <c r="J29" s="12">
        <f>J21/F21-1</f>
        <v>0.53346140275218645</v>
      </c>
      <c r="K29" s="12">
        <f>K21/G21-1</f>
        <v>0.16323765996343043</v>
      </c>
      <c r="L29" s="12">
        <f t="shared" ref="L29:N29" si="27">L21/H21-1</f>
        <v>0.3870547484129363</v>
      </c>
      <c r="M29" s="12">
        <f t="shared" si="27"/>
        <v>0.48737368035459339</v>
      </c>
      <c r="N29" s="12">
        <f t="shared" si="27"/>
        <v>0.27070936761773368</v>
      </c>
      <c r="S29" s="12"/>
      <c r="T29" s="12">
        <f>T21/S21-1</f>
        <v>8.1478795759150291E-2</v>
      </c>
      <c r="U29" s="12">
        <f t="shared" ref="U29:V29" si="28">U21/T21-1</f>
        <v>0.29205442711645135</v>
      </c>
      <c r="V29" s="12">
        <f t="shared" si="28"/>
        <v>-9.3829469238753349E-2</v>
      </c>
    </row>
    <row r="30" spans="1:22" x14ac:dyDescent="0.2">
      <c r="S30" s="12"/>
      <c r="T30" s="12"/>
      <c r="U30" s="12"/>
      <c r="V30" s="12"/>
    </row>
    <row r="31" spans="1:22" x14ac:dyDescent="0.2">
      <c r="S31" s="12"/>
      <c r="T31" s="12"/>
      <c r="U31" s="12"/>
      <c r="V31" s="12"/>
    </row>
    <row r="32" spans="1:22" x14ac:dyDescent="0.2">
      <c r="B32" t="s">
        <v>16</v>
      </c>
      <c r="C32" s="12">
        <f>C12/C6</f>
        <v>0.73998257627745567</v>
      </c>
      <c r="D32" s="12">
        <f>D12/D6</f>
        <v>0.58976720148464845</v>
      </c>
      <c r="E32" s="12">
        <f>E12/E6</f>
        <v>0.60402150477935401</v>
      </c>
      <c r="F32" s="12">
        <f>F12/F6</f>
        <v>0.61764267763527758</v>
      </c>
      <c r="G32" s="12">
        <f>G12/G6</f>
        <v>0.63678498540883888</v>
      </c>
      <c r="H32" s="12">
        <f>H12/H6</f>
        <v>0.61421775544388602</v>
      </c>
      <c r="I32" s="12">
        <f>I12/I6</f>
        <v>0.63306949615512897</v>
      </c>
      <c r="J32" s="12">
        <f>J12/J6</f>
        <v>0.64101804744582003</v>
      </c>
      <c r="K32" s="12">
        <f t="shared" ref="K32:N32" si="29">K12/K6</f>
        <v>0.64999999999999991</v>
      </c>
      <c r="L32" s="12">
        <f t="shared" si="29"/>
        <v>0.65</v>
      </c>
      <c r="M32" s="12">
        <f t="shared" si="29"/>
        <v>0.65</v>
      </c>
      <c r="N32" s="12">
        <f t="shared" si="29"/>
        <v>0.65</v>
      </c>
      <c r="S32" s="12">
        <f>S12/S6</f>
        <v>0.59157321598090173</v>
      </c>
      <c r="T32" s="12">
        <f t="shared" ref="T32:U32" si="30">T12/T6</f>
        <v>0.59340414143104514</v>
      </c>
      <c r="U32" s="12">
        <f t="shared" si="30"/>
        <v>0.63120603573624057</v>
      </c>
      <c r="V32" s="12">
        <f t="shared" ref="V32" si="31">V12/V6</f>
        <v>0.64</v>
      </c>
    </row>
    <row r="33" spans="2:22" x14ac:dyDescent="0.2">
      <c r="B33" t="s">
        <v>36</v>
      </c>
      <c r="C33" s="12">
        <f>C10/C4</f>
        <v>0.92067356461756955</v>
      </c>
      <c r="D33" s="12">
        <f>D10/D4</f>
        <v>0.85581772542961954</v>
      </c>
      <c r="E33" s="12">
        <f>E10/E4</f>
        <v>0.86150714360831093</v>
      </c>
      <c r="F33" s="12">
        <f>F10/F4</f>
        <v>0.85226419721889835</v>
      </c>
      <c r="G33" s="12">
        <f>G10/G4</f>
        <v>0.85536286689218144</v>
      </c>
      <c r="H33" s="12">
        <f>H10/H4</f>
        <v>0.84635980403326883</v>
      </c>
      <c r="I33" s="12">
        <f>I10/I4</f>
        <v>0.84887641611561981</v>
      </c>
      <c r="J33" s="12">
        <f>J10/J4</f>
        <v>0.8461579944319737</v>
      </c>
      <c r="K33" s="12"/>
      <c r="L33" s="12"/>
      <c r="M33" s="12"/>
      <c r="N33" s="12"/>
      <c r="S33" s="12">
        <f>S10/S4</f>
        <v>0.85499118104489413</v>
      </c>
      <c r="T33" s="12">
        <f t="shared" ref="T33:U33" si="32">T10/T4</f>
        <v>0.85799333944428746</v>
      </c>
      <c r="U33" s="12">
        <f t="shared" si="32"/>
        <v>0.84908995080815175</v>
      </c>
      <c r="V33" s="12">
        <f t="shared" ref="V33" si="33">V10/V4</f>
        <v>0</v>
      </c>
    </row>
    <row r="34" spans="2:22" x14ac:dyDescent="0.2">
      <c r="B34" t="s">
        <v>45</v>
      </c>
      <c r="C34" s="6">
        <f>C20/C19</f>
        <v>-6.8948448505223234E-2</v>
      </c>
      <c r="D34" s="6">
        <f t="shared" ref="D34:J34" si="34">D20/D19</f>
        <v>4.3155903257145779E-2</v>
      </c>
      <c r="E34" s="6">
        <f t="shared" si="34"/>
        <v>9.4823266391704814E-3</v>
      </c>
      <c r="F34" s="6">
        <f t="shared" si="34"/>
        <v>1.8848328653306167E-2</v>
      </c>
      <c r="G34" s="6">
        <f t="shared" si="34"/>
        <v>-5.9153838706554052E-2</v>
      </c>
      <c r="H34" s="6">
        <f t="shared" si="34"/>
        <v>0.21705917672960187</v>
      </c>
      <c r="I34" s="6">
        <f t="shared" si="34"/>
        <v>0.1270186434715872</v>
      </c>
      <c r="J34" s="6">
        <f t="shared" si="34"/>
        <v>0.17379916353343758</v>
      </c>
      <c r="K34" s="6">
        <f t="shared" ref="K34:N34" si="35">K20/K19</f>
        <v>0.2</v>
      </c>
      <c r="L34" s="6">
        <f t="shared" si="35"/>
        <v>0.20000000000000004</v>
      </c>
      <c r="M34" s="6">
        <f t="shared" si="35"/>
        <v>0.2</v>
      </c>
      <c r="N34" s="6">
        <f t="shared" si="35"/>
        <v>0.2</v>
      </c>
    </row>
    <row r="41" spans="2:22" x14ac:dyDescent="0.2">
      <c r="G41">
        <f>15/13.5</f>
        <v>1.1111111111111112</v>
      </c>
    </row>
  </sheetData>
  <hyperlinks>
    <hyperlink ref="A1" location="Main!A1" display="Main" xr:uid="{D1D86BA7-5B93-1A4A-91B4-DE2463BBA1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Wong</dc:creator>
  <cp:lastModifiedBy>Bobby S</cp:lastModifiedBy>
  <dcterms:created xsi:type="dcterms:W3CDTF">2025-01-07T13:11:35Z</dcterms:created>
  <dcterms:modified xsi:type="dcterms:W3CDTF">2025-01-09T12:46:31Z</dcterms:modified>
</cp:coreProperties>
</file>