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426" documentId="8_{A3866D35-841F-804A-9D24-C3249C5A978A}" xr6:coauthVersionLast="47" xr6:coauthVersionMax="47" xr10:uidLastSave="{68FD9C45-B18F-9447-9CC6-36B0212AF7BF}"/>
  <bookViews>
    <workbookView xWindow="29960" yWindow="-33140" windowWidth="26400" windowHeight="31840" activeTab="1" xr2:uid="{A7023CE4-16AA-7547-95CD-2CB5B1A47F9A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" i="2" l="1"/>
  <c r="M60" i="2"/>
  <c r="M59" i="2"/>
  <c r="M58" i="2"/>
  <c r="M57" i="2"/>
  <c r="M56" i="2"/>
  <c r="J56" i="2"/>
  <c r="I56" i="2"/>
  <c r="H56" i="2"/>
  <c r="G56" i="2"/>
  <c r="K56" i="2" s="1"/>
  <c r="K62" i="2"/>
  <c r="K61" i="2"/>
  <c r="K60" i="2"/>
  <c r="K59" i="2"/>
  <c r="K58" i="2"/>
  <c r="K57" i="2"/>
  <c r="J62" i="2"/>
  <c r="J61" i="2"/>
  <c r="J60" i="2"/>
  <c r="J59" i="2"/>
  <c r="J58" i="2"/>
  <c r="J57" i="2"/>
  <c r="I62" i="2"/>
  <c r="I61" i="2"/>
  <c r="I60" i="2"/>
  <c r="I59" i="2"/>
  <c r="I58" i="2"/>
  <c r="I57" i="2"/>
  <c r="H62" i="2"/>
  <c r="H61" i="2"/>
  <c r="H60" i="2"/>
  <c r="H59" i="2"/>
  <c r="H58" i="2"/>
  <c r="H57" i="2"/>
  <c r="J48" i="2"/>
  <c r="I48" i="2"/>
  <c r="H48" i="2"/>
  <c r="G48" i="2"/>
  <c r="F48" i="2"/>
  <c r="E48" i="2"/>
  <c r="D48" i="2"/>
  <c r="C48" i="2"/>
  <c r="G61" i="2"/>
  <c r="G57" i="2"/>
  <c r="G59" i="2"/>
  <c r="G58" i="2"/>
  <c r="G60" i="2"/>
  <c r="J43" i="2"/>
  <c r="J49" i="2" s="1"/>
  <c r="I43" i="2"/>
  <c r="H43" i="2"/>
  <c r="H52" i="2" s="1"/>
  <c r="G43" i="2"/>
  <c r="G51" i="2" s="1"/>
  <c r="F43" i="2"/>
  <c r="F53" i="2" s="1"/>
  <c r="E43" i="2"/>
  <c r="E53" i="2" s="1"/>
  <c r="D43" i="2"/>
  <c r="D49" i="2" s="1"/>
  <c r="C43" i="2"/>
  <c r="C50" i="2" s="1"/>
  <c r="C49" i="2"/>
  <c r="I49" i="2"/>
  <c r="E51" i="2"/>
  <c r="D51" i="2"/>
  <c r="C51" i="2"/>
  <c r="J53" i="2"/>
  <c r="I51" i="2"/>
  <c r="R25" i="2"/>
  <c r="S25" i="2"/>
  <c r="T25" i="2"/>
  <c r="U25" i="2"/>
  <c r="C15" i="2"/>
  <c r="C12" i="2"/>
  <c r="C13" i="2"/>
  <c r="C6" i="2"/>
  <c r="C8" i="2" s="1"/>
  <c r="G15" i="2"/>
  <c r="G12" i="2"/>
  <c r="G13" i="2" s="1"/>
  <c r="G27" i="2"/>
  <c r="G25" i="2"/>
  <c r="G6" i="2"/>
  <c r="G8" i="2" s="1"/>
  <c r="H25" i="2"/>
  <c r="I25" i="2"/>
  <c r="J25" i="2"/>
  <c r="D15" i="2"/>
  <c r="D12" i="2"/>
  <c r="D13" i="2"/>
  <c r="D6" i="2"/>
  <c r="D8" i="2" s="1"/>
  <c r="D32" i="2" s="1"/>
  <c r="H15" i="2"/>
  <c r="H12" i="2"/>
  <c r="H27" i="2"/>
  <c r="H6" i="2"/>
  <c r="H8" i="2" s="1"/>
  <c r="E15" i="2"/>
  <c r="E12" i="2"/>
  <c r="E6" i="2"/>
  <c r="I15" i="2"/>
  <c r="I12" i="2"/>
  <c r="I27" i="2"/>
  <c r="I6" i="2"/>
  <c r="I8" i="2" s="1"/>
  <c r="J12" i="2"/>
  <c r="J13" i="2"/>
  <c r="F12" i="2"/>
  <c r="F13" i="2" s="1"/>
  <c r="J27" i="2"/>
  <c r="J15" i="2"/>
  <c r="J6" i="2"/>
  <c r="J8" i="2"/>
  <c r="J32" i="2" s="1"/>
  <c r="F15" i="2"/>
  <c r="F6" i="2"/>
  <c r="F8" i="2"/>
  <c r="F32" i="2" s="1"/>
  <c r="V3" i="2"/>
  <c r="W3" i="2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I4" i="1"/>
  <c r="I5" i="1"/>
  <c r="I7" i="1"/>
  <c r="G62" i="2" l="1"/>
  <c r="E52" i="2"/>
  <c r="C53" i="2"/>
  <c r="E49" i="2"/>
  <c r="F49" i="2"/>
  <c r="C52" i="2"/>
  <c r="D52" i="2"/>
  <c r="G49" i="2"/>
  <c r="E50" i="2"/>
  <c r="H49" i="2"/>
  <c r="D53" i="2"/>
  <c r="D50" i="2"/>
  <c r="G28" i="2"/>
  <c r="H28" i="2"/>
  <c r="G50" i="2"/>
  <c r="H50" i="2"/>
  <c r="I50" i="2"/>
  <c r="J50" i="2"/>
  <c r="J46" i="2"/>
  <c r="I53" i="2"/>
  <c r="H46" i="2"/>
  <c r="I52" i="2"/>
  <c r="G53" i="2"/>
  <c r="H53" i="2"/>
  <c r="I46" i="2"/>
  <c r="F50" i="2"/>
  <c r="G46" i="2"/>
  <c r="F51" i="2"/>
  <c r="F52" i="2"/>
  <c r="G52" i="2"/>
  <c r="J51" i="2"/>
  <c r="J52" i="2"/>
  <c r="H51" i="2"/>
  <c r="C14" i="2"/>
  <c r="C33" i="2" s="1"/>
  <c r="I28" i="2"/>
  <c r="C32" i="2"/>
  <c r="E13" i="2"/>
  <c r="G29" i="2"/>
  <c r="G26" i="2"/>
  <c r="G32" i="2"/>
  <c r="G14" i="2"/>
  <c r="G33" i="2" s="1"/>
  <c r="F14" i="2"/>
  <c r="F33" i="2" s="1"/>
  <c r="J26" i="2"/>
  <c r="J28" i="2"/>
  <c r="J29" i="2"/>
  <c r="J14" i="2"/>
  <c r="E8" i="2"/>
  <c r="E32" i="2" s="1"/>
  <c r="D14" i="2"/>
  <c r="H26" i="2"/>
  <c r="H32" i="2"/>
  <c r="H13" i="2"/>
  <c r="H29" i="2" s="1"/>
  <c r="I26" i="2"/>
  <c r="I32" i="2"/>
  <c r="I13" i="2"/>
  <c r="I29" i="2" s="1"/>
  <c r="F16" i="2" l="1"/>
  <c r="F31" i="2" s="1"/>
  <c r="F18" i="2"/>
  <c r="F20" i="2" s="1"/>
  <c r="C16" i="2"/>
  <c r="C18" i="2"/>
  <c r="C20" i="2" s="1"/>
  <c r="C31" i="2"/>
  <c r="G16" i="2"/>
  <c r="G31" i="2" s="1"/>
  <c r="G18" i="2"/>
  <c r="G20" i="2" s="1"/>
  <c r="E14" i="2"/>
  <c r="E33" i="2" s="1"/>
  <c r="E16" i="2"/>
  <c r="D16" i="2"/>
  <c r="D33" i="2"/>
  <c r="J33" i="2"/>
  <c r="J16" i="2"/>
  <c r="H14" i="2"/>
  <c r="I14" i="2"/>
  <c r="D18" i="2" l="1"/>
  <c r="D20" i="2" s="1"/>
  <c r="D31" i="2"/>
  <c r="J18" i="2"/>
  <c r="J20" i="2" s="1"/>
  <c r="J31" i="2"/>
  <c r="E18" i="2"/>
  <c r="E20" i="2" s="1"/>
  <c r="E31" i="2"/>
  <c r="H33" i="2"/>
  <c r="H16" i="2"/>
  <c r="I33" i="2"/>
  <c r="I16" i="2"/>
  <c r="H31" i="2" l="1"/>
  <c r="H18" i="2"/>
  <c r="H20" i="2" s="1"/>
  <c r="I31" i="2"/>
  <c r="I18" i="2"/>
  <c r="I20" i="2" s="1"/>
</calcChain>
</file>

<file path=xl/sharedStrings.xml><?xml version="1.0" encoding="utf-8"?>
<sst xmlns="http://schemas.openxmlformats.org/spreadsheetml/2006/main" count="71" uniqueCount="67">
  <si>
    <t>Price</t>
  </si>
  <si>
    <t>Shares</t>
  </si>
  <si>
    <t>MC</t>
  </si>
  <si>
    <t>Cash</t>
  </si>
  <si>
    <t>Debt</t>
  </si>
  <si>
    <t>EV</t>
  </si>
  <si>
    <t>Q324</t>
  </si>
  <si>
    <t>Revenue</t>
  </si>
  <si>
    <t>Q123</t>
  </si>
  <si>
    <t>Q422</t>
  </si>
  <si>
    <t>Q223</t>
  </si>
  <si>
    <t>Q323</t>
  </si>
  <si>
    <t>Q423</t>
  </si>
  <si>
    <t>Q124</t>
  </si>
  <si>
    <t>Q224</t>
  </si>
  <si>
    <t>Q424</t>
  </si>
  <si>
    <t>Q125</t>
  </si>
  <si>
    <t>Q225</t>
  </si>
  <si>
    <t>Q235</t>
  </si>
  <si>
    <t>Product</t>
  </si>
  <si>
    <t>Services</t>
  </si>
  <si>
    <t>Fulfillment</t>
  </si>
  <si>
    <t>S&amp;M</t>
  </si>
  <si>
    <t>G&amp;A</t>
  </si>
  <si>
    <t>Tech and infrastructure</t>
  </si>
  <si>
    <t>COGs</t>
  </si>
  <si>
    <t>Gross Margin</t>
  </si>
  <si>
    <t>GM %</t>
  </si>
  <si>
    <t>Op Costs</t>
  </si>
  <si>
    <t>Op Income</t>
  </si>
  <si>
    <t>Interest Income</t>
  </si>
  <si>
    <t>Pretax Income</t>
  </si>
  <si>
    <t>Taxes</t>
  </si>
  <si>
    <t>Net Income</t>
  </si>
  <si>
    <t>EPS</t>
  </si>
  <si>
    <t>OM %</t>
  </si>
  <si>
    <t>Revenue yy</t>
  </si>
  <si>
    <t>SM yy</t>
  </si>
  <si>
    <t>Tax</t>
  </si>
  <si>
    <t>GA yy</t>
  </si>
  <si>
    <t>Op costs yy</t>
  </si>
  <si>
    <t xml:space="preserve">  </t>
  </si>
  <si>
    <t>Product Growth yy</t>
  </si>
  <si>
    <t>AMZN</t>
  </si>
  <si>
    <t>WMT</t>
  </si>
  <si>
    <t>EBAY (GMV)</t>
  </si>
  <si>
    <t>TGT</t>
  </si>
  <si>
    <t>% of</t>
  </si>
  <si>
    <t>Total</t>
  </si>
  <si>
    <t>Commerce Growth</t>
  </si>
  <si>
    <t>tgt mkt share</t>
  </si>
  <si>
    <t>wmt mkt share</t>
  </si>
  <si>
    <t>amzn mkt share</t>
  </si>
  <si>
    <t>ebay mkt share</t>
  </si>
  <si>
    <t>COST</t>
  </si>
  <si>
    <t>HD</t>
  </si>
  <si>
    <t>hd mkt share</t>
  </si>
  <si>
    <t>cost mkt share</t>
  </si>
  <si>
    <t>16w for cost</t>
  </si>
  <si>
    <t>hd yy</t>
  </si>
  <si>
    <t>tgt yy</t>
  </si>
  <si>
    <t>wmt yy</t>
  </si>
  <si>
    <t>amzn yy</t>
  </si>
  <si>
    <t>ebay yy</t>
  </si>
  <si>
    <t>commerce yy</t>
  </si>
  <si>
    <t>cost yy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</si>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</sst>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9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2C75-58A5-8C4A-BFEC-CD606FEB8898}">
  <dimension ref="H2:J7"/>
  <sheetViews>
    <sheetView workbookViewId="0">
      <selection activeCell="H12" sqref="H12"/>
    </sheetView>
  </sheetViews>
  <sheetFormatPr baseColWidth="10" defaultColWidth="10.83203125" defaultRowHeight="16" x14ac:dyDescent="0.2"/>
  <sheetData>
    <row r="2" spans="8:10" x14ac:dyDescent="0.2">
      <c r="H2" s="1" t="s">
        <v>0</v>
      </c>
      <c r="I2">
        <v>225.94</v>
      </c>
    </row>
    <row r="3" spans="8:10" x14ac:dyDescent="0.2">
      <c r="H3" s="1" t="s">
        <v>1</v>
      </c>
      <c r="I3" s="2">
        <v>10515.011007999999</v>
      </c>
      <c r="J3" t="s">
        <v>6</v>
      </c>
    </row>
    <row r="4" spans="8:10" x14ac:dyDescent="0.2">
      <c r="H4" s="1" t="s">
        <v>2</v>
      </c>
      <c r="I4" s="2">
        <f>I3*I2</f>
        <v>2375761.5871475199</v>
      </c>
    </row>
    <row r="5" spans="8:10" x14ac:dyDescent="0.2">
      <c r="H5" s="1" t="s">
        <v>3</v>
      </c>
      <c r="I5" s="2">
        <f>75091+12960</f>
        <v>88051</v>
      </c>
      <c r="J5" t="s">
        <v>6</v>
      </c>
    </row>
    <row r="6" spans="8:10" x14ac:dyDescent="0.2">
      <c r="H6" s="1" t="s">
        <v>4</v>
      </c>
      <c r="I6" s="2">
        <v>58314</v>
      </c>
      <c r="J6" t="s">
        <v>6</v>
      </c>
    </row>
    <row r="7" spans="8:10" x14ac:dyDescent="0.2">
      <c r="H7" s="1" t="s">
        <v>5</v>
      </c>
      <c r="I7" s="2">
        <f>I4-I5+I6</f>
        <v>2346024.5871475199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A848-A835-4E44-8899-A6F236A2B07A}">
  <dimension ref="B3:AN6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8" sqref="H18"/>
    </sheetView>
  </sheetViews>
  <sheetFormatPr baseColWidth="10" defaultColWidth="10.83203125" defaultRowHeight="16" x14ac:dyDescent="0.2"/>
  <cols>
    <col min="2" max="2" width="20" bestFit="1" customWidth="1"/>
  </cols>
  <sheetData>
    <row r="3" spans="2:40" s="3" customFormat="1" x14ac:dyDescent="0.2">
      <c r="C3" s="3" t="s">
        <v>9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4" t="s">
        <v>6</v>
      </c>
      <c r="K3" s="3" t="s">
        <v>15</v>
      </c>
      <c r="L3" s="3" t="s">
        <v>16</v>
      </c>
      <c r="M3" s="3" t="s">
        <v>17</v>
      </c>
      <c r="N3" s="3" t="s">
        <v>18</v>
      </c>
      <c r="Q3" s="3">
        <v>2019</v>
      </c>
      <c r="R3" s="3">
        <v>2020</v>
      </c>
      <c r="S3" s="3">
        <v>2021</v>
      </c>
      <c r="T3" s="3">
        <v>2022</v>
      </c>
      <c r="U3" s="3">
        <v>2023</v>
      </c>
      <c r="V3" s="3">
        <f>U3+1</f>
        <v>2024</v>
      </c>
      <c r="W3" s="3">
        <f t="shared" ref="W3:AN3" si="0">V3+1</f>
        <v>2025</v>
      </c>
      <c r="X3" s="3">
        <f t="shared" si="0"/>
        <v>2026</v>
      </c>
      <c r="Y3" s="3">
        <f t="shared" si="0"/>
        <v>2027</v>
      </c>
      <c r="Z3" s="3">
        <f t="shared" si="0"/>
        <v>2028</v>
      </c>
      <c r="AA3" s="3">
        <f t="shared" si="0"/>
        <v>2029</v>
      </c>
      <c r="AB3" s="3">
        <f t="shared" si="0"/>
        <v>2030</v>
      </c>
      <c r="AC3" s="3">
        <f t="shared" si="0"/>
        <v>2031</v>
      </c>
      <c r="AD3" s="3">
        <f t="shared" si="0"/>
        <v>2032</v>
      </c>
      <c r="AE3" s="3">
        <f t="shared" si="0"/>
        <v>2033</v>
      </c>
      <c r="AF3" s="3">
        <f t="shared" si="0"/>
        <v>2034</v>
      </c>
      <c r="AG3" s="3">
        <f t="shared" si="0"/>
        <v>2035</v>
      </c>
      <c r="AH3" s="3">
        <f t="shared" si="0"/>
        <v>2036</v>
      </c>
      <c r="AI3" s="3">
        <f t="shared" si="0"/>
        <v>2037</v>
      </c>
      <c r="AJ3" s="3">
        <f t="shared" si="0"/>
        <v>2038</v>
      </c>
      <c r="AK3" s="3">
        <f t="shared" si="0"/>
        <v>2039</v>
      </c>
      <c r="AL3" s="3">
        <f t="shared" si="0"/>
        <v>2040</v>
      </c>
      <c r="AM3" s="3">
        <f t="shared" si="0"/>
        <v>2041</v>
      </c>
      <c r="AN3" s="3">
        <f t="shared" si="0"/>
        <v>2042</v>
      </c>
    </row>
    <row r="4" spans="2:40" s="2" customFormat="1" x14ac:dyDescent="0.2">
      <c r="B4" s="2" t="s">
        <v>19</v>
      </c>
      <c r="C4" s="2">
        <v>70531</v>
      </c>
      <c r="D4" s="2">
        <v>56981</v>
      </c>
      <c r="E4" s="2">
        <v>59032</v>
      </c>
      <c r="F4" s="2">
        <v>63171</v>
      </c>
      <c r="G4" s="2">
        <v>76703</v>
      </c>
      <c r="H4" s="2">
        <v>60915</v>
      </c>
      <c r="I4" s="2">
        <v>61569</v>
      </c>
      <c r="J4" s="2">
        <v>67601</v>
      </c>
      <c r="Q4" s="2">
        <v>160408</v>
      </c>
      <c r="R4" s="2">
        <v>215915</v>
      </c>
      <c r="S4" s="2">
        <v>241787</v>
      </c>
      <c r="T4" s="2">
        <v>242901</v>
      </c>
      <c r="U4" s="2">
        <v>255887</v>
      </c>
    </row>
    <row r="5" spans="2:40" s="2" customFormat="1" x14ac:dyDescent="0.2">
      <c r="B5" s="2" t="s">
        <v>20</v>
      </c>
      <c r="C5" s="2">
        <v>78673</v>
      </c>
      <c r="D5" s="2">
        <v>70377</v>
      </c>
      <c r="E5" s="2">
        <v>75351</v>
      </c>
      <c r="F5" s="2">
        <v>79912</v>
      </c>
      <c r="G5" s="2">
        <v>93258</v>
      </c>
      <c r="H5" s="2">
        <v>82398</v>
      </c>
      <c r="I5" s="2">
        <v>86408</v>
      </c>
      <c r="J5" s="2">
        <v>91276</v>
      </c>
    </row>
    <row r="6" spans="2:40" s="5" customFormat="1" x14ac:dyDescent="0.2">
      <c r="B6" s="5" t="s">
        <v>7</v>
      </c>
      <c r="C6" s="5">
        <f>SUM(C4:C5)</f>
        <v>149204</v>
      </c>
      <c r="D6" s="5">
        <f>SUM(D4:D5)</f>
        <v>127358</v>
      </c>
      <c r="E6" s="5">
        <f>SUM(E4:E5)</f>
        <v>134383</v>
      </c>
      <c r="F6" s="5">
        <f>SUM(F4:F5)</f>
        <v>143083</v>
      </c>
      <c r="G6" s="5">
        <f>SUM(G4:G5)</f>
        <v>169961</v>
      </c>
      <c r="H6" s="5">
        <f>SUM(H4:H5)</f>
        <v>143313</v>
      </c>
      <c r="I6" s="5">
        <f>SUM(I4:I5)</f>
        <v>147977</v>
      </c>
      <c r="J6" s="5">
        <f>SUM(J4:J5)</f>
        <v>158877</v>
      </c>
    </row>
    <row r="7" spans="2:40" s="2" customFormat="1" x14ac:dyDescent="0.2">
      <c r="B7" s="2" t="s">
        <v>25</v>
      </c>
      <c r="C7" s="2">
        <v>85640</v>
      </c>
      <c r="D7" s="2">
        <v>67791</v>
      </c>
      <c r="E7" s="2">
        <v>69373</v>
      </c>
      <c r="F7" s="2">
        <v>75022</v>
      </c>
      <c r="G7" s="2">
        <v>92553</v>
      </c>
      <c r="H7" s="2">
        <v>72633</v>
      </c>
      <c r="I7" s="2">
        <v>73785</v>
      </c>
      <c r="J7" s="2">
        <v>80977</v>
      </c>
    </row>
    <row r="8" spans="2:40" s="5" customFormat="1" x14ac:dyDescent="0.2">
      <c r="B8" s="5" t="s">
        <v>26</v>
      </c>
      <c r="C8" s="5">
        <f>C6-C7</f>
        <v>63564</v>
      </c>
      <c r="D8" s="5">
        <f>D6-D7</f>
        <v>59567</v>
      </c>
      <c r="E8" s="5">
        <f>E6-E7</f>
        <v>65010</v>
      </c>
      <c r="F8" s="5">
        <f>F6-F7</f>
        <v>68061</v>
      </c>
      <c r="G8" s="5">
        <f>G6-G7</f>
        <v>77408</v>
      </c>
      <c r="H8" s="5">
        <f>H6-H7</f>
        <v>70680</v>
      </c>
      <c r="I8" s="5">
        <f>I6-I7</f>
        <v>74192</v>
      </c>
      <c r="J8" s="5">
        <f>J6-J7</f>
        <v>77900</v>
      </c>
    </row>
    <row r="9" spans="2:40" s="2" customFormat="1" x14ac:dyDescent="0.2">
      <c r="B9" s="2" t="s">
        <v>21</v>
      </c>
      <c r="C9" s="2">
        <v>23103</v>
      </c>
      <c r="D9" s="2">
        <v>20905</v>
      </c>
      <c r="E9" s="2">
        <v>21305</v>
      </c>
      <c r="F9" s="2">
        <v>22314</v>
      </c>
      <c r="G9" s="2">
        <v>26095</v>
      </c>
      <c r="H9" s="2">
        <v>22317</v>
      </c>
      <c r="I9" s="2">
        <v>23566</v>
      </c>
      <c r="J9" s="2">
        <v>24660</v>
      </c>
    </row>
    <row r="10" spans="2:40" s="2" customFormat="1" x14ac:dyDescent="0.2">
      <c r="B10" s="2" t="s">
        <v>24</v>
      </c>
      <c r="C10" s="2">
        <v>20814</v>
      </c>
      <c r="D10" s="2">
        <v>20450</v>
      </c>
      <c r="E10" s="2">
        <v>21931</v>
      </c>
      <c r="F10" s="2">
        <v>21203</v>
      </c>
      <c r="G10" s="2">
        <v>22038</v>
      </c>
      <c r="H10" s="2">
        <v>20424</v>
      </c>
      <c r="I10" s="2">
        <v>22304</v>
      </c>
      <c r="J10" s="2">
        <v>22245</v>
      </c>
    </row>
    <row r="11" spans="2:40" s="2" customFormat="1" x14ac:dyDescent="0.2">
      <c r="B11" s="2" t="s">
        <v>22</v>
      </c>
      <c r="C11" s="2">
        <v>12818</v>
      </c>
      <c r="D11" s="2">
        <v>10172</v>
      </c>
      <c r="E11" s="2">
        <v>10745</v>
      </c>
      <c r="F11" s="2">
        <v>10551</v>
      </c>
      <c r="G11" s="2">
        <v>12902</v>
      </c>
      <c r="H11" s="2">
        <v>9662</v>
      </c>
      <c r="I11" s="2">
        <v>10512</v>
      </c>
      <c r="J11" s="2">
        <v>10609</v>
      </c>
    </row>
    <row r="12" spans="2:40" s="2" customFormat="1" x14ac:dyDescent="0.2">
      <c r="B12" s="2" t="s">
        <v>23</v>
      </c>
      <c r="C12" s="2">
        <f>3333+759</f>
        <v>4092</v>
      </c>
      <c r="D12" s="2">
        <f>3043+223</f>
        <v>3266</v>
      </c>
      <c r="E12" s="2">
        <f>3202+146</f>
        <v>3348</v>
      </c>
      <c r="F12" s="2">
        <f>2561+244</f>
        <v>2805</v>
      </c>
      <c r="G12" s="2">
        <f>3010+154</f>
        <v>3164</v>
      </c>
      <c r="H12" s="2">
        <f>2742+228</f>
        <v>2970</v>
      </c>
      <c r="I12" s="2">
        <f>3041+97</f>
        <v>3138</v>
      </c>
      <c r="J12" s="2">
        <f>2713+262</f>
        <v>2975</v>
      </c>
    </row>
    <row r="13" spans="2:40" s="2" customFormat="1" x14ac:dyDescent="0.2">
      <c r="B13" s="2" t="s">
        <v>28</v>
      </c>
      <c r="C13" s="2">
        <f>SUM(C9:C12)</f>
        <v>60827</v>
      </c>
      <c r="D13" s="2">
        <f>SUM(D9:D12)</f>
        <v>54793</v>
      </c>
      <c r="E13" s="2">
        <f>SUM(E9:E12)</f>
        <v>57329</v>
      </c>
      <c r="F13" s="2">
        <f>SUM(F9:F12)</f>
        <v>56873</v>
      </c>
      <c r="G13" s="2">
        <f>SUM(G9:G12)</f>
        <v>64199</v>
      </c>
      <c r="H13" s="2">
        <f>SUM(H9:H12)</f>
        <v>55373</v>
      </c>
      <c r="I13" s="2">
        <f>SUM(I9:I12)</f>
        <v>59520</v>
      </c>
      <c r="J13" s="2">
        <f>SUM(J9:J12)</f>
        <v>60489</v>
      </c>
    </row>
    <row r="14" spans="2:40" s="2" customFormat="1" x14ac:dyDescent="0.2">
      <c r="B14" s="2" t="s">
        <v>29</v>
      </c>
      <c r="C14" s="2">
        <f>C8-C13</f>
        <v>2737</v>
      </c>
      <c r="D14" s="2">
        <f>D8-D13</f>
        <v>4774</v>
      </c>
      <c r="E14" s="2">
        <f>E8-E13</f>
        <v>7681</v>
      </c>
      <c r="F14" s="2">
        <f>F8-F13</f>
        <v>11188</v>
      </c>
      <c r="G14" s="2">
        <f>G8-G13</f>
        <v>13209</v>
      </c>
      <c r="H14" s="2">
        <f>H8-H13</f>
        <v>15307</v>
      </c>
      <c r="I14" s="2">
        <f>I8-I13</f>
        <v>14672</v>
      </c>
      <c r="J14" s="2">
        <f>J8-J13</f>
        <v>17411</v>
      </c>
    </row>
    <row r="15" spans="2:40" s="2" customFormat="1" x14ac:dyDescent="0.2">
      <c r="B15" s="2" t="s">
        <v>30</v>
      </c>
      <c r="C15" s="2">
        <f>445-694-3450</f>
        <v>-3699</v>
      </c>
      <c r="D15" s="2">
        <f>611-823-443</f>
        <v>-655</v>
      </c>
      <c r="E15" s="2">
        <f>661-840+61</f>
        <v>-118</v>
      </c>
      <c r="F15" s="2">
        <f>776-806+1031-4</f>
        <v>997</v>
      </c>
      <c r="G15" s="2">
        <f>901-713+289</f>
        <v>477</v>
      </c>
      <c r="H15" s="2">
        <f>993-664-2673</f>
        <v>-2344</v>
      </c>
      <c r="I15" s="2">
        <f>1180-589-18</f>
        <v>573</v>
      </c>
      <c r="J15" s="2">
        <f>1256-603-27-3</f>
        <v>623</v>
      </c>
    </row>
    <row r="16" spans="2:40" s="2" customFormat="1" x14ac:dyDescent="0.2">
      <c r="B16" s="2" t="s">
        <v>31</v>
      </c>
      <c r="C16" s="2">
        <f>C15+C14</f>
        <v>-962</v>
      </c>
      <c r="D16" s="2">
        <f>D15+D14</f>
        <v>4119</v>
      </c>
      <c r="E16" s="2">
        <f>E15+E14</f>
        <v>7563</v>
      </c>
      <c r="F16" s="2">
        <f>F15+F14</f>
        <v>12185</v>
      </c>
      <c r="G16" s="2">
        <f>G15+G14</f>
        <v>13686</v>
      </c>
      <c r="H16" s="2">
        <f>H15+H14</f>
        <v>12963</v>
      </c>
      <c r="I16" s="2">
        <f>I15+I14</f>
        <v>15245</v>
      </c>
      <c r="J16" s="2">
        <f>J15+J14</f>
        <v>18034</v>
      </c>
    </row>
    <row r="17" spans="2:23" s="2" customFormat="1" x14ac:dyDescent="0.2">
      <c r="B17" s="2" t="s">
        <v>32</v>
      </c>
      <c r="C17" s="2">
        <v>-1227</v>
      </c>
      <c r="D17" s="2">
        <v>948</v>
      </c>
      <c r="E17" s="2">
        <v>804</v>
      </c>
      <c r="F17" s="2">
        <v>2306</v>
      </c>
      <c r="G17" s="2">
        <v>3062</v>
      </c>
      <c r="H17" s="2">
        <v>2467</v>
      </c>
      <c r="I17" s="2">
        <v>1767</v>
      </c>
      <c r="J17" s="2">
        <v>2706</v>
      </c>
    </row>
    <row r="18" spans="2:23" s="2" customFormat="1" x14ac:dyDescent="0.2">
      <c r="B18" s="2" t="s">
        <v>33</v>
      </c>
      <c r="C18" s="2">
        <f>C16-C17</f>
        <v>265</v>
      </c>
      <c r="D18" s="2">
        <f>D16-D17</f>
        <v>3171</v>
      </c>
      <c r="E18" s="2">
        <f>E16-E17</f>
        <v>6759</v>
      </c>
      <c r="F18" s="2">
        <f>F16-F17</f>
        <v>9879</v>
      </c>
      <c r="G18" s="2">
        <f>G16-G17</f>
        <v>10624</v>
      </c>
      <c r="H18" s="2">
        <f>H16-H17</f>
        <v>10496</v>
      </c>
      <c r="I18" s="2">
        <f>I16-I17</f>
        <v>13478</v>
      </c>
      <c r="J18" s="2">
        <f>J16-J17</f>
        <v>15328</v>
      </c>
    </row>
    <row r="19" spans="2:23" s="2" customFormat="1" x14ac:dyDescent="0.2">
      <c r="B19" s="2" t="s">
        <v>1</v>
      </c>
      <c r="C19" s="2">
        <v>10308</v>
      </c>
      <c r="D19" s="2">
        <v>10347</v>
      </c>
      <c r="E19" s="2">
        <v>10449</v>
      </c>
      <c r="F19" s="2">
        <v>10558</v>
      </c>
      <c r="G19" s="2">
        <v>10610</v>
      </c>
      <c r="H19" s="2">
        <v>10670</v>
      </c>
      <c r="I19" s="2">
        <v>10708</v>
      </c>
      <c r="J19" s="2">
        <v>10735</v>
      </c>
    </row>
    <row r="20" spans="2:23" s="7" customFormat="1" x14ac:dyDescent="0.2">
      <c r="B20" s="7" t="s">
        <v>34</v>
      </c>
      <c r="C20" s="7">
        <f>C18/C19</f>
        <v>2.5708187815289097E-2</v>
      </c>
      <c r="D20" s="7">
        <f>D18/D19</f>
        <v>0.30646564221513484</v>
      </c>
      <c r="E20" s="7">
        <f>E18/E19</f>
        <v>0.64685615848406541</v>
      </c>
      <c r="F20" s="7">
        <f>F18/F19</f>
        <v>0.93568857738207989</v>
      </c>
      <c r="G20" s="7">
        <f>G18/G19</f>
        <v>1.0013195098963241</v>
      </c>
      <c r="H20" s="7">
        <f>H18/H19</f>
        <v>0.98369259606373005</v>
      </c>
      <c r="I20" s="7">
        <f>I18/I19</f>
        <v>1.2586850952558835</v>
      </c>
      <c r="J20" s="7">
        <f>J18/J19</f>
        <v>1.4278528178854215</v>
      </c>
    </row>
    <row r="21" spans="2:23" s="2" customFormat="1" x14ac:dyDescent="0.2"/>
    <row r="22" spans="2:23" s="2" customFormat="1" x14ac:dyDescent="0.2"/>
    <row r="23" spans="2:23" s="2" customFormat="1" x14ac:dyDescent="0.2"/>
    <row r="24" spans="2:23" s="2" customFormat="1" x14ac:dyDescent="0.2"/>
    <row r="25" spans="2:23" s="6" customFormat="1" x14ac:dyDescent="0.2">
      <c r="B25" s="6" t="s">
        <v>42</v>
      </c>
      <c r="G25" s="6">
        <f>G4/C4-1</f>
        <v>8.7507620762501626E-2</v>
      </c>
      <c r="H25" s="6">
        <f>H4/D4-1</f>
        <v>6.9040557378775347E-2</v>
      </c>
      <c r="I25" s="6">
        <f>I4/E4-1</f>
        <v>4.2976690608483636E-2</v>
      </c>
      <c r="J25" s="6">
        <f>J4/F4-1</f>
        <v>7.0127115290243847E-2</v>
      </c>
      <c r="R25" s="6">
        <f>R4/Q4-1</f>
        <v>0.34603635728891335</v>
      </c>
      <c r="S25" s="6">
        <f>S4/R4-1</f>
        <v>0.11982493110714865</v>
      </c>
      <c r="T25" s="6">
        <f>T4/S4-1</f>
        <v>4.6073610243726471E-3</v>
      </c>
      <c r="U25" s="6">
        <f>U4/T4-1</f>
        <v>5.3462110077768354E-2</v>
      </c>
    </row>
    <row r="26" spans="2:23" s="6" customFormat="1" x14ac:dyDescent="0.2">
      <c r="B26" s="6" t="s">
        <v>36</v>
      </c>
      <c r="G26" s="6">
        <f>G6/C6-1</f>
        <v>0.13911825420230017</v>
      </c>
      <c r="H26" s="6">
        <f>H6/D6-1</f>
        <v>0.12527677884388888</v>
      </c>
      <c r="I26" s="6">
        <f>I6/E6-1</f>
        <v>0.10115862869559389</v>
      </c>
      <c r="J26" s="6">
        <f>J6/F6-1</f>
        <v>0.11038348371225104</v>
      </c>
    </row>
    <row r="27" spans="2:23" s="6" customFormat="1" x14ac:dyDescent="0.2">
      <c r="B27" s="6" t="s">
        <v>37</v>
      </c>
      <c r="G27" s="6">
        <f>G11/C11-1</f>
        <v>6.5532844437510285E-3</v>
      </c>
      <c r="H27" s="6">
        <f>H11/D11-1</f>
        <v>-5.0137632717263125E-2</v>
      </c>
      <c r="I27" s="6">
        <f>I11/E11-1</f>
        <v>-2.1684504420660722E-2</v>
      </c>
      <c r="J27" s="6">
        <f>J11/F11-1</f>
        <v>5.4971092787412523E-3</v>
      </c>
    </row>
    <row r="28" spans="2:23" s="6" customFormat="1" x14ac:dyDescent="0.2">
      <c r="B28" s="6" t="s">
        <v>39</v>
      </c>
      <c r="G28" s="6">
        <f>G12/C12-1</f>
        <v>-0.22678396871945261</v>
      </c>
      <c r="H28" s="6">
        <f>H12/D12-1</f>
        <v>-9.0630740967544421E-2</v>
      </c>
      <c r="I28" s="6">
        <f>I12/E12-1</f>
        <v>-6.2724014336917544E-2</v>
      </c>
      <c r="J28" s="6">
        <f>J12/F12-1</f>
        <v>6.0606060606060552E-2</v>
      </c>
    </row>
    <row r="29" spans="2:23" s="6" customFormat="1" x14ac:dyDescent="0.2">
      <c r="B29" s="6" t="s">
        <v>40</v>
      </c>
      <c r="G29" s="6">
        <f>G13/C13-1</f>
        <v>5.543590839594259E-2</v>
      </c>
      <c r="H29" s="6">
        <f>H13/D13-1</f>
        <v>1.0585293741901314E-2</v>
      </c>
      <c r="I29" s="6">
        <f>I13/E13-1</f>
        <v>3.821800484920379E-2</v>
      </c>
      <c r="J29" s="6">
        <f>J13/F13-1</f>
        <v>6.3580257767306136E-2</v>
      </c>
    </row>
    <row r="30" spans="2:23" s="2" customFormat="1" x14ac:dyDescent="0.2"/>
    <row r="31" spans="2:23" s="6" customFormat="1" x14ac:dyDescent="0.2">
      <c r="B31" s="6" t="s">
        <v>38</v>
      </c>
      <c r="C31" s="6">
        <f t="shared" ref="C31" si="1">C17/C16</f>
        <v>1.2754677754677755</v>
      </c>
      <c r="D31" s="6">
        <f t="shared" ref="D31:E31" si="2">D17/D16</f>
        <v>0.23015294974508377</v>
      </c>
      <c r="E31" s="6">
        <f t="shared" si="2"/>
        <v>0.10630702102340341</v>
      </c>
      <c r="F31" s="6">
        <f>F17/F16</f>
        <v>0.18924907673368896</v>
      </c>
      <c r="G31" s="6">
        <f>G17/G16</f>
        <v>0.22373228116323249</v>
      </c>
      <c r="H31" s="6">
        <f>H17/H16</f>
        <v>0.19031088482604336</v>
      </c>
      <c r="I31" s="6">
        <f>I17/I16</f>
        <v>0.11590685470646113</v>
      </c>
      <c r="J31" s="6">
        <f>J17/J16</f>
        <v>0.15004990573361429</v>
      </c>
      <c r="W31" s="6" t="s">
        <v>41</v>
      </c>
    </row>
    <row r="32" spans="2:23" s="2" customFormat="1" x14ac:dyDescent="0.2">
      <c r="B32" s="2" t="s">
        <v>27</v>
      </c>
      <c r="C32" s="6">
        <f t="shared" ref="C32" si="3">C8/C6</f>
        <v>0.42602075011393797</v>
      </c>
      <c r="D32" s="6">
        <f t="shared" ref="D32:E32" si="4">D8/D6</f>
        <v>0.46771306082067871</v>
      </c>
      <c r="E32" s="6">
        <f t="shared" si="4"/>
        <v>0.48376654785203488</v>
      </c>
      <c r="F32" s="6">
        <f>F8/F6</f>
        <v>0.47567495789157344</v>
      </c>
      <c r="G32" s="6">
        <f>G8/G6</f>
        <v>0.45544566106342044</v>
      </c>
      <c r="H32" s="6">
        <f>H8/H6</f>
        <v>0.49318624269954575</v>
      </c>
      <c r="I32" s="6">
        <f>I8/I6</f>
        <v>0.50137521371564497</v>
      </c>
      <c r="J32" s="6">
        <f>J8/J6</f>
        <v>0.49031640829069029</v>
      </c>
    </row>
    <row r="33" spans="2:10" x14ac:dyDescent="0.2">
      <c r="B33" t="s">
        <v>35</v>
      </c>
      <c r="C33" s="6">
        <f t="shared" ref="C33" si="5">C14/C6</f>
        <v>1.8344012224873328E-2</v>
      </c>
      <c r="D33" s="6">
        <f t="shared" ref="D33:E33" si="6">D14/D6</f>
        <v>3.7484885126964934E-2</v>
      </c>
      <c r="E33" s="6">
        <f t="shared" si="6"/>
        <v>5.7157527365812637E-2</v>
      </c>
      <c r="F33" s="6">
        <f>F14/F6</f>
        <v>7.8192377850618167E-2</v>
      </c>
      <c r="G33" s="6">
        <f>G14/G6</f>
        <v>7.771782938438819E-2</v>
      </c>
      <c r="H33" s="6">
        <f>H14/H6</f>
        <v>0.10680817511321374</v>
      </c>
      <c r="I33" s="6">
        <f>I14/I6</f>
        <v>9.9150543665569649E-2</v>
      </c>
      <c r="J33" s="6">
        <f>J14/J6</f>
        <v>0.1095879202150091</v>
      </c>
    </row>
    <row r="37" spans="2:10" x14ac:dyDescent="0.2">
      <c r="B37" t="s">
        <v>54</v>
      </c>
      <c r="C37" s="2">
        <v>54239</v>
      </c>
      <c r="D37" s="2">
        <v>52604</v>
      </c>
      <c r="E37" s="2">
        <v>77430</v>
      </c>
      <c r="F37" s="2">
        <v>56717</v>
      </c>
      <c r="G37" s="2">
        <v>57331</v>
      </c>
      <c r="H37" s="2">
        <v>57392</v>
      </c>
      <c r="I37" s="2">
        <v>78185</v>
      </c>
      <c r="J37" s="2">
        <v>60985</v>
      </c>
    </row>
    <row r="38" spans="2:10" x14ac:dyDescent="0.2">
      <c r="B38" t="s">
        <v>55</v>
      </c>
      <c r="C38" s="2">
        <v>35831</v>
      </c>
      <c r="D38" s="2">
        <v>37257</v>
      </c>
      <c r="E38" s="2">
        <v>42916</v>
      </c>
      <c r="F38" s="2">
        <v>37710</v>
      </c>
      <c r="G38" s="2">
        <v>34786</v>
      </c>
      <c r="H38" s="2">
        <v>36418</v>
      </c>
      <c r="I38" s="2">
        <v>43175</v>
      </c>
      <c r="J38" s="2">
        <v>40217</v>
      </c>
    </row>
    <row r="39" spans="2:10" x14ac:dyDescent="0.2">
      <c r="B39" t="s">
        <v>46</v>
      </c>
      <c r="C39" s="7">
        <v>30983</v>
      </c>
      <c r="D39" s="7">
        <v>24948</v>
      </c>
      <c r="E39" s="7">
        <v>24384</v>
      </c>
      <c r="F39" s="7">
        <v>25004</v>
      </c>
      <c r="G39" s="7">
        <v>31467</v>
      </c>
      <c r="H39" s="7">
        <v>24143</v>
      </c>
      <c r="I39" s="7">
        <v>25021</v>
      </c>
      <c r="J39" s="7">
        <v>25228</v>
      </c>
    </row>
    <row r="40" spans="2:10" x14ac:dyDescent="0.2">
      <c r="B40" t="s">
        <v>44</v>
      </c>
      <c r="C40" s="8">
        <v>162743</v>
      </c>
      <c r="D40" s="8">
        <v>151004</v>
      </c>
      <c r="E40" s="8">
        <v>160280</v>
      </c>
      <c r="F40" s="8">
        <v>159439</v>
      </c>
      <c r="G40" s="8">
        <v>171914</v>
      </c>
      <c r="H40" s="8">
        <v>159938</v>
      </c>
      <c r="I40" s="8">
        <v>167767</v>
      </c>
      <c r="J40" s="8">
        <v>168003</v>
      </c>
    </row>
    <row r="41" spans="2:10" x14ac:dyDescent="0.2">
      <c r="B41" t="s">
        <v>43</v>
      </c>
      <c r="C41" s="2">
        <v>70531</v>
      </c>
      <c r="D41" s="2">
        <v>56981</v>
      </c>
      <c r="E41" s="2">
        <v>59032</v>
      </c>
      <c r="F41" s="2">
        <v>63171</v>
      </c>
      <c r="G41" s="2">
        <v>76703</v>
      </c>
      <c r="H41" s="2">
        <v>60915</v>
      </c>
      <c r="I41" s="2">
        <v>61569</v>
      </c>
      <c r="J41" s="2">
        <v>67601</v>
      </c>
    </row>
    <row r="42" spans="2:10" x14ac:dyDescent="0.2">
      <c r="B42" t="s">
        <v>45</v>
      </c>
      <c r="C42" s="2">
        <v>18227</v>
      </c>
      <c r="D42" s="2">
        <v>18410</v>
      </c>
      <c r="E42" s="2">
        <v>18214</v>
      </c>
      <c r="F42" s="2">
        <v>17991</v>
      </c>
      <c r="G42" s="2">
        <v>18591</v>
      </c>
      <c r="H42" s="2">
        <v>18623</v>
      </c>
      <c r="I42" s="2">
        <v>18418</v>
      </c>
      <c r="J42" s="2">
        <v>18300</v>
      </c>
    </row>
    <row r="43" spans="2:10" x14ac:dyDescent="0.2">
      <c r="B43" t="s">
        <v>48</v>
      </c>
      <c r="C43" s="2">
        <f>SUM(C37:C42)</f>
        <v>372554</v>
      </c>
      <c r="D43" s="2">
        <f t="shared" ref="D43:J43" si="7">SUM(D37:D42)</f>
        <v>341204</v>
      </c>
      <c r="E43" s="2">
        <f t="shared" si="7"/>
        <v>382256</v>
      </c>
      <c r="F43" s="2">
        <f t="shared" si="7"/>
        <v>360032</v>
      </c>
      <c r="G43" s="2">
        <f t="shared" si="7"/>
        <v>390792</v>
      </c>
      <c r="H43" s="2">
        <f t="shared" si="7"/>
        <v>357429</v>
      </c>
      <c r="I43" s="2">
        <f t="shared" si="7"/>
        <v>394135</v>
      </c>
      <c r="J43" s="2">
        <f t="shared" si="7"/>
        <v>380334</v>
      </c>
    </row>
    <row r="44" spans="2:10" s="6" customFormat="1" x14ac:dyDescent="0.2"/>
    <row r="46" spans="2:10" x14ac:dyDescent="0.2">
      <c r="B46" t="s">
        <v>49</v>
      </c>
      <c r="G46" s="6">
        <f t="shared" ref="G46:I46" si="8">G43/C43-1</f>
        <v>4.8953977141568794E-2</v>
      </c>
      <c r="H46" s="6">
        <f t="shared" si="8"/>
        <v>4.7552197512338745E-2</v>
      </c>
      <c r="I46" s="6">
        <f t="shared" si="8"/>
        <v>3.1076032815704702E-2</v>
      </c>
      <c r="J46" s="6">
        <f>J43/F43-1</f>
        <v>5.6389432050484301E-2</v>
      </c>
    </row>
    <row r="47" spans="2:10" x14ac:dyDescent="0.2">
      <c r="I47" t="s">
        <v>58</v>
      </c>
    </row>
    <row r="48" spans="2:10" x14ac:dyDescent="0.2">
      <c r="B48" t="s">
        <v>57</v>
      </c>
      <c r="C48" s="6">
        <f>C37/C$43</f>
        <v>0.14558694846921519</v>
      </c>
      <c r="D48" s="6">
        <f t="shared" ref="C48:J50" si="9">D37/D$43</f>
        <v>0.15417169786989601</v>
      </c>
      <c r="E48" s="6">
        <f t="shared" si="9"/>
        <v>0.20256058766899671</v>
      </c>
      <c r="F48" s="6">
        <f t="shared" si="9"/>
        <v>0.15753321926939828</v>
      </c>
      <c r="G48" s="6">
        <f t="shared" si="9"/>
        <v>0.14670464083195153</v>
      </c>
      <c r="H48" s="6">
        <f t="shared" si="9"/>
        <v>0.16056895215553299</v>
      </c>
      <c r="I48" s="6">
        <f t="shared" si="9"/>
        <v>0.19837111649561698</v>
      </c>
      <c r="J48" s="6">
        <f t="shared" si="9"/>
        <v>0.1603459064927143</v>
      </c>
    </row>
    <row r="49" spans="2:13" x14ac:dyDescent="0.2">
      <c r="B49" t="s">
        <v>56</v>
      </c>
      <c r="C49" s="6">
        <f>C38/C$43</f>
        <v>9.617666163831283E-2</v>
      </c>
      <c r="D49" s="6">
        <f t="shared" si="9"/>
        <v>0.10919274099951935</v>
      </c>
      <c r="E49" s="6">
        <f t="shared" si="9"/>
        <v>0.11227031099577246</v>
      </c>
      <c r="F49" s="6">
        <f t="shared" si="9"/>
        <v>0.10474068971646965</v>
      </c>
      <c r="G49" s="6">
        <f t="shared" si="9"/>
        <v>8.9014104689962945E-2</v>
      </c>
      <c r="H49" s="6">
        <f t="shared" si="9"/>
        <v>0.10188876672010386</v>
      </c>
      <c r="I49" s="6">
        <f t="shared" si="9"/>
        <v>0.10954368427061793</v>
      </c>
      <c r="J49" s="6">
        <f t="shared" si="9"/>
        <v>0.10574126951574142</v>
      </c>
      <c r="M49" t="s">
        <v>47</v>
      </c>
    </row>
    <row r="50" spans="2:13" x14ac:dyDescent="0.2">
      <c r="B50" t="s">
        <v>50</v>
      </c>
      <c r="C50" s="6">
        <f t="shared" si="9"/>
        <v>8.3163782968375052E-2</v>
      </c>
      <c r="D50" s="6">
        <f t="shared" si="9"/>
        <v>7.3117548446090905E-2</v>
      </c>
      <c r="E50" s="6">
        <f t="shared" si="9"/>
        <v>6.3789711606881253E-2</v>
      </c>
      <c r="F50" s="6">
        <f>F39/F$43</f>
        <v>6.9449382277130919E-2</v>
      </c>
      <c r="G50" s="6">
        <f>G39/G$43</f>
        <v>8.0521095621200023E-2</v>
      </c>
      <c r="H50" s="6">
        <f>H39/H$43</f>
        <v>6.754628191892656E-2</v>
      </c>
      <c r="I50" s="6">
        <f>I39/I$43</f>
        <v>6.3483324241693839E-2</v>
      </c>
      <c r="J50" s="6">
        <f>J39/J$43</f>
        <v>6.633117207507086E-2</v>
      </c>
    </row>
    <row r="51" spans="2:13" x14ac:dyDescent="0.2">
      <c r="B51" t="s">
        <v>51</v>
      </c>
      <c r="C51" s="6">
        <f t="shared" ref="C51:F51" si="10">C40/C$43</f>
        <v>0.43683063394836724</v>
      </c>
      <c r="D51" s="6">
        <f t="shared" si="10"/>
        <v>0.44256222084149072</v>
      </c>
      <c r="E51" s="6">
        <f t="shared" si="10"/>
        <v>0.41930015487003475</v>
      </c>
      <c r="F51" s="6">
        <f>F40/F$43</f>
        <v>0.44284674695582615</v>
      </c>
      <c r="G51" s="6">
        <f>G40/G$43</f>
        <v>0.43991176892055106</v>
      </c>
      <c r="H51" s="6">
        <f>H40/H$43</f>
        <v>0.4474678887275515</v>
      </c>
      <c r="I51" s="6">
        <f>I40/I$43</f>
        <v>0.42565872099661284</v>
      </c>
      <c r="J51" s="6">
        <f>J40/J$43</f>
        <v>0.44172490495196326</v>
      </c>
    </row>
    <row r="52" spans="2:13" x14ac:dyDescent="0.2">
      <c r="B52" t="s">
        <v>52</v>
      </c>
      <c r="C52" s="6">
        <f t="shared" ref="C52:F52" si="11">C41/C$43</f>
        <v>0.18931752175523547</v>
      </c>
      <c r="D52" s="6">
        <f t="shared" si="11"/>
        <v>0.16699980070573617</v>
      </c>
      <c r="E52" s="6">
        <f t="shared" si="11"/>
        <v>0.1544305386965803</v>
      </c>
      <c r="F52" s="6">
        <f>F41/F$43</f>
        <v>0.17545940360856813</v>
      </c>
      <c r="G52" s="6">
        <f>G41/G$43</f>
        <v>0.19627576818358616</v>
      </c>
      <c r="H52" s="6">
        <f>H41/H$43</f>
        <v>0.17042545512535356</v>
      </c>
      <c r="I52" s="6">
        <f>I41/I$43</f>
        <v>0.15621297271239551</v>
      </c>
      <c r="J52" s="6">
        <f>J41/J$43</f>
        <v>0.1777411433108794</v>
      </c>
    </row>
    <row r="53" spans="2:13" x14ac:dyDescent="0.2">
      <c r="B53" t="s">
        <v>53</v>
      </c>
      <c r="C53" s="6">
        <f t="shared" ref="C53:F53" si="12">C42/C$43</f>
        <v>4.8924451220494207E-2</v>
      </c>
      <c r="D53" s="6">
        <f t="shared" si="12"/>
        <v>5.3955991137266852E-2</v>
      </c>
      <c r="E53" s="6">
        <f t="shared" si="12"/>
        <v>4.7648696161734547E-2</v>
      </c>
      <c r="F53" s="6">
        <f>F42/F$43</f>
        <v>4.9970558172606878E-2</v>
      </c>
      <c r="G53" s="6">
        <f>G42/G$43</f>
        <v>4.7572621752748262E-2</v>
      </c>
      <c r="H53" s="6">
        <f>H42/H$43</f>
        <v>5.210265535253155E-2</v>
      </c>
      <c r="I53" s="6">
        <f>I42/I$43</f>
        <v>4.6730181283062909E-2</v>
      </c>
      <c r="J53" s="6">
        <f>J42/J$43</f>
        <v>4.8115603653630754E-2</v>
      </c>
    </row>
    <row r="55" spans="2:13" x14ac:dyDescent="0.2">
      <c r="M55" t="s">
        <v>66</v>
      </c>
    </row>
    <row r="56" spans="2:13" s="1" customFormat="1" x14ac:dyDescent="0.2">
      <c r="B56" s="1" t="s">
        <v>65</v>
      </c>
      <c r="G56" s="9">
        <f>G37/C37-1</f>
        <v>5.7006950718117899E-2</v>
      </c>
      <c r="H56" s="9">
        <f>H37/D37-1</f>
        <v>9.1019694319823596E-2</v>
      </c>
      <c r="I56" s="9">
        <f>I37/E37-1</f>
        <v>9.7507426062248825E-3</v>
      </c>
      <c r="J56" s="9">
        <f>J37/F37-1</f>
        <v>7.5250806636458112E-2</v>
      </c>
      <c r="K56" s="9">
        <f>AVERAGE(G56:J56)</f>
        <v>5.8257048570156122E-2</v>
      </c>
      <c r="M56" s="9">
        <f>K56-$K$62</f>
        <v>1.2264138690131987E-2</v>
      </c>
    </row>
    <row r="57" spans="2:13" x14ac:dyDescent="0.2">
      <c r="B57" t="s">
        <v>59</v>
      </c>
      <c r="G57" s="6">
        <f>G38/C38-1</f>
        <v>-2.9164689793753973E-2</v>
      </c>
      <c r="H57" s="6">
        <f>H38/D38-1</f>
        <v>-2.2519258125989761E-2</v>
      </c>
      <c r="I57" s="6">
        <f>I38/E38-1</f>
        <v>6.0350452045856429E-3</v>
      </c>
      <c r="J57" s="6">
        <f>J38/F38-1</f>
        <v>6.6481039512065854E-2</v>
      </c>
      <c r="K57" s="6">
        <f>AVERAGE(G57:J57)</f>
        <v>5.2080341992269408E-3</v>
      </c>
      <c r="M57" s="9">
        <f t="shared" ref="M57:M61" si="13">K57-$K$62</f>
        <v>-4.0784875680797195E-2</v>
      </c>
    </row>
    <row r="58" spans="2:13" x14ac:dyDescent="0.2">
      <c r="B58" t="s">
        <v>60</v>
      </c>
      <c r="G58" s="6">
        <f>G39/C39-1</f>
        <v>1.5621469838298374E-2</v>
      </c>
      <c r="H58" s="6">
        <f>H39/D39-1</f>
        <v>-3.2267115600448926E-2</v>
      </c>
      <c r="I58" s="6">
        <f>I39/E39-1</f>
        <v>2.612368766404205E-2</v>
      </c>
      <c r="J58" s="6">
        <f>J39/F39-1</f>
        <v>8.9585666293392485E-3</v>
      </c>
      <c r="K58" s="6">
        <f t="shared" ref="K58:K62" si="14">AVERAGE(G58:J58)</f>
        <v>4.6091521328076868E-3</v>
      </c>
      <c r="M58" s="9">
        <f t="shared" si="13"/>
        <v>-4.1383757747216449E-2</v>
      </c>
    </row>
    <row r="59" spans="2:13" s="1" customFormat="1" x14ac:dyDescent="0.2">
      <c r="B59" s="1" t="s">
        <v>61</v>
      </c>
      <c r="G59" s="9">
        <f>G40/C40-1</f>
        <v>5.635265418481894E-2</v>
      </c>
      <c r="H59" s="9">
        <f>H40/D40-1</f>
        <v>5.916399565574415E-2</v>
      </c>
      <c r="I59" s="9">
        <f>I40/E40-1</f>
        <v>4.671200399301223E-2</v>
      </c>
      <c r="J59" s="9">
        <f>J40/F40-1</f>
        <v>5.371333237162812E-2</v>
      </c>
      <c r="K59" s="9">
        <f t="shared" si="14"/>
        <v>5.398549655130086E-2</v>
      </c>
      <c r="M59" s="9">
        <f t="shared" si="13"/>
        <v>7.9925866712767246E-3</v>
      </c>
    </row>
    <row r="60" spans="2:13" s="1" customFormat="1" x14ac:dyDescent="0.2">
      <c r="B60" s="1" t="s">
        <v>62</v>
      </c>
      <c r="G60" s="9">
        <f>G41/C41-1</f>
        <v>8.7507620762501626E-2</v>
      </c>
      <c r="H60" s="9">
        <f>H41/D41-1</f>
        <v>6.9040557378775347E-2</v>
      </c>
      <c r="I60" s="9">
        <f>I41/E41-1</f>
        <v>4.2976690608483636E-2</v>
      </c>
      <c r="J60" s="9">
        <f>J41/F41-1</f>
        <v>7.0127115290243847E-2</v>
      </c>
      <c r="K60" s="9">
        <f t="shared" si="14"/>
        <v>6.7412996010001114E-2</v>
      </c>
      <c r="M60" s="9">
        <f t="shared" si="13"/>
        <v>2.1420086129976978E-2</v>
      </c>
    </row>
    <row r="61" spans="2:13" x14ac:dyDescent="0.2">
      <c r="B61" t="s">
        <v>63</v>
      </c>
      <c r="G61" s="6">
        <f>G42/C42-1</f>
        <v>1.9970373621550408E-2</v>
      </c>
      <c r="H61" s="6">
        <f>H42/D42-1</f>
        <v>1.156979902227051E-2</v>
      </c>
      <c r="I61" s="6">
        <f>I42/E42-1</f>
        <v>1.1200175689030312E-2</v>
      </c>
      <c r="J61" s="6">
        <f>J42/F42-1</f>
        <v>1.7175254293813502E-2</v>
      </c>
      <c r="K61" s="6">
        <f t="shared" si="14"/>
        <v>1.4978900656666183E-2</v>
      </c>
      <c r="M61" s="9">
        <f t="shared" si="13"/>
        <v>-3.1014009223357952E-2</v>
      </c>
    </row>
    <row r="62" spans="2:13" x14ac:dyDescent="0.2">
      <c r="B62" t="s">
        <v>64</v>
      </c>
      <c r="G62" s="6">
        <f>G43/C43-1</f>
        <v>4.8953977141568794E-2</v>
      </c>
      <c r="H62" s="6">
        <f>H43/D43-1</f>
        <v>4.7552197512338745E-2</v>
      </c>
      <c r="I62" s="6">
        <f>I43/E43-1</f>
        <v>3.1076032815704702E-2</v>
      </c>
      <c r="J62" s="6">
        <f>J43/F43-1</f>
        <v>5.6389432050484301E-2</v>
      </c>
      <c r="K62" s="6">
        <f t="shared" si="14"/>
        <v>4.5992909880024135E-2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Wong</dc:creator>
  <cp:lastModifiedBy>Bobby S</cp:lastModifiedBy>
  <dcterms:created xsi:type="dcterms:W3CDTF">2025-01-18T18:32:07Z</dcterms:created>
  <dcterms:modified xsi:type="dcterms:W3CDTF">2025-01-28T15:51:58Z</dcterms:modified>
</cp:coreProperties>
</file>