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608" documentId="8_{75D538D6-9CEE-E044-BD53-F58DA6CC3F38}" xr6:coauthVersionLast="47" xr6:coauthVersionMax="47" xr10:uidLastSave="{C1B32E81-45AE-3349-A223-3070439F1C74}"/>
  <bookViews>
    <workbookView xWindow="-38200" yWindow="-11860" windowWidth="38200" windowHeight="31500" activeTab="1" xr2:uid="{9F458AF3-6CD6-3C4B-B7D0-7F994AD3DB7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2" l="1"/>
  <c r="G82" i="2"/>
  <c r="G87" i="2" s="1"/>
  <c r="G66" i="2"/>
  <c r="G68" i="2"/>
  <c r="G80" i="2"/>
  <c r="G73" i="2"/>
  <c r="G81" i="2" s="1"/>
  <c r="K82" i="2"/>
  <c r="K87" i="2" s="1"/>
  <c r="K80" i="2"/>
  <c r="K68" i="2"/>
  <c r="K66" i="2"/>
  <c r="G88" i="2" l="1"/>
  <c r="K73" i="2"/>
  <c r="K81" i="2" s="1"/>
  <c r="G46" i="2"/>
  <c r="G38" i="2"/>
  <c r="G42" i="2" s="1"/>
  <c r="G31" i="2"/>
  <c r="K46" i="2"/>
  <c r="K38" i="2"/>
  <c r="K42" i="2" s="1"/>
  <c r="V15" i="2"/>
  <c r="V13" i="2"/>
  <c r="V11" i="2"/>
  <c r="V5" i="2"/>
  <c r="J10" i="2"/>
  <c r="J8" i="2"/>
  <c r="J6" i="2"/>
  <c r="J4" i="2"/>
  <c r="J3" i="2"/>
  <c r="W15" i="2"/>
  <c r="W13" i="2"/>
  <c r="W11" i="2"/>
  <c r="W5" i="2"/>
  <c r="G15" i="2"/>
  <c r="G13" i="2"/>
  <c r="K15" i="2"/>
  <c r="K13" i="2"/>
  <c r="G11" i="2"/>
  <c r="G5" i="2"/>
  <c r="K11" i="2"/>
  <c r="K5" i="2"/>
  <c r="L15" i="2"/>
  <c r="H15" i="2"/>
  <c r="H13" i="2"/>
  <c r="H11" i="2"/>
  <c r="H5" i="2"/>
  <c r="L13" i="2"/>
  <c r="L11" i="2"/>
  <c r="L5" i="2"/>
  <c r="L24" i="2" s="1"/>
  <c r="M15" i="2"/>
  <c r="I15" i="2"/>
  <c r="I7" i="2"/>
  <c r="J7" i="2" s="1"/>
  <c r="I9" i="2"/>
  <c r="J9" i="2" s="1"/>
  <c r="M9" i="2"/>
  <c r="M8" i="2"/>
  <c r="M7" i="2"/>
  <c r="F17" i="2"/>
  <c r="E17" i="2"/>
  <c r="D17" i="2"/>
  <c r="C17" i="2"/>
  <c r="I13" i="2"/>
  <c r="I5" i="2"/>
  <c r="M13" i="2"/>
  <c r="M5" i="2"/>
  <c r="N6" i="1"/>
  <c r="N7" i="1"/>
  <c r="N5" i="1"/>
  <c r="N8" i="1" s="1"/>
  <c r="K88" i="2" l="1"/>
  <c r="K12" i="2"/>
  <c r="J13" i="2"/>
  <c r="M24" i="2"/>
  <c r="K31" i="2"/>
  <c r="K55" i="2"/>
  <c r="M11" i="2"/>
  <c r="G55" i="2"/>
  <c r="G57" i="2" s="1"/>
  <c r="J5" i="2"/>
  <c r="K57" i="2"/>
  <c r="I11" i="2"/>
  <c r="I12" i="2" s="1"/>
  <c r="I14" i="2" s="1"/>
  <c r="I16" i="2" s="1"/>
  <c r="I17" i="2" s="1"/>
  <c r="J15" i="2"/>
  <c r="K14" i="2"/>
  <c r="K16" i="2" s="1"/>
  <c r="W24" i="2"/>
  <c r="G12" i="2"/>
  <c r="G21" i="2" s="1"/>
  <c r="J11" i="2"/>
  <c r="V12" i="2"/>
  <c r="V14" i="2" s="1"/>
  <c r="V16" i="2" s="1"/>
  <c r="V18" i="2" s="1"/>
  <c r="W12" i="2"/>
  <c r="W14" i="2" s="1"/>
  <c r="W16" i="2" s="1"/>
  <c r="W18" i="2" s="1"/>
  <c r="L12" i="2"/>
  <c r="K21" i="2"/>
  <c r="K24" i="2"/>
  <c r="H12" i="2"/>
  <c r="M12" i="2"/>
  <c r="M21" i="2" s="1"/>
  <c r="J12" i="2" l="1"/>
  <c r="J21" i="2" s="1"/>
  <c r="M14" i="2"/>
  <c r="M16" i="2" s="1"/>
  <c r="K17" i="2"/>
  <c r="K60" i="2"/>
  <c r="G14" i="2"/>
  <c r="G16" i="2" s="1"/>
  <c r="H14" i="2"/>
  <c r="H16" i="2" s="1"/>
  <c r="H17" i="2" s="1"/>
  <c r="H21" i="2"/>
  <c r="K25" i="2"/>
  <c r="L14" i="2"/>
  <c r="L16" i="2" s="1"/>
  <c r="L21" i="2"/>
  <c r="I21" i="2"/>
  <c r="M25" i="2"/>
  <c r="M17" i="2"/>
  <c r="G17" i="2" l="1"/>
  <c r="G60" i="2"/>
  <c r="J14" i="2"/>
  <c r="J16" i="2" s="1"/>
  <c r="J17" i="2"/>
  <c r="J18" i="2" s="1"/>
  <c r="L17" i="2"/>
  <c r="L25" i="2"/>
</calcChain>
</file>

<file path=xl/sharedStrings.xml><?xml version="1.0" encoding="utf-8"?>
<sst xmlns="http://schemas.openxmlformats.org/spreadsheetml/2006/main" count="102" uniqueCount="80">
  <si>
    <t>Price</t>
  </si>
  <si>
    <t>Shares</t>
  </si>
  <si>
    <t>Cash</t>
  </si>
  <si>
    <t>Debt</t>
  </si>
  <si>
    <t>MC</t>
  </si>
  <si>
    <t>EV</t>
  </si>
  <si>
    <t>Q324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</si>
  <si>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</si>
  <si>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</si>
  <si>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</si>
  <si>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</si>
  <si>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</si>
  <si>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</si>
  <si>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</si>
  <si>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</si>
  <si>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</si>
  <si>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</si>
  <si>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</si>
  <si>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</si>
  <si>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Service</t>
  </si>
  <si>
    <t>Equipment</t>
  </si>
  <si>
    <t>Equipment Cost</t>
  </si>
  <si>
    <t>Other</t>
  </si>
  <si>
    <t>SG&amp;A</t>
  </si>
  <si>
    <t>Impairments</t>
  </si>
  <si>
    <t>D&amp;A</t>
  </si>
  <si>
    <t>Operating Costs</t>
  </si>
  <si>
    <t>Operating Income</t>
  </si>
  <si>
    <t>Interest Income</t>
  </si>
  <si>
    <t>Pretax Income</t>
  </si>
  <si>
    <t>Net Income</t>
  </si>
  <si>
    <t>Taxes + MI</t>
  </si>
  <si>
    <t>MI=minority interest</t>
  </si>
  <si>
    <t xml:space="preserve">  </t>
  </si>
  <si>
    <t>Revenue Y/Y</t>
  </si>
  <si>
    <t>Net Income Y/Y</t>
  </si>
  <si>
    <t>Gross Margin %</t>
  </si>
  <si>
    <t>EPS</t>
  </si>
  <si>
    <t>EBITDA</t>
  </si>
  <si>
    <t>GAAP</t>
  </si>
  <si>
    <t>Non-GAAP</t>
  </si>
  <si>
    <t>A/R</t>
  </si>
  <si>
    <t>Inventories</t>
  </si>
  <si>
    <t>Prepaids</t>
  </si>
  <si>
    <t>PP&amp;E</t>
  </si>
  <si>
    <t>Licenses</t>
  </si>
  <si>
    <t>Intangibles</t>
  </si>
  <si>
    <t>Investments</t>
  </si>
  <si>
    <t>Operating Lease</t>
  </si>
  <si>
    <t>Assets</t>
  </si>
  <si>
    <t>Net Cash</t>
  </si>
  <si>
    <t>A/P</t>
  </si>
  <si>
    <t>Deposits</t>
  </si>
  <si>
    <t>Dividends</t>
  </si>
  <si>
    <t>D/T</t>
  </si>
  <si>
    <t>Pension</t>
  </si>
  <si>
    <t>ONCL</t>
  </si>
  <si>
    <t>Liabilities</t>
  </si>
  <si>
    <t>S/E</t>
  </si>
  <si>
    <t>L+S/E</t>
  </si>
  <si>
    <t>NI</t>
  </si>
  <si>
    <t>Model NI</t>
  </si>
  <si>
    <t>Reported GAAP NI</t>
  </si>
  <si>
    <t>Uncollectible</t>
  </si>
  <si>
    <t>Restructuring</t>
  </si>
  <si>
    <t>OCA</t>
  </si>
  <si>
    <t>Deferred fulfillment</t>
  </si>
  <si>
    <t>CFFO</t>
  </si>
  <si>
    <t>CapEx</t>
  </si>
  <si>
    <t>FCF</t>
  </si>
  <si>
    <t>Acquisitions</t>
  </si>
  <si>
    <t>Dispositions</t>
  </si>
  <si>
    <t>Distributions from DirectTV</t>
  </si>
  <si>
    <t>Sale of securities</t>
  </si>
  <si>
    <t>CFFI</t>
  </si>
  <si>
    <t>CFFF</t>
  </si>
  <si>
    <t>Net debt</t>
  </si>
  <si>
    <t>Vendor financing</t>
  </si>
  <si>
    <t>Net treasure stock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</si>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</sst>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25400</xdr:rowOff>
    </xdr:from>
    <xdr:to>
      <xdr:col>23</xdr:col>
      <xdr:colOff>0</xdr:colOff>
      <xdr:row>45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BD727F5-8657-1FBC-8BFD-C37E5ADD060D}"/>
            </a:ext>
          </a:extLst>
        </xdr:cNvPr>
        <xdr:cNvCxnSpPr/>
      </xdr:nvCxnSpPr>
      <xdr:spPr>
        <a:xfrm>
          <a:off x="19672300" y="25400"/>
          <a:ext cx="0" cy="9194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25400</xdr:colOff>
      <xdr:row>0</xdr:row>
      <xdr:rowOff>25400</xdr:rowOff>
    </xdr:from>
    <xdr:to>
      <xdr:col>13</xdr:col>
      <xdr:colOff>25400</xdr:colOff>
      <xdr:row>57</xdr:row>
      <xdr:rowOff>101600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97CC11C-00A7-8FA8-8908-7F2B8C6FDAA9}"/>
            </a:ext>
          </a:extLst>
        </xdr:cNvPr>
        <xdr:cNvCxnSpPr/>
      </xdr:nvCxnSpPr>
      <xdr:spPr>
        <a:xfrm>
          <a:off x="11391900" y="25400"/>
          <a:ext cx="0" cy="11455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8ECA-D6B2-3841-B761-5ED30C699189}">
  <dimension ref="M3:O16"/>
  <sheetViews>
    <sheetView workbookViewId="0">
      <selection activeCell="C75" sqref="C75"/>
    </sheetView>
  </sheetViews>
  <sheetFormatPr baseColWidth="10" defaultRowHeight="16" x14ac:dyDescent="0.2"/>
  <cols>
    <col min="15" max="15" width="10.83203125" style="2"/>
  </cols>
  <sheetData>
    <row r="3" spans="13:15" x14ac:dyDescent="0.2">
      <c r="M3" s="1" t="s">
        <v>0</v>
      </c>
      <c r="N3">
        <v>22.18</v>
      </c>
    </row>
    <row r="4" spans="13:15" x14ac:dyDescent="0.2">
      <c r="M4" s="1" t="s">
        <v>1</v>
      </c>
      <c r="N4" s="3">
        <v>7208</v>
      </c>
      <c r="O4" s="2" t="s">
        <v>6</v>
      </c>
    </row>
    <row r="5" spans="13:15" x14ac:dyDescent="0.2">
      <c r="M5" s="1" t="s">
        <v>4</v>
      </c>
      <c r="N5" s="3">
        <f>N4*N3</f>
        <v>159873.44</v>
      </c>
    </row>
    <row r="6" spans="13:15" x14ac:dyDescent="0.2">
      <c r="M6" s="1" t="s">
        <v>2</v>
      </c>
      <c r="N6" s="3">
        <f>2586+281</f>
        <v>2867</v>
      </c>
      <c r="O6" s="2" t="s">
        <v>6</v>
      </c>
    </row>
    <row r="7" spans="13:15" x14ac:dyDescent="0.2">
      <c r="M7" s="1" t="s">
        <v>3</v>
      </c>
      <c r="N7" s="3">
        <f>2637 + 126375</f>
        <v>129012</v>
      </c>
      <c r="O7" s="2" t="s">
        <v>6</v>
      </c>
    </row>
    <row r="8" spans="13:15" x14ac:dyDescent="0.2">
      <c r="M8" s="1" t="s">
        <v>5</v>
      </c>
      <c r="N8" s="3">
        <f>N5-N6+N7</f>
        <v>286018.44</v>
      </c>
    </row>
    <row r="9" spans="13:15" x14ac:dyDescent="0.2">
      <c r="N9" s="3"/>
    </row>
    <row r="10" spans="13:15" x14ac:dyDescent="0.2">
      <c r="N10" s="3"/>
    </row>
    <row r="11" spans="13:15" x14ac:dyDescent="0.2">
      <c r="N11" s="3"/>
    </row>
    <row r="12" spans="13:15" x14ac:dyDescent="0.2">
      <c r="N12" s="3"/>
    </row>
    <row r="13" spans="13:15" x14ac:dyDescent="0.2">
      <c r="N13" s="3"/>
    </row>
    <row r="14" spans="13:15" x14ac:dyDescent="0.2">
      <c r="N14" s="3"/>
    </row>
    <row r="15" spans="13:15" x14ac:dyDescent="0.2">
      <c r="N15" s="3"/>
    </row>
    <row r="16" spans="13:15" x14ac:dyDescent="0.2">
      <c r="N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95E5E-A52E-074E-B30B-D5756C463BF6}">
  <dimension ref="A1:W88"/>
  <sheetViews>
    <sheetView tabSelected="1" workbookViewId="0">
      <pane xSplit="2" ySplit="2" topLeftCell="C22" activePane="bottomRight" state="frozen"/>
      <selection pane="topRight" activeCell="C1" sqref="C1"/>
      <selection pane="bottomLeft" activeCell="A3" sqref="A3"/>
      <selection pane="bottomRight" activeCell="K90" sqref="K90"/>
    </sheetView>
  </sheetViews>
  <sheetFormatPr baseColWidth="10" defaultRowHeight="16" x14ac:dyDescent="0.2"/>
  <cols>
    <col min="2" max="2" width="19.1640625" customWidth="1"/>
    <col min="17" max="17" width="11.5" customWidth="1"/>
  </cols>
  <sheetData>
    <row r="1" spans="1:23" x14ac:dyDescent="0.2">
      <c r="C1" s="2"/>
      <c r="D1" s="2"/>
      <c r="E1" s="2"/>
      <c r="F1" s="2"/>
      <c r="G1" s="2" t="s">
        <v>39</v>
      </c>
      <c r="H1" s="2" t="s">
        <v>39</v>
      </c>
      <c r="I1" s="2" t="s">
        <v>40</v>
      </c>
      <c r="J1" s="2"/>
      <c r="K1" s="2" t="s">
        <v>39</v>
      </c>
      <c r="L1" s="2" t="s">
        <v>39</v>
      </c>
      <c r="M1" s="2" t="s">
        <v>40</v>
      </c>
      <c r="N1" s="2"/>
      <c r="O1" s="2"/>
      <c r="P1" s="2"/>
      <c r="Q1" s="2"/>
      <c r="R1" s="2"/>
      <c r="S1" s="2"/>
      <c r="T1" s="2"/>
      <c r="U1" s="2"/>
      <c r="V1" s="2"/>
    </row>
    <row r="2" spans="1:23" s="1" customFormat="1" x14ac:dyDescent="0.2"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6</v>
      </c>
      <c r="N2" s="4" t="s">
        <v>18</v>
      </c>
      <c r="O2" s="4"/>
      <c r="P2" s="4"/>
      <c r="Q2" s="4"/>
      <c r="R2" s="4"/>
      <c r="S2" s="4"/>
      <c r="T2" s="4"/>
      <c r="U2" s="4"/>
      <c r="V2" s="4">
        <v>2022</v>
      </c>
      <c r="W2" s="1">
        <v>2023</v>
      </c>
    </row>
    <row r="3" spans="1:23" s="1" customFormat="1" x14ac:dyDescent="0.2">
      <c r="B3" t="s">
        <v>19</v>
      </c>
      <c r="C3" s="5"/>
      <c r="D3" s="5"/>
      <c r="E3" s="5"/>
      <c r="F3" s="5"/>
      <c r="G3" s="5">
        <v>24617</v>
      </c>
      <c r="H3" s="5">
        <v>24850</v>
      </c>
      <c r="I3" s="5">
        <v>25112</v>
      </c>
      <c r="J3" s="5">
        <f>W3-I3-H3-G3</f>
        <v>25070</v>
      </c>
      <c r="K3" s="5">
        <v>24842</v>
      </c>
      <c r="L3" s="5">
        <v>25006</v>
      </c>
      <c r="M3" s="5">
        <v>25134</v>
      </c>
      <c r="N3" s="5"/>
      <c r="O3" s="2"/>
      <c r="P3" s="2"/>
      <c r="Q3" s="2"/>
      <c r="R3" s="2"/>
      <c r="S3" s="2"/>
      <c r="T3" s="2"/>
      <c r="U3" s="2"/>
      <c r="V3" s="10">
        <v>97831</v>
      </c>
      <c r="W3">
        <v>99649</v>
      </c>
    </row>
    <row r="4" spans="1:23" s="1" customFormat="1" x14ac:dyDescent="0.2">
      <c r="B4" t="s">
        <v>20</v>
      </c>
      <c r="C4" s="5"/>
      <c r="D4" s="5"/>
      <c r="E4" s="5"/>
      <c r="F4" s="5"/>
      <c r="G4" s="5">
        <v>5522</v>
      </c>
      <c r="H4" s="5">
        <v>5067</v>
      </c>
      <c r="I4" s="5">
        <v>5238</v>
      </c>
      <c r="J4" s="5">
        <f>W4-I4-H4-G4</f>
        <v>6952</v>
      </c>
      <c r="K4" s="5">
        <v>5186</v>
      </c>
      <c r="L4" s="5">
        <v>4792</v>
      </c>
      <c r="M4" s="5">
        <v>5079</v>
      </c>
      <c r="N4" s="5"/>
      <c r="O4" s="2"/>
      <c r="P4" s="2"/>
      <c r="Q4" s="2"/>
      <c r="R4" s="2"/>
      <c r="S4" s="2"/>
      <c r="T4" s="2"/>
      <c r="U4" s="2"/>
      <c r="V4" s="10">
        <v>22910</v>
      </c>
      <c r="W4">
        <v>22779</v>
      </c>
    </row>
    <row r="5" spans="1:23" s="1" customFormat="1" x14ac:dyDescent="0.2">
      <c r="B5" s="1" t="s">
        <v>7</v>
      </c>
      <c r="C5" s="6"/>
      <c r="D5" s="6"/>
      <c r="E5" s="6"/>
      <c r="F5" s="6"/>
      <c r="G5" s="6">
        <f t="shared" ref="G5:M5" si="0">SUM(G3:G4)</f>
        <v>30139</v>
      </c>
      <c r="H5" s="6">
        <f t="shared" si="0"/>
        <v>29917</v>
      </c>
      <c r="I5" s="6">
        <f t="shared" si="0"/>
        <v>30350</v>
      </c>
      <c r="J5" s="6">
        <f t="shared" si="0"/>
        <v>32022</v>
      </c>
      <c r="K5" s="6">
        <f t="shared" si="0"/>
        <v>30028</v>
      </c>
      <c r="L5" s="6">
        <f t="shared" si="0"/>
        <v>29798</v>
      </c>
      <c r="M5" s="6">
        <f t="shared" si="0"/>
        <v>30213</v>
      </c>
      <c r="N5" s="6"/>
      <c r="O5" s="4"/>
      <c r="P5" s="4"/>
      <c r="Q5" s="4"/>
      <c r="R5" s="4"/>
      <c r="S5" s="4"/>
      <c r="T5" s="4"/>
      <c r="U5" s="4"/>
      <c r="V5" s="11">
        <f>SUM(V3:V4)</f>
        <v>120741</v>
      </c>
      <c r="W5" s="6">
        <f>SUM(W3:W4)</f>
        <v>122428</v>
      </c>
    </row>
    <row r="6" spans="1:23" x14ac:dyDescent="0.2">
      <c r="B6" t="s">
        <v>21</v>
      </c>
      <c r="C6" s="5"/>
      <c r="D6" s="5"/>
      <c r="E6" s="5"/>
      <c r="F6" s="5"/>
      <c r="G6" s="5">
        <v>5658</v>
      </c>
      <c r="H6" s="5">
        <v>5056</v>
      </c>
      <c r="I6" s="5">
        <v>5219</v>
      </c>
      <c r="J6" s="5">
        <f t="shared" ref="J6:J10" si="1">W6-I6-H6-G6</f>
        <v>7203</v>
      </c>
      <c r="K6" s="5">
        <v>5143</v>
      </c>
      <c r="L6" s="5">
        <v>4815</v>
      </c>
      <c r="M6" s="5">
        <v>4933</v>
      </c>
      <c r="N6" s="5"/>
      <c r="O6" s="2"/>
      <c r="P6" s="2"/>
      <c r="Q6" s="2"/>
      <c r="R6" s="2"/>
      <c r="S6" s="2"/>
      <c r="T6" s="2"/>
      <c r="U6" s="2"/>
      <c r="V6" s="10">
        <v>24009</v>
      </c>
      <c r="W6" s="5">
        <v>23136</v>
      </c>
    </row>
    <row r="7" spans="1:23" x14ac:dyDescent="0.2">
      <c r="B7" t="s">
        <v>22</v>
      </c>
      <c r="C7" s="5"/>
      <c r="D7" s="5"/>
      <c r="E7" s="5"/>
      <c r="F7" s="5"/>
      <c r="G7" s="5">
        <v>6673</v>
      </c>
      <c r="H7" s="5">
        <v>6771</v>
      </c>
      <c r="I7" s="5">
        <f>6835+423-507+71</f>
        <v>6822</v>
      </c>
      <c r="J7" s="5">
        <f t="shared" si="1"/>
        <v>6721</v>
      </c>
      <c r="K7" s="5">
        <v>6811</v>
      </c>
      <c r="L7" s="5">
        <v>6627</v>
      </c>
      <c r="M7" s="5">
        <f>6697+281+92</f>
        <v>7070</v>
      </c>
      <c r="N7" s="5"/>
      <c r="O7" s="2"/>
      <c r="P7" s="2"/>
      <c r="Q7" s="2"/>
      <c r="R7" s="2"/>
      <c r="S7" s="2"/>
      <c r="T7" s="2"/>
      <c r="U7" s="2"/>
      <c r="V7" s="10">
        <v>26839</v>
      </c>
      <c r="W7" s="5">
        <v>26987</v>
      </c>
    </row>
    <row r="8" spans="1:23" x14ac:dyDescent="0.2">
      <c r="B8" t="s">
        <v>23</v>
      </c>
      <c r="C8" s="5"/>
      <c r="D8" s="5"/>
      <c r="E8" s="5"/>
      <c r="F8" s="5"/>
      <c r="G8" s="5">
        <v>7175</v>
      </c>
      <c r="H8" s="5">
        <v>7009</v>
      </c>
      <c r="I8" s="5">
        <v>7205</v>
      </c>
      <c r="J8" s="5">
        <f t="shared" si="1"/>
        <v>7485</v>
      </c>
      <c r="K8" s="5">
        <v>7021</v>
      </c>
      <c r="L8" s="5">
        <v>7043</v>
      </c>
      <c r="M8" s="5">
        <f>6958</f>
        <v>6958</v>
      </c>
      <c r="N8" s="5"/>
      <c r="O8" s="2"/>
      <c r="P8" s="2"/>
      <c r="Q8" s="2"/>
      <c r="R8" s="2"/>
      <c r="S8" s="2"/>
      <c r="T8" s="2"/>
      <c r="U8" s="2"/>
      <c r="V8" s="10">
        <v>28961</v>
      </c>
      <c r="W8" s="5">
        <v>28874</v>
      </c>
    </row>
    <row r="9" spans="1:23" x14ac:dyDescent="0.2">
      <c r="B9" t="s">
        <v>24</v>
      </c>
      <c r="C9" s="5"/>
      <c r="D9" s="5"/>
      <c r="E9" s="5"/>
      <c r="F9" s="5"/>
      <c r="G9" s="5">
        <v>0</v>
      </c>
      <c r="H9" s="5">
        <v>0</v>
      </c>
      <c r="I9" s="5">
        <f>604-604-40-21</f>
        <v>-61</v>
      </c>
      <c r="J9" s="5">
        <f t="shared" si="1"/>
        <v>1254</v>
      </c>
      <c r="K9" s="5">
        <v>159</v>
      </c>
      <c r="L9" s="5">
        <v>480</v>
      </c>
      <c r="M9" s="5">
        <f>4422-4422+73-13</f>
        <v>60</v>
      </c>
      <c r="N9" s="5"/>
      <c r="O9" s="2"/>
      <c r="P9" s="2"/>
      <c r="Q9" s="2"/>
      <c r="R9" s="2"/>
      <c r="S9" s="2"/>
      <c r="T9" s="2"/>
      <c r="U9" s="2"/>
      <c r="V9" s="10">
        <v>27498</v>
      </c>
      <c r="W9" s="5">
        <v>1193</v>
      </c>
    </row>
    <row r="10" spans="1:23" x14ac:dyDescent="0.2">
      <c r="B10" t="s">
        <v>25</v>
      </c>
      <c r="C10" s="5"/>
      <c r="D10" s="5"/>
      <c r="E10" s="5"/>
      <c r="F10" s="5"/>
      <c r="G10" s="5">
        <v>4631</v>
      </c>
      <c r="H10" s="5">
        <v>4675</v>
      </c>
      <c r="I10" s="5">
        <v>4705</v>
      </c>
      <c r="J10" s="5">
        <f t="shared" si="1"/>
        <v>4766</v>
      </c>
      <c r="K10" s="5">
        <v>5047</v>
      </c>
      <c r="L10" s="5">
        <v>5072</v>
      </c>
      <c r="M10" s="5">
        <v>5087</v>
      </c>
      <c r="N10" s="5"/>
      <c r="O10" s="2"/>
      <c r="P10" s="2"/>
      <c r="Q10" s="2"/>
      <c r="R10" s="2"/>
      <c r="S10" s="2"/>
      <c r="T10" s="2"/>
      <c r="U10" s="2"/>
      <c r="V10" s="10">
        <v>18021</v>
      </c>
      <c r="W10" s="5">
        <v>18777</v>
      </c>
    </row>
    <row r="11" spans="1:23" s="1" customFormat="1" x14ac:dyDescent="0.2">
      <c r="B11" s="1" t="s">
        <v>26</v>
      </c>
      <c r="C11" s="6"/>
      <c r="D11" s="6"/>
      <c r="E11" s="6"/>
      <c r="F11" s="6"/>
      <c r="G11" s="6">
        <f t="shared" ref="G11:M11" si="2">SUM(G6:G10)</f>
        <v>24137</v>
      </c>
      <c r="H11" s="6">
        <f t="shared" si="2"/>
        <v>23511</v>
      </c>
      <c r="I11" s="6">
        <f t="shared" si="2"/>
        <v>23890</v>
      </c>
      <c r="J11" s="6">
        <f t="shared" si="2"/>
        <v>27429</v>
      </c>
      <c r="K11" s="6">
        <f t="shared" si="2"/>
        <v>24181</v>
      </c>
      <c r="L11" s="6">
        <f t="shared" si="2"/>
        <v>24037</v>
      </c>
      <c r="M11" s="6">
        <f t="shared" si="2"/>
        <v>24108</v>
      </c>
      <c r="N11" s="6"/>
      <c r="O11" s="4"/>
      <c r="P11" s="4"/>
      <c r="Q11" s="4"/>
      <c r="R11" s="4"/>
      <c r="S11" s="4"/>
      <c r="T11" s="4"/>
      <c r="U11" s="4"/>
      <c r="V11" s="11">
        <f>SUM(V6:V10)</f>
        <v>125328</v>
      </c>
      <c r="W11" s="6">
        <f>SUM(W6:W10)</f>
        <v>98967</v>
      </c>
    </row>
    <row r="12" spans="1:23" s="1" customFormat="1" x14ac:dyDescent="0.2">
      <c r="B12" s="1" t="s">
        <v>27</v>
      </c>
      <c r="C12" s="6"/>
      <c r="D12" s="6"/>
      <c r="E12" s="6"/>
      <c r="F12" s="6"/>
      <c r="G12" s="6">
        <f t="shared" ref="G12:M12" si="3">G5-G11</f>
        <v>6002</v>
      </c>
      <c r="H12" s="6">
        <f t="shared" si="3"/>
        <v>6406</v>
      </c>
      <c r="I12" s="6">
        <f t="shared" si="3"/>
        <v>6460</v>
      </c>
      <c r="J12" s="6">
        <f t="shared" si="3"/>
        <v>4593</v>
      </c>
      <c r="K12" s="6">
        <f t="shared" si="3"/>
        <v>5847</v>
      </c>
      <c r="L12" s="6">
        <f t="shared" si="3"/>
        <v>5761</v>
      </c>
      <c r="M12" s="6">
        <f t="shared" si="3"/>
        <v>6105</v>
      </c>
      <c r="N12" s="6"/>
      <c r="O12" s="4"/>
      <c r="P12" s="4"/>
      <c r="Q12" s="4"/>
      <c r="R12" s="4"/>
      <c r="S12" s="4"/>
      <c r="T12" s="4"/>
      <c r="U12" s="4"/>
      <c r="V12" s="11">
        <f>V5-V11</f>
        <v>-4587</v>
      </c>
      <c r="W12" s="6">
        <f>W5-W11</f>
        <v>23461</v>
      </c>
    </row>
    <row r="13" spans="1:23" x14ac:dyDescent="0.2">
      <c r="B13" t="s">
        <v>28</v>
      </c>
      <c r="C13" s="5"/>
      <c r="D13" s="5"/>
      <c r="E13" s="5"/>
      <c r="F13" s="5"/>
      <c r="G13" s="5">
        <f>-1708+538+935</f>
        <v>-235</v>
      </c>
      <c r="H13" s="5">
        <f>-1608+380+987</f>
        <v>-241</v>
      </c>
      <c r="I13" s="5">
        <f>-1662+420+440</f>
        <v>-802</v>
      </c>
      <c r="J13" s="5">
        <f t="shared" ref="J13:J17" si="4">W13-I13-H13-G13</f>
        <v>-2335</v>
      </c>
      <c r="K13" s="5">
        <f>-1724+295+451</f>
        <v>-978</v>
      </c>
      <c r="L13" s="5">
        <f>-1699+348+682</f>
        <v>-669</v>
      </c>
      <c r="M13" s="5">
        <f>-1675+272+717</f>
        <v>-686</v>
      </c>
      <c r="N13" s="5"/>
      <c r="O13" s="2"/>
      <c r="P13" s="2"/>
      <c r="Q13" s="2"/>
      <c r="R13" s="2"/>
      <c r="S13" s="2"/>
      <c r="T13" s="2"/>
      <c r="U13" s="2"/>
      <c r="V13" s="10">
        <f>-6108+1791+5810</f>
        <v>1493</v>
      </c>
      <c r="W13" s="5">
        <f>-6704+1675+1416</f>
        <v>-3613</v>
      </c>
    </row>
    <row r="14" spans="1:23" x14ac:dyDescent="0.2">
      <c r="B14" t="s">
        <v>29</v>
      </c>
      <c r="C14" s="5"/>
      <c r="D14" s="5"/>
      <c r="E14" s="5"/>
      <c r="F14" s="5"/>
      <c r="G14" s="5">
        <f>G12+G13</f>
        <v>5767</v>
      </c>
      <c r="H14" s="5">
        <f>H12+H13</f>
        <v>6165</v>
      </c>
      <c r="I14" s="5">
        <f>I12+I13</f>
        <v>5658</v>
      </c>
      <c r="J14" s="5">
        <f t="shared" si="4"/>
        <v>2258</v>
      </c>
      <c r="K14" s="5">
        <f>K12+K13</f>
        <v>4869</v>
      </c>
      <c r="L14" s="5">
        <f>L12+L13</f>
        <v>5092</v>
      </c>
      <c r="M14" s="5">
        <f>M12+M13</f>
        <v>5419</v>
      </c>
      <c r="N14" s="5"/>
      <c r="O14" s="2"/>
      <c r="P14" s="2"/>
      <c r="Q14" s="2"/>
      <c r="R14" s="2"/>
      <c r="S14" s="2"/>
      <c r="T14" s="2"/>
      <c r="U14" s="2"/>
      <c r="V14" s="10">
        <f>V12+V13</f>
        <v>-3094</v>
      </c>
      <c r="W14" s="5">
        <f>W12+W13</f>
        <v>19848</v>
      </c>
    </row>
    <row r="15" spans="1:23" x14ac:dyDescent="0.2">
      <c r="A15" t="s">
        <v>32</v>
      </c>
      <c r="B15" t="s">
        <v>31</v>
      </c>
      <c r="C15" s="5"/>
      <c r="D15" s="5"/>
      <c r="E15" s="5"/>
      <c r="F15" s="5"/>
      <c r="G15" s="5">
        <f>1314+225</f>
        <v>1539</v>
      </c>
      <c r="H15" s="5">
        <f>1403+273</f>
        <v>1676</v>
      </c>
      <c r="I15" s="5">
        <f>1154+331+158</f>
        <v>1643</v>
      </c>
      <c r="J15" s="5">
        <f t="shared" si="4"/>
        <v>590</v>
      </c>
      <c r="K15" s="5">
        <f>1118+306</f>
        <v>1424</v>
      </c>
      <c r="L15" s="5">
        <f>1142+352</f>
        <v>1494</v>
      </c>
      <c r="M15" s="5">
        <f>1285+319-88</f>
        <v>1516</v>
      </c>
      <c r="N15" s="5"/>
      <c r="O15" s="2"/>
      <c r="P15" s="2"/>
      <c r="Q15" s="2"/>
      <c r="R15" s="2"/>
      <c r="S15" s="2"/>
      <c r="T15" s="2"/>
      <c r="U15" s="2"/>
      <c r="V15" s="10">
        <f>3780+1469+181</f>
        <v>5430</v>
      </c>
      <c r="W15" s="5">
        <f>4225+1223</f>
        <v>5448</v>
      </c>
    </row>
    <row r="16" spans="1:23" s="1" customFormat="1" x14ac:dyDescent="0.2">
      <c r="B16" s="1" t="s">
        <v>30</v>
      </c>
      <c r="C16" s="6"/>
      <c r="D16" s="6"/>
      <c r="E16" s="6"/>
      <c r="F16" s="6"/>
      <c r="G16" s="6">
        <f t="shared" ref="G16:M16" si="5">G14-G15</f>
        <v>4228</v>
      </c>
      <c r="H16" s="6">
        <f t="shared" si="5"/>
        <v>4489</v>
      </c>
      <c r="I16" s="6">
        <f t="shared" si="5"/>
        <v>4015</v>
      </c>
      <c r="J16" s="6">
        <f t="shared" si="5"/>
        <v>1668</v>
      </c>
      <c r="K16" s="6">
        <f t="shared" si="5"/>
        <v>3445</v>
      </c>
      <c r="L16" s="6">
        <f t="shared" si="5"/>
        <v>3598</v>
      </c>
      <c r="M16" s="6">
        <f t="shared" si="5"/>
        <v>3903</v>
      </c>
      <c r="N16" s="6"/>
      <c r="O16" s="4"/>
      <c r="P16" s="4"/>
      <c r="Q16" s="4"/>
      <c r="R16" s="4"/>
      <c r="S16" s="4"/>
      <c r="T16" s="4"/>
      <c r="U16" s="4"/>
      <c r="V16" s="11">
        <f>V14-V15</f>
        <v>-8524</v>
      </c>
      <c r="W16" s="6">
        <f>W14-W15</f>
        <v>14400</v>
      </c>
    </row>
    <row r="17" spans="1:23" s="8" customFormat="1" x14ac:dyDescent="0.2">
      <c r="B17" s="8" t="s">
        <v>37</v>
      </c>
      <c r="C17" s="9" t="e">
        <f t="shared" ref="C17:I17" si="6">C16/C18</f>
        <v>#DIV/0!</v>
      </c>
      <c r="D17" s="9" t="e">
        <f t="shared" si="6"/>
        <v>#DIV/0!</v>
      </c>
      <c r="E17" s="9" t="e">
        <f t="shared" si="6"/>
        <v>#DIV/0!</v>
      </c>
      <c r="F17" s="9" t="e">
        <f t="shared" si="6"/>
        <v>#DIV/0!</v>
      </c>
      <c r="G17" s="9">
        <f>G16/G18</f>
        <v>0.56569440727856568</v>
      </c>
      <c r="H17" s="9">
        <f>H16/H18</f>
        <v>0.62520891364902509</v>
      </c>
      <c r="I17" s="9">
        <f t="shared" si="6"/>
        <v>0.55880306193458595</v>
      </c>
      <c r="J17" s="10">
        <f t="shared" si="4"/>
        <v>0.22029361713782336</v>
      </c>
      <c r="K17" s="9">
        <f>K16/K18</f>
        <v>0.4789378562491311</v>
      </c>
      <c r="L17" s="9">
        <f>L16/L18</f>
        <v>0.4998610725201445</v>
      </c>
      <c r="M17" s="9">
        <f>M16/M18</f>
        <v>0.54148168701442845</v>
      </c>
      <c r="N17" s="9"/>
      <c r="O17" s="9"/>
      <c r="P17" s="9"/>
      <c r="Q17" s="9"/>
      <c r="R17" s="9"/>
      <c r="S17" s="9"/>
      <c r="T17" s="9"/>
      <c r="U17" s="9"/>
      <c r="V17" s="10">
        <v>-1.1299999999999999</v>
      </c>
      <c r="W17" s="9">
        <v>1.97</v>
      </c>
    </row>
    <row r="18" spans="1:23" x14ac:dyDescent="0.2">
      <c r="B18" t="s">
        <v>1</v>
      </c>
      <c r="C18" s="5"/>
      <c r="D18" s="5"/>
      <c r="E18" s="5"/>
      <c r="F18" s="5"/>
      <c r="G18" s="5">
        <v>7474</v>
      </c>
      <c r="H18" s="5">
        <v>7180</v>
      </c>
      <c r="I18" s="5">
        <v>7185</v>
      </c>
      <c r="J18" s="5">
        <f>J16/J17</f>
        <v>7571.7127970913525</v>
      </c>
      <c r="K18" s="5">
        <v>7193</v>
      </c>
      <c r="L18" s="5">
        <v>7198</v>
      </c>
      <c r="M18" s="5">
        <v>7208</v>
      </c>
      <c r="N18" s="5"/>
      <c r="O18" s="2"/>
      <c r="P18" s="2"/>
      <c r="Q18" s="2"/>
      <c r="R18" s="2"/>
      <c r="S18" s="2"/>
      <c r="T18" s="2"/>
      <c r="U18" s="2"/>
      <c r="V18" s="5">
        <f>V16/V17</f>
        <v>7543.3628318584078</v>
      </c>
      <c r="W18" s="5">
        <f>W16/W17</f>
        <v>7309.6446700507613</v>
      </c>
    </row>
    <row r="19" spans="1:23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0"/>
    </row>
    <row r="20" spans="1:23" x14ac:dyDescent="0.2">
      <c r="B20" t="s">
        <v>33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0"/>
    </row>
    <row r="21" spans="1:23" x14ac:dyDescent="0.2">
      <c r="B21" t="s">
        <v>38</v>
      </c>
      <c r="C21" s="2"/>
      <c r="D21" s="2"/>
      <c r="E21" s="2"/>
      <c r="F21" s="2"/>
      <c r="G21" s="5">
        <f t="shared" ref="G21:M21" si="7">G12+G10</f>
        <v>10633</v>
      </c>
      <c r="H21" s="5">
        <f t="shared" si="7"/>
        <v>11081</v>
      </c>
      <c r="I21" s="5">
        <f t="shared" si="7"/>
        <v>11165</v>
      </c>
      <c r="J21" s="5">
        <f t="shared" si="7"/>
        <v>9359</v>
      </c>
      <c r="K21" s="5">
        <f t="shared" si="7"/>
        <v>10894</v>
      </c>
      <c r="L21" s="5">
        <f t="shared" si="7"/>
        <v>10833</v>
      </c>
      <c r="M21" s="5">
        <f t="shared" si="7"/>
        <v>11192</v>
      </c>
      <c r="N21" s="2"/>
      <c r="O21" s="2"/>
      <c r="P21" s="2"/>
      <c r="Q21" s="2"/>
      <c r="R21" s="2"/>
      <c r="S21" s="2"/>
      <c r="T21" s="2"/>
      <c r="U21" s="2"/>
      <c r="V21" s="10"/>
    </row>
    <row r="22" spans="1:23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0"/>
    </row>
    <row r="23" spans="1:23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0"/>
    </row>
    <row r="24" spans="1:23" x14ac:dyDescent="0.2">
      <c r="B24" t="s">
        <v>34</v>
      </c>
      <c r="C24" s="2"/>
      <c r="D24" s="2"/>
      <c r="E24" s="2"/>
      <c r="F24" s="2"/>
      <c r="G24" s="2"/>
      <c r="H24" s="2"/>
      <c r="I24" s="2"/>
      <c r="J24" s="2"/>
      <c r="K24" s="7">
        <f>K5/G5-1</f>
        <v>-3.6829357311125577E-3</v>
      </c>
      <c r="L24" s="7">
        <f>L5/H5-1</f>
        <v>-3.9776715579771249E-3</v>
      </c>
      <c r="M24" s="7">
        <f>M5/I5-1</f>
        <v>-4.5140032948929321E-3</v>
      </c>
      <c r="N24" s="2"/>
      <c r="O24" s="2"/>
      <c r="P24" s="2"/>
      <c r="Q24" s="2"/>
      <c r="R24" s="2"/>
      <c r="S24" s="2"/>
      <c r="T24" s="2"/>
      <c r="U24" s="2"/>
      <c r="V24" s="10"/>
      <c r="W24" s="12">
        <f>W5/V5-1</f>
        <v>1.3972055888223478E-2</v>
      </c>
    </row>
    <row r="25" spans="1:23" x14ac:dyDescent="0.2">
      <c r="B25" t="s">
        <v>35</v>
      </c>
      <c r="C25" s="2"/>
      <c r="D25" s="2"/>
      <c r="E25" s="2"/>
      <c r="F25" s="2"/>
      <c r="G25" s="2"/>
      <c r="H25" s="2"/>
      <c r="I25" s="2"/>
      <c r="J25" s="2"/>
      <c r="K25" s="7">
        <f>K16/G16-1</f>
        <v>-0.18519394512771992</v>
      </c>
      <c r="L25" s="7">
        <f>L16/H16-1</f>
        <v>-0.19848518601024723</v>
      </c>
      <c r="M25" s="7">
        <f>M16/I16-1</f>
        <v>-2.7895392278953879E-2</v>
      </c>
      <c r="N25" s="2"/>
      <c r="O25" s="2"/>
      <c r="P25" s="2"/>
      <c r="Q25" s="2"/>
      <c r="R25" s="2"/>
      <c r="S25" s="2"/>
      <c r="T25" s="2"/>
      <c r="U25" s="2"/>
      <c r="V25" s="10"/>
    </row>
    <row r="26" spans="1:23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0"/>
    </row>
    <row r="27" spans="1:23" x14ac:dyDescent="0.2">
      <c r="B27" t="s">
        <v>36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10"/>
    </row>
    <row r="28" spans="1:23" x14ac:dyDescent="0.2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0"/>
    </row>
    <row r="29" spans="1:23" x14ac:dyDescent="0.2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10"/>
    </row>
    <row r="30" spans="1:23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10"/>
    </row>
    <row r="31" spans="1:23" x14ac:dyDescent="0.2">
      <c r="A31" s="13"/>
      <c r="B31" s="14" t="s">
        <v>50</v>
      </c>
      <c r="C31" s="15"/>
      <c r="D31" s="15"/>
      <c r="E31" s="15"/>
      <c r="F31" s="15"/>
      <c r="G31" s="15">
        <f>G32-G46</f>
        <v>-130609</v>
      </c>
      <c r="H31" s="15"/>
      <c r="I31" s="15"/>
      <c r="J31" s="15"/>
      <c r="K31" s="15">
        <f>K32-K46</f>
        <v>-129244</v>
      </c>
      <c r="L31" s="15"/>
      <c r="M31" s="2"/>
      <c r="N31" s="2"/>
      <c r="O31" s="2"/>
      <c r="P31" s="2"/>
      <c r="Q31" s="2"/>
      <c r="R31" s="2"/>
      <c r="S31" s="2"/>
      <c r="T31" s="2"/>
      <c r="U31" s="2"/>
      <c r="V31" s="10"/>
    </row>
    <row r="32" spans="1:23" x14ac:dyDescent="0.2">
      <c r="A32" s="13"/>
      <c r="B32" s="13" t="s">
        <v>2</v>
      </c>
      <c r="C32" s="15"/>
      <c r="D32" s="15"/>
      <c r="E32" s="15"/>
      <c r="F32" s="15"/>
      <c r="G32" s="15">
        <v>6722</v>
      </c>
      <c r="H32" s="15"/>
      <c r="I32" s="15"/>
      <c r="J32" s="15"/>
      <c r="K32" s="15">
        <v>3520</v>
      </c>
      <c r="L32" s="15"/>
      <c r="M32" s="10"/>
      <c r="N32" s="10"/>
      <c r="O32" s="2"/>
      <c r="P32" s="2"/>
      <c r="Q32" s="2"/>
      <c r="R32" s="2"/>
      <c r="S32" s="2"/>
      <c r="T32" s="2"/>
      <c r="U32" s="2"/>
      <c r="V32" s="10"/>
    </row>
    <row r="33" spans="1:22" x14ac:dyDescent="0.2">
      <c r="A33" s="13"/>
      <c r="B33" s="13" t="s">
        <v>41</v>
      </c>
      <c r="C33" s="15"/>
      <c r="D33" s="15"/>
      <c r="E33" s="15"/>
      <c r="F33" s="15"/>
      <c r="G33" s="15">
        <v>10289</v>
      </c>
      <c r="H33" s="15"/>
      <c r="I33" s="15"/>
      <c r="J33" s="15"/>
      <c r="K33" s="15">
        <v>9577</v>
      </c>
      <c r="L33" s="15"/>
      <c r="M33" s="10"/>
      <c r="N33" s="10"/>
      <c r="O33" s="2"/>
      <c r="P33" s="2"/>
      <c r="Q33" s="2"/>
      <c r="R33" s="2"/>
      <c r="S33" s="2"/>
      <c r="T33" s="2"/>
      <c r="U33" s="2"/>
      <c r="V33" s="10"/>
    </row>
    <row r="34" spans="1:22" x14ac:dyDescent="0.2">
      <c r="A34" s="13"/>
      <c r="B34" s="13" t="s">
        <v>42</v>
      </c>
      <c r="C34" s="15"/>
      <c r="D34" s="15"/>
      <c r="E34" s="15"/>
      <c r="F34" s="15"/>
      <c r="G34" s="15">
        <v>2177</v>
      </c>
      <c r="H34" s="15"/>
      <c r="I34" s="15"/>
      <c r="J34" s="15"/>
      <c r="K34" s="15">
        <v>2127</v>
      </c>
      <c r="L34" s="15"/>
      <c r="M34" s="10"/>
      <c r="N34" s="10"/>
      <c r="O34" s="2"/>
      <c r="P34" s="2"/>
      <c r="Q34" s="2"/>
      <c r="R34" s="2"/>
      <c r="S34" s="2"/>
      <c r="T34" s="2"/>
      <c r="U34" s="2"/>
      <c r="V34" s="10"/>
    </row>
    <row r="35" spans="1:22" x14ac:dyDescent="0.2">
      <c r="A35" s="13"/>
      <c r="B35" s="13" t="s">
        <v>43</v>
      </c>
      <c r="C35" s="15"/>
      <c r="D35" s="15"/>
      <c r="E35" s="15"/>
      <c r="F35" s="15"/>
      <c r="G35" s="15">
        <v>17270</v>
      </c>
      <c r="H35" s="15"/>
      <c r="I35" s="15"/>
      <c r="J35" s="15"/>
      <c r="K35" s="15">
        <v>15221</v>
      </c>
      <c r="L35" s="15"/>
      <c r="M35" s="10"/>
      <c r="N35" s="10"/>
      <c r="O35" s="2"/>
      <c r="P35" s="2"/>
      <c r="Q35" s="2"/>
      <c r="R35" s="2"/>
      <c r="S35" s="2"/>
      <c r="T35" s="2"/>
      <c r="U35" s="2"/>
      <c r="V35" s="10"/>
    </row>
    <row r="36" spans="1:22" x14ac:dyDescent="0.2">
      <c r="A36" s="13"/>
      <c r="B36" s="13" t="s">
        <v>44</v>
      </c>
      <c r="C36" s="15"/>
      <c r="D36" s="15"/>
      <c r="E36" s="15"/>
      <c r="F36" s="15"/>
      <c r="G36" s="15">
        <v>128489</v>
      </c>
      <c r="H36" s="15"/>
      <c r="I36" s="15"/>
      <c r="J36" s="15"/>
      <c r="K36" s="15">
        <v>127851</v>
      </c>
      <c r="L36" s="15"/>
      <c r="M36" s="10"/>
      <c r="N36" s="10"/>
      <c r="O36" s="2"/>
      <c r="P36" s="2"/>
      <c r="Q36" s="2"/>
      <c r="R36" s="2"/>
      <c r="S36" s="2"/>
      <c r="T36" s="2"/>
      <c r="U36" s="2"/>
      <c r="V36" s="10"/>
    </row>
    <row r="37" spans="1:22" x14ac:dyDescent="0.2">
      <c r="A37" s="13"/>
      <c r="B37" s="13" t="s">
        <v>45</v>
      </c>
      <c r="C37" s="15"/>
      <c r="D37" s="15"/>
      <c r="E37" s="15"/>
      <c r="F37" s="15"/>
      <c r="G37" s="15">
        <v>127219</v>
      </c>
      <c r="H37" s="15"/>
      <c r="I37" s="15"/>
      <c r="J37" s="15"/>
      <c r="K37" s="15">
        <v>127423</v>
      </c>
      <c r="L37" s="15"/>
      <c r="M37" s="10"/>
      <c r="N37" s="10"/>
      <c r="O37" s="2"/>
      <c r="P37" s="2"/>
      <c r="Q37" s="2"/>
      <c r="R37" s="2"/>
      <c r="S37" s="2"/>
      <c r="T37" s="2"/>
      <c r="U37" s="2"/>
      <c r="V37" s="10"/>
    </row>
    <row r="38" spans="1:22" x14ac:dyDescent="0.2">
      <c r="A38" s="13"/>
      <c r="B38" s="13" t="s">
        <v>46</v>
      </c>
      <c r="C38" s="15"/>
      <c r="D38" s="15"/>
      <c r="E38" s="15"/>
      <c r="F38" s="15"/>
      <c r="G38" s="15">
        <f>67854+5283</f>
        <v>73137</v>
      </c>
      <c r="H38" s="15"/>
      <c r="I38" s="15"/>
      <c r="J38" s="15"/>
      <c r="K38" s="15">
        <f>67854+5281</f>
        <v>73135</v>
      </c>
      <c r="L38" s="15"/>
      <c r="M38" s="10"/>
      <c r="N38" s="10"/>
      <c r="O38" s="2"/>
      <c r="P38" s="2"/>
      <c r="Q38" s="2"/>
      <c r="R38" s="2"/>
      <c r="S38" s="2"/>
      <c r="T38" s="2"/>
      <c r="U38" s="2"/>
      <c r="V38" s="10"/>
    </row>
    <row r="39" spans="1:22" x14ac:dyDescent="0.2">
      <c r="A39" s="13"/>
      <c r="B39" s="13" t="s">
        <v>47</v>
      </c>
      <c r="C39" s="15"/>
      <c r="D39" s="15"/>
      <c r="E39" s="15"/>
      <c r="F39" s="15"/>
      <c r="G39" s="15">
        <v>1251</v>
      </c>
      <c r="H39" s="15"/>
      <c r="I39" s="15"/>
      <c r="J39" s="15"/>
      <c r="K39" s="15">
        <v>891</v>
      </c>
      <c r="L39" s="15"/>
      <c r="M39" s="10"/>
      <c r="N39" s="10"/>
      <c r="O39" s="2"/>
      <c r="P39" s="2"/>
      <c r="Q39" s="2"/>
      <c r="R39" s="2"/>
      <c r="S39" s="2"/>
      <c r="T39" s="2"/>
      <c r="U39" s="2"/>
      <c r="V39" s="10"/>
    </row>
    <row r="40" spans="1:22" x14ac:dyDescent="0.2">
      <c r="A40" s="13"/>
      <c r="B40" s="13" t="s">
        <v>48</v>
      </c>
      <c r="C40" s="15"/>
      <c r="D40" s="15"/>
      <c r="E40" s="15"/>
      <c r="F40" s="15"/>
      <c r="G40" s="15">
        <v>20905</v>
      </c>
      <c r="H40" s="15"/>
      <c r="I40" s="15"/>
      <c r="J40" s="15"/>
      <c r="K40" s="15">
        <v>20668</v>
      </c>
      <c r="L40" s="15"/>
      <c r="M40" s="10"/>
      <c r="N40" s="10"/>
      <c r="O40" s="2"/>
      <c r="P40" s="2"/>
      <c r="Q40" s="2"/>
      <c r="R40" s="2"/>
      <c r="S40" s="2"/>
      <c r="T40" s="2"/>
      <c r="U40" s="2"/>
      <c r="V40" s="10"/>
    </row>
    <row r="41" spans="1:22" x14ac:dyDescent="0.2">
      <c r="A41" s="13"/>
      <c r="B41" s="13" t="s">
        <v>22</v>
      </c>
      <c r="C41" s="15"/>
      <c r="D41" s="15"/>
      <c r="E41" s="15"/>
      <c r="F41" s="15"/>
      <c r="G41" s="15">
        <v>19601</v>
      </c>
      <c r="H41" s="15"/>
      <c r="I41" s="15"/>
      <c r="J41" s="15"/>
      <c r="K41" s="15">
        <v>19015</v>
      </c>
      <c r="L41" s="15"/>
      <c r="M41" s="10"/>
      <c r="N41" s="10"/>
      <c r="O41" s="2"/>
      <c r="P41" s="2"/>
      <c r="Q41" s="2"/>
      <c r="R41" s="2"/>
      <c r="S41" s="2"/>
      <c r="T41" s="2"/>
      <c r="U41" s="2"/>
      <c r="V41" s="10"/>
    </row>
    <row r="42" spans="1:22" s="1" customFormat="1" x14ac:dyDescent="0.2">
      <c r="A42" s="14"/>
      <c r="B42" s="14" t="s">
        <v>49</v>
      </c>
      <c r="C42" s="16"/>
      <c r="D42" s="16"/>
      <c r="E42" s="16"/>
      <c r="F42" s="16"/>
      <c r="G42" s="16">
        <f>SUM(G32:G41)</f>
        <v>407060</v>
      </c>
      <c r="H42" s="16"/>
      <c r="I42" s="16"/>
      <c r="J42" s="16"/>
      <c r="K42" s="16">
        <f>SUM(K32:K41)</f>
        <v>399428</v>
      </c>
      <c r="L42" s="16"/>
      <c r="M42" s="11"/>
      <c r="N42" s="11"/>
      <c r="O42" s="4"/>
      <c r="P42" s="4"/>
      <c r="Q42" s="4"/>
      <c r="R42" s="4"/>
      <c r="S42" s="4"/>
      <c r="T42" s="4"/>
      <c r="U42" s="4"/>
      <c r="V42" s="11"/>
    </row>
    <row r="43" spans="1:2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10"/>
    </row>
    <row r="44" spans="1:2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10"/>
    </row>
    <row r="45" spans="1:2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s="3" customFormat="1" x14ac:dyDescent="0.2">
      <c r="B46" s="3" t="s">
        <v>3</v>
      </c>
      <c r="C46" s="5"/>
      <c r="D46" s="5"/>
      <c r="E46" s="5"/>
      <c r="F46" s="5"/>
      <c r="G46" s="5">
        <f>9477+127854</f>
        <v>137331</v>
      </c>
      <c r="H46" s="5"/>
      <c r="I46" s="5"/>
      <c r="J46" s="5"/>
      <c r="K46" s="5">
        <f>7060+125704</f>
        <v>132764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s="3" customFormat="1" x14ac:dyDescent="0.2">
      <c r="B47" s="3" t="s">
        <v>51</v>
      </c>
      <c r="C47" s="5"/>
      <c r="D47" s="5"/>
      <c r="E47" s="5"/>
      <c r="F47" s="5"/>
      <c r="G47" s="5">
        <v>35852</v>
      </c>
      <c r="H47" s="5"/>
      <c r="I47" s="5"/>
      <c r="J47" s="5"/>
      <c r="K47" s="5">
        <v>31973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s="3" customFormat="1" x14ac:dyDescent="0.2">
      <c r="B48" s="3" t="s">
        <v>52</v>
      </c>
      <c r="C48" s="5"/>
      <c r="D48" s="5"/>
      <c r="E48" s="5"/>
      <c r="F48" s="5"/>
      <c r="G48" s="5">
        <v>3778</v>
      </c>
      <c r="H48" s="5"/>
      <c r="I48" s="5"/>
      <c r="J48" s="5"/>
      <c r="K48" s="5">
        <v>3713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2:22" s="3" customFormat="1" x14ac:dyDescent="0.2">
      <c r="B49" s="3" t="s">
        <v>53</v>
      </c>
      <c r="C49" s="5"/>
      <c r="D49" s="5"/>
      <c r="E49" s="5"/>
      <c r="F49" s="5"/>
      <c r="G49" s="5">
        <v>2020</v>
      </c>
      <c r="H49" s="5"/>
      <c r="I49" s="5"/>
      <c r="J49" s="5"/>
      <c r="K49" s="5">
        <v>2088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2:22" s="3" customFormat="1" x14ac:dyDescent="0.2">
      <c r="B50" s="3" t="s">
        <v>54</v>
      </c>
      <c r="C50" s="5"/>
      <c r="D50" s="5"/>
      <c r="E50" s="5"/>
      <c r="F50" s="5"/>
      <c r="G50" s="5">
        <v>58666</v>
      </c>
      <c r="H50" s="5"/>
      <c r="I50" s="5"/>
      <c r="J50" s="5"/>
      <c r="K50" s="5">
        <v>58820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2:22" s="3" customFormat="1" x14ac:dyDescent="0.2">
      <c r="B51" s="3" t="s">
        <v>55</v>
      </c>
      <c r="C51" s="5"/>
      <c r="D51" s="5"/>
      <c r="E51" s="5"/>
      <c r="F51" s="5"/>
      <c r="G51" s="5">
        <v>8734</v>
      </c>
      <c r="H51" s="5"/>
      <c r="I51" s="5"/>
      <c r="J51" s="5"/>
      <c r="K51" s="5">
        <v>8743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2:22" s="3" customFormat="1" x14ac:dyDescent="0.2">
      <c r="B52" s="3" t="s">
        <v>48</v>
      </c>
      <c r="C52" s="5"/>
      <c r="D52" s="5"/>
      <c r="E52" s="5"/>
      <c r="F52" s="5"/>
      <c r="G52" s="5">
        <v>17568</v>
      </c>
      <c r="H52" s="5"/>
      <c r="I52" s="5"/>
      <c r="J52" s="5"/>
      <c r="K52" s="5">
        <v>17291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2:22" s="3" customFormat="1" x14ac:dyDescent="0.2">
      <c r="B53" s="3" t="s">
        <v>56</v>
      </c>
      <c r="C53" s="5"/>
      <c r="D53" s="5"/>
      <c r="E53" s="5"/>
      <c r="F53" s="5"/>
      <c r="G53" s="5">
        <v>23696</v>
      </c>
      <c r="H53" s="5"/>
      <c r="I53" s="5"/>
      <c r="J53" s="5"/>
      <c r="K53" s="5">
        <v>23441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2:22" s="3" customFormat="1" x14ac:dyDescent="0.2">
      <c r="B54" s="3" t="s">
        <v>60</v>
      </c>
      <c r="C54" s="5"/>
      <c r="D54" s="5"/>
      <c r="E54" s="5"/>
      <c r="F54" s="5"/>
      <c r="G54" s="5">
        <v>1973</v>
      </c>
      <c r="H54" s="5"/>
      <c r="I54" s="5"/>
      <c r="J54" s="5"/>
      <c r="K54" s="5">
        <v>1975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2:22" s="17" customFormat="1" x14ac:dyDescent="0.2">
      <c r="B55" s="17" t="s">
        <v>57</v>
      </c>
      <c r="C55" s="6"/>
      <c r="D55" s="6"/>
      <c r="E55" s="6"/>
      <c r="F55" s="6"/>
      <c r="G55" s="6">
        <f>SUM(G46:G54)</f>
        <v>289618</v>
      </c>
      <c r="H55" s="6"/>
      <c r="I55" s="6"/>
      <c r="J55" s="6"/>
      <c r="K55" s="6">
        <f>SUM(K46:K54)</f>
        <v>280808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2:22" s="3" customFormat="1" x14ac:dyDescent="0.2">
      <c r="B56" s="3" t="s">
        <v>58</v>
      </c>
      <c r="C56" s="5"/>
      <c r="D56" s="5"/>
      <c r="E56" s="5"/>
      <c r="F56" s="5"/>
      <c r="G56" s="5">
        <v>117442</v>
      </c>
      <c r="H56" s="5"/>
      <c r="I56" s="5"/>
      <c r="J56" s="5"/>
      <c r="K56" s="5">
        <v>118620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2:22" s="3" customFormat="1" x14ac:dyDescent="0.2">
      <c r="B57" s="3" t="s">
        <v>59</v>
      </c>
      <c r="C57" s="5"/>
      <c r="D57" s="5"/>
      <c r="E57" s="5"/>
      <c r="F57" s="5"/>
      <c r="G57" s="5">
        <f>G55+G56</f>
        <v>407060</v>
      </c>
      <c r="H57" s="5"/>
      <c r="I57" s="5"/>
      <c r="J57" s="5"/>
      <c r="K57" s="5">
        <f>K55+K56</f>
        <v>399428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2:22" x14ac:dyDescent="0.2">
      <c r="C58" s="2"/>
      <c r="D58" s="2"/>
      <c r="E58" s="2"/>
      <c r="F58" s="2"/>
      <c r="G58" s="2"/>
      <c r="H58" s="2"/>
      <c r="I58" s="2"/>
      <c r="J58" s="2"/>
      <c r="K58" s="1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2:22" x14ac:dyDescent="0.2">
      <c r="C59" s="2"/>
      <c r="D59" s="2"/>
      <c r="E59" s="2"/>
      <c r="F59" s="2"/>
      <c r="G59" s="2"/>
      <c r="H59" s="2"/>
      <c r="I59" s="2"/>
      <c r="J59" s="2"/>
      <c r="K59" s="1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2:22" s="1" customFormat="1" x14ac:dyDescent="0.2">
      <c r="B60" s="1" t="s">
        <v>61</v>
      </c>
      <c r="C60" s="4"/>
      <c r="D60" s="4"/>
      <c r="E60" s="4"/>
      <c r="F60" s="4"/>
      <c r="G60" s="16">
        <f>G16</f>
        <v>4228</v>
      </c>
      <c r="H60" s="4"/>
      <c r="I60" s="4"/>
      <c r="J60" s="4"/>
      <c r="K60" s="16">
        <f>K16</f>
        <v>3445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2:22" x14ac:dyDescent="0.2">
      <c r="B61" t="s">
        <v>62</v>
      </c>
      <c r="C61" s="2"/>
      <c r="D61" s="2"/>
      <c r="E61" s="2"/>
      <c r="F61" s="2"/>
      <c r="G61" s="2">
        <v>4453</v>
      </c>
      <c r="H61" s="2"/>
      <c r="I61" s="2"/>
      <c r="J61" s="2"/>
      <c r="K61" s="2">
        <v>3751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2:22" x14ac:dyDescent="0.2">
      <c r="B62" t="s">
        <v>25</v>
      </c>
      <c r="C62" s="2"/>
      <c r="D62" s="2"/>
      <c r="E62" s="2"/>
      <c r="F62" s="2"/>
      <c r="G62" s="2">
        <v>4631</v>
      </c>
      <c r="H62" s="2"/>
      <c r="I62" s="2"/>
      <c r="J62" s="2"/>
      <c r="K62" s="2">
        <v>5047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2:22" x14ac:dyDescent="0.2">
      <c r="B63" t="s">
        <v>63</v>
      </c>
      <c r="C63" s="2"/>
      <c r="D63" s="2"/>
      <c r="E63" s="2"/>
      <c r="F63" s="2"/>
      <c r="G63" s="2">
        <v>477</v>
      </c>
      <c r="H63" s="2"/>
      <c r="I63" s="2"/>
      <c r="J63" s="2"/>
      <c r="K63" s="2">
        <v>472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2:22" x14ac:dyDescent="0.2">
      <c r="B64" t="s">
        <v>54</v>
      </c>
      <c r="C64" s="2"/>
      <c r="D64" s="2"/>
      <c r="E64" s="2"/>
      <c r="F64" s="2"/>
      <c r="G64" s="2">
        <v>529</v>
      </c>
      <c r="H64" s="2"/>
      <c r="I64" s="2"/>
      <c r="J64" s="2"/>
      <c r="K64" s="2">
        <v>479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2:22" x14ac:dyDescent="0.2">
      <c r="B65" t="s">
        <v>47</v>
      </c>
      <c r="C65" s="2"/>
      <c r="D65" s="2"/>
      <c r="E65" s="2"/>
      <c r="F65" s="2"/>
      <c r="G65" s="2">
        <v>-93</v>
      </c>
      <c r="H65" s="2"/>
      <c r="I65" s="2"/>
      <c r="J65" s="2"/>
      <c r="K65" s="2">
        <v>201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2:22" x14ac:dyDescent="0.2">
      <c r="B66" t="s">
        <v>55</v>
      </c>
      <c r="C66" s="2"/>
      <c r="D66" s="2"/>
      <c r="E66" s="2"/>
      <c r="F66" s="2"/>
      <c r="G66" s="2">
        <f>-670-89</f>
        <v>-759</v>
      </c>
      <c r="H66" s="2"/>
      <c r="I66" s="2"/>
      <c r="J66" s="2"/>
      <c r="K66" s="2">
        <f>-471-54</f>
        <v>-525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2:22" x14ac:dyDescent="0.2">
      <c r="B67" t="s">
        <v>64</v>
      </c>
      <c r="C67" s="2"/>
      <c r="D67" s="2"/>
      <c r="E67" s="2"/>
      <c r="F67" s="2"/>
      <c r="G67" s="2">
        <v>0</v>
      </c>
      <c r="H67" s="2"/>
      <c r="I67" s="2"/>
      <c r="J67" s="2"/>
      <c r="K67" s="2">
        <v>159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2:22" x14ac:dyDescent="0.2">
      <c r="B68" t="s">
        <v>41</v>
      </c>
      <c r="C68" s="2"/>
      <c r="D68" s="2"/>
      <c r="E68" s="2"/>
      <c r="F68" s="2"/>
      <c r="G68" s="2">
        <f>620-243</f>
        <v>377</v>
      </c>
      <c r="H68" s="2"/>
      <c r="I68" s="2"/>
      <c r="J68" s="2"/>
      <c r="K68" s="2">
        <f>512+24</f>
        <v>536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2:22" x14ac:dyDescent="0.2">
      <c r="B69" t="s">
        <v>65</v>
      </c>
      <c r="C69" s="2"/>
      <c r="D69" s="2"/>
      <c r="E69" s="2"/>
      <c r="F69" s="2"/>
      <c r="G69" s="2">
        <v>364</v>
      </c>
      <c r="H69" s="2"/>
      <c r="I69" s="2"/>
      <c r="J69" s="2"/>
      <c r="K69" s="2">
        <v>629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2:22" x14ac:dyDescent="0.2">
      <c r="B70" t="s">
        <v>51</v>
      </c>
      <c r="C70" s="2"/>
      <c r="D70" s="2"/>
      <c r="E70" s="2"/>
      <c r="F70" s="2"/>
      <c r="G70" s="2">
        <v>-3409</v>
      </c>
      <c r="H70" s="2"/>
      <c r="I70" s="2"/>
      <c r="J70" s="2"/>
      <c r="K70" s="2">
        <v>-3497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2:22" x14ac:dyDescent="0.2">
      <c r="B71" t="s">
        <v>66</v>
      </c>
      <c r="C71" s="2"/>
      <c r="D71" s="2"/>
      <c r="E71" s="2"/>
      <c r="F71" s="2"/>
      <c r="G71" s="2">
        <v>-22</v>
      </c>
      <c r="H71" s="2"/>
      <c r="I71" s="2"/>
      <c r="J71" s="2"/>
      <c r="K71" s="2">
        <v>103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2:22" x14ac:dyDescent="0.2">
      <c r="B72" t="s">
        <v>22</v>
      </c>
      <c r="C72" s="2"/>
      <c r="D72" s="2"/>
      <c r="E72" s="2"/>
      <c r="F72" s="2"/>
      <c r="G72" s="2">
        <v>130</v>
      </c>
      <c r="H72" s="2"/>
      <c r="I72" s="2"/>
      <c r="J72" s="2"/>
      <c r="K72" s="2">
        <v>192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2:22" s="1" customFormat="1" x14ac:dyDescent="0.2">
      <c r="B73" s="1" t="s">
        <v>67</v>
      </c>
      <c r="C73" s="4"/>
      <c r="D73" s="4"/>
      <c r="E73" s="4"/>
      <c r="F73" s="4"/>
      <c r="G73" s="4">
        <f>SUM(G61:G72)</f>
        <v>6678</v>
      </c>
      <c r="H73" s="4"/>
      <c r="I73" s="4"/>
      <c r="J73" s="4"/>
      <c r="K73" s="4">
        <f>SUM(K61:K72)</f>
        <v>7547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2:22" x14ac:dyDescent="0.2">
      <c r="B74" t="s">
        <v>68</v>
      </c>
      <c r="C74" s="2"/>
      <c r="D74" s="2"/>
      <c r="E74" s="2"/>
      <c r="F74" s="2"/>
      <c r="G74" s="2">
        <v>-4335</v>
      </c>
      <c r="H74" s="2"/>
      <c r="I74" s="2"/>
      <c r="J74" s="2"/>
      <c r="K74" s="2">
        <v>-3758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2:22" x14ac:dyDescent="0.2">
      <c r="B75" t="s">
        <v>70</v>
      </c>
      <c r="C75" s="2"/>
      <c r="D75" s="2"/>
      <c r="E75" s="2"/>
      <c r="F75" s="2"/>
      <c r="G75" s="18">
        <v>-291</v>
      </c>
      <c r="H75" s="2"/>
      <c r="I75" s="2"/>
      <c r="J75" s="2"/>
      <c r="K75" s="18">
        <v>-211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2:22" x14ac:dyDescent="0.2">
      <c r="B76" t="s">
        <v>71</v>
      </c>
      <c r="C76" s="2"/>
      <c r="D76" s="2"/>
      <c r="E76" s="2"/>
      <c r="F76" s="2"/>
      <c r="G76" s="2">
        <v>15</v>
      </c>
      <c r="H76" s="2"/>
      <c r="I76" s="2"/>
      <c r="J76" s="2"/>
      <c r="K76" s="2">
        <v>8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2:22" x14ac:dyDescent="0.2">
      <c r="B77" t="s">
        <v>72</v>
      </c>
      <c r="C77" s="2"/>
      <c r="D77" s="2"/>
      <c r="E77" s="2"/>
      <c r="F77" s="2"/>
      <c r="G77" s="2">
        <v>774</v>
      </c>
      <c r="H77" s="2"/>
      <c r="I77" s="2"/>
      <c r="J77" s="2"/>
      <c r="K77" s="2">
        <v>194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2:22" x14ac:dyDescent="0.2">
      <c r="B78" t="s">
        <v>73</v>
      </c>
      <c r="C78" s="2"/>
      <c r="D78" s="2"/>
      <c r="E78" s="2"/>
      <c r="F78" s="2"/>
      <c r="G78" s="2">
        <v>19</v>
      </c>
      <c r="H78" s="2"/>
      <c r="I78" s="2"/>
      <c r="J78" s="2"/>
      <c r="K78" s="2">
        <v>1079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2:22" x14ac:dyDescent="0.2">
      <c r="B79" t="s">
        <v>22</v>
      </c>
      <c r="C79" s="2"/>
      <c r="D79" s="2"/>
      <c r="E79" s="2"/>
      <c r="F79" s="2"/>
      <c r="G79" s="2">
        <v>0</v>
      </c>
      <c r="H79" s="2"/>
      <c r="I79" s="2"/>
      <c r="J79" s="2"/>
      <c r="K79" s="2">
        <v>-273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2:22" s="1" customFormat="1" x14ac:dyDescent="0.2">
      <c r="B80" s="1" t="s">
        <v>74</v>
      </c>
      <c r="C80" s="4"/>
      <c r="D80" s="4"/>
      <c r="E80" s="4"/>
      <c r="F80" s="4"/>
      <c r="G80" s="4">
        <f>SUM(G74:G79)</f>
        <v>-3818</v>
      </c>
      <c r="H80" s="4"/>
      <c r="I80" s="4"/>
      <c r="J80" s="4"/>
      <c r="K80" s="4">
        <f>SUM(K74:K79)</f>
        <v>-2961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2:11" s="1" customFormat="1" x14ac:dyDescent="0.2">
      <c r="B81" s="1" t="s">
        <v>69</v>
      </c>
      <c r="G81" s="1">
        <f>G73+G74</f>
        <v>2343</v>
      </c>
      <c r="K81" s="1">
        <f>K73+K74</f>
        <v>3789</v>
      </c>
    </row>
    <row r="82" spans="2:11" x14ac:dyDescent="0.2">
      <c r="B82" t="s">
        <v>76</v>
      </c>
      <c r="G82">
        <f>-536+3627+3366-5945-130</f>
        <v>382</v>
      </c>
      <c r="K82">
        <f>1933+491-1996-4685</f>
        <v>-4257</v>
      </c>
    </row>
    <row r="83" spans="2:11" x14ac:dyDescent="0.2">
      <c r="B83" t="s">
        <v>77</v>
      </c>
      <c r="G83">
        <v>-2113</v>
      </c>
      <c r="K83">
        <v>-841</v>
      </c>
    </row>
    <row r="84" spans="2:11" x14ac:dyDescent="0.2">
      <c r="B84" t="s">
        <v>78</v>
      </c>
      <c r="G84">
        <f>-188+3</f>
        <v>-185</v>
      </c>
      <c r="K84">
        <v>-157</v>
      </c>
    </row>
    <row r="85" spans="2:11" x14ac:dyDescent="0.2">
      <c r="B85" t="s">
        <v>53</v>
      </c>
      <c r="G85">
        <v>-2014</v>
      </c>
      <c r="K85">
        <v>-2034</v>
      </c>
    </row>
    <row r="86" spans="2:11" x14ac:dyDescent="0.2">
      <c r="B86" t="s">
        <v>22</v>
      </c>
      <c r="G86">
        <v>219</v>
      </c>
      <c r="K86">
        <v>-526</v>
      </c>
    </row>
    <row r="87" spans="2:11" x14ac:dyDescent="0.2">
      <c r="B87" s="1" t="s">
        <v>75</v>
      </c>
      <c r="G87">
        <f>SUM(G82:G86)</f>
        <v>-3711</v>
      </c>
      <c r="K87">
        <f>SUM(K82:K86)</f>
        <v>-7815</v>
      </c>
    </row>
    <row r="88" spans="2:11" x14ac:dyDescent="0.2">
      <c r="B88" s="1" t="s">
        <v>79</v>
      </c>
      <c r="G88">
        <f>G87+G80+G73</f>
        <v>-851</v>
      </c>
      <c r="K88">
        <f>K87+K80+K73</f>
        <v>-3229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Wong</dc:creator>
  <cp:lastModifiedBy>Bobby S</cp:lastModifiedBy>
  <dcterms:created xsi:type="dcterms:W3CDTF">2025-01-09T12:50:01Z</dcterms:created>
  <dcterms:modified xsi:type="dcterms:W3CDTF">2025-01-12T13:09:30Z</dcterms:modified>
</cp:coreProperties>
</file>