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321" documentId="8_{6D14CFBD-4A33-0941-A433-BB0EAC17D2C2}" xr6:coauthVersionLast="47" xr6:coauthVersionMax="47" xr10:uidLastSave="{F80E75B8-D15E-DB4A-B330-41F0F727F326}"/>
  <bookViews>
    <workbookView xWindow="30080" yWindow="-33340" windowWidth="30080" windowHeight="33340" activeTab="1" xr2:uid="{EF661014-BD25-0D4F-8B7F-991605D51EF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2" l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D31" i="2" l="1"/>
  <c r="I26" i="2"/>
  <c r="H26" i="2"/>
  <c r="G26" i="2"/>
  <c r="J26" i="2"/>
  <c r="I25" i="2"/>
  <c r="H25" i="2"/>
  <c r="G25" i="2"/>
  <c r="J25" i="2"/>
  <c r="I24" i="2"/>
  <c r="H24" i="2"/>
  <c r="G24" i="2"/>
  <c r="J24" i="2"/>
  <c r="C15" i="2"/>
  <c r="C12" i="2"/>
  <c r="C10" i="2"/>
  <c r="C5" i="2"/>
  <c r="C7" i="2" s="1"/>
  <c r="C11" i="2" s="1"/>
  <c r="C30" i="2" s="1"/>
  <c r="D15" i="2"/>
  <c r="D12" i="2"/>
  <c r="D10" i="2"/>
  <c r="D5" i="2"/>
  <c r="D7" i="2" s="1"/>
  <c r="D11" i="2" s="1"/>
  <c r="D14" i="2" s="1"/>
  <c r="D16" i="2" s="1"/>
  <c r="D18" i="2" s="1"/>
  <c r="E15" i="2"/>
  <c r="E12" i="2"/>
  <c r="E10" i="2"/>
  <c r="E5" i="2"/>
  <c r="F15" i="2"/>
  <c r="F31" i="2" s="1"/>
  <c r="F12" i="2"/>
  <c r="F10" i="2"/>
  <c r="F5" i="2"/>
  <c r="F7" i="2" s="1"/>
  <c r="F11" i="2" s="1"/>
  <c r="F14" i="2" s="1"/>
  <c r="F16" i="2" s="1"/>
  <c r="F18" i="2" s="1"/>
  <c r="G15" i="2"/>
  <c r="G31" i="2" s="1"/>
  <c r="G12" i="2"/>
  <c r="G10" i="2"/>
  <c r="G5" i="2"/>
  <c r="G7" i="2" s="1"/>
  <c r="G11" i="2" s="1"/>
  <c r="G14" i="2" s="1"/>
  <c r="G16" i="2" s="1"/>
  <c r="G18" i="2" s="1"/>
  <c r="H15" i="2"/>
  <c r="H12" i="2"/>
  <c r="H10" i="2"/>
  <c r="H5" i="2"/>
  <c r="H7" i="2" s="1"/>
  <c r="H11" i="2" s="1"/>
  <c r="H30" i="2" s="1"/>
  <c r="C20" i="2" a="1"/>
  <c r="C20" i="2" s="1"/>
  <c r="Q26" i="2"/>
  <c r="P26" i="2"/>
  <c r="O26" i="2"/>
  <c r="Q25" i="2"/>
  <c r="P25" i="2"/>
  <c r="O25" i="2"/>
  <c r="R26" i="2"/>
  <c r="R25" i="2"/>
  <c r="N15" i="2"/>
  <c r="N10" i="2"/>
  <c r="N5" i="2"/>
  <c r="N7" i="2" s="1"/>
  <c r="N11" i="2" s="1"/>
  <c r="N14" i="2" s="1"/>
  <c r="N16" i="2" s="1"/>
  <c r="O15" i="2"/>
  <c r="O10" i="2"/>
  <c r="O5" i="2"/>
  <c r="O7" i="2" s="1"/>
  <c r="O29" i="2" s="1"/>
  <c r="P15" i="2"/>
  <c r="P10" i="2"/>
  <c r="P5" i="2"/>
  <c r="P7" i="2" s="1"/>
  <c r="P11" i="2" s="1"/>
  <c r="Q15" i="2"/>
  <c r="Q10" i="2"/>
  <c r="Q5" i="2"/>
  <c r="Q7" i="2" s="1"/>
  <c r="R15" i="2"/>
  <c r="R10" i="2"/>
  <c r="R5" i="2"/>
  <c r="R7" i="2" s="1"/>
  <c r="R29" i="2" s="1"/>
  <c r="I12" i="2"/>
  <c r="I10" i="2"/>
  <c r="I5" i="2"/>
  <c r="J12" i="2"/>
  <c r="M7" i="1"/>
  <c r="J5" i="2"/>
  <c r="J7" i="2" s="1"/>
  <c r="J10" i="2"/>
  <c r="M6" i="1"/>
  <c r="M11" i="1" s="1"/>
  <c r="M5" i="1"/>
  <c r="M8" i="1" s="1"/>
  <c r="Q11" i="2" l="1"/>
  <c r="D30" i="2"/>
  <c r="F30" i="2"/>
  <c r="P30" i="2"/>
  <c r="G29" i="2"/>
  <c r="G30" i="2"/>
  <c r="C29" i="2"/>
  <c r="D29" i="2"/>
  <c r="J11" i="2"/>
  <c r="J14" i="2" s="1"/>
  <c r="J31" i="2" s="1"/>
  <c r="F29" i="2"/>
  <c r="H14" i="2"/>
  <c r="E7" i="2"/>
  <c r="E29" i="2" s="1"/>
  <c r="H29" i="2"/>
  <c r="C14" i="2"/>
  <c r="R24" i="2"/>
  <c r="O24" i="2"/>
  <c r="P24" i="2"/>
  <c r="Q24" i="2"/>
  <c r="N21" i="2"/>
  <c r="O11" i="2"/>
  <c r="N31" i="2"/>
  <c r="N30" i="2"/>
  <c r="Q30" i="2"/>
  <c r="R11" i="2"/>
  <c r="R23" i="2" s="1"/>
  <c r="J29" i="2"/>
  <c r="N29" i="2"/>
  <c r="P14" i="2"/>
  <c r="P31" i="2" s="1"/>
  <c r="P29" i="2"/>
  <c r="Q29" i="2"/>
  <c r="I7" i="2"/>
  <c r="O30" i="2" l="1"/>
  <c r="O23" i="2"/>
  <c r="P23" i="2"/>
  <c r="Q14" i="2"/>
  <c r="Q23" i="2"/>
  <c r="E11" i="2"/>
  <c r="C16" i="2"/>
  <c r="C18" i="2" s="1"/>
  <c r="C31" i="2"/>
  <c r="H16" i="2"/>
  <c r="H18" i="2" s="1"/>
  <c r="H31" i="2"/>
  <c r="J30" i="2"/>
  <c r="O14" i="2"/>
  <c r="O31" i="2" s="1"/>
  <c r="J16" i="2"/>
  <c r="J18" i="2" s="1"/>
  <c r="I11" i="2"/>
  <c r="I29" i="2"/>
  <c r="P16" i="2"/>
  <c r="P21" i="2" s="1"/>
  <c r="R30" i="2"/>
  <c r="R14" i="2"/>
  <c r="Q16" i="2" l="1"/>
  <c r="Q21" i="2" s="1"/>
  <c r="Q31" i="2"/>
  <c r="O16" i="2"/>
  <c r="O21" i="2" s="1"/>
  <c r="E14" i="2"/>
  <c r="E30" i="2"/>
  <c r="R16" i="2"/>
  <c r="R21" i="2" s="1"/>
  <c r="R31" i="2"/>
  <c r="I14" i="2"/>
  <c r="I30" i="2"/>
  <c r="E16" i="2" l="1"/>
  <c r="E18" i="2" s="1"/>
  <c r="E31" i="2"/>
  <c r="I16" i="2"/>
  <c r="I18" i="2" s="1"/>
  <c r="I3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<sst xmlns="http://schemas.openxmlformats.org/spreadsheetml/2006/main" count="48" uniqueCount="43">
  <si>
    <t>Price</t>
  </si>
  <si>
    <t>Shares</t>
  </si>
  <si>
    <t>MC</t>
  </si>
  <si>
    <t>Cash</t>
  </si>
  <si>
    <t>Debt</t>
  </si>
  <si>
    <t>EV</t>
  </si>
  <si>
    <t>adr ratio</t>
  </si>
  <si>
    <t>Q324</t>
  </si>
  <si>
    <t>Net cash</t>
  </si>
  <si>
    <t>USD</t>
  </si>
  <si>
    <t>Revenue</t>
  </si>
  <si>
    <t>Q123</t>
  </si>
  <si>
    <t>Q223</t>
  </si>
  <si>
    <t>Q323</t>
  </si>
  <si>
    <t>Q423</t>
  </si>
  <si>
    <t>Q124</t>
  </si>
  <si>
    <t>Q224</t>
  </si>
  <si>
    <t>Q424</t>
  </si>
  <si>
    <t>Operating Expenses</t>
  </si>
  <si>
    <t>Operating Income</t>
  </si>
  <si>
    <t>Gross Profit</t>
  </si>
  <si>
    <t>COGs</t>
  </si>
  <si>
    <t>SG&amp;A</t>
  </si>
  <si>
    <t>R&amp;D</t>
  </si>
  <si>
    <t>Online Marketing</t>
  </si>
  <si>
    <t>Others</t>
  </si>
  <si>
    <t>Interest Income</t>
  </si>
  <si>
    <t>FX</t>
  </si>
  <si>
    <t>Pretax Income</t>
  </si>
  <si>
    <t>Taxes</t>
  </si>
  <si>
    <t>Net Income</t>
  </si>
  <si>
    <t>EPS</t>
  </si>
  <si>
    <t>RMB</t>
  </si>
  <si>
    <t>Gross Margin</t>
  </si>
  <si>
    <t>Operating Margin</t>
  </si>
  <si>
    <t>Revenue Growth</t>
  </si>
  <si>
    <t>SG&amp;A Growth</t>
  </si>
  <si>
    <t>R&amp;D Growth</t>
  </si>
  <si>
    <t>Net Income USD</t>
  </si>
  <si>
    <t>Q422</t>
  </si>
  <si>
    <t>Taxes + NC</t>
  </si>
  <si>
    <t>EBITDA Growth</t>
  </si>
  <si>
    <t>Interest income whack so don't look at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</si>
</sst>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¥-804]* #,##0.00_);_([$¥-804]* \(#,##0.00\);_([$¥-804]* &quot;-&quot;??_);_(@_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9" fontId="0" fillId="0" borderId="0" xfId="0" applyNumberFormat="1" applyAlignment="1">
      <alignment horizontal="right"/>
    </xf>
    <xf numFmtId="3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50800</xdr:rowOff>
    </xdr:from>
    <xdr:to>
      <xdr:col>18</xdr:col>
      <xdr:colOff>0</xdr:colOff>
      <xdr:row>48</xdr:row>
      <xdr:rowOff>50800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1F04285-9EDB-FC0C-FCF4-86A9AC4F7A67}"/>
            </a:ext>
          </a:extLst>
        </xdr:cNvPr>
        <xdr:cNvCxnSpPr/>
      </xdr:nvCxnSpPr>
      <xdr:spPr>
        <a:xfrm>
          <a:off x="15341600" y="50800"/>
          <a:ext cx="0" cy="9550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USD/CNY</v>
    <v>2</v>
    <v>3</v>
    <v>Finance</v>
    <v>4</v>
    <v>en-US</v>
    <v>avym77</v>
    <v>268435456</v>
    <v>1</v>
    <v>Powered by Refinitiv</v>
    <v>7.3327</v>
    <v>7.0106000000000002</v>
    <v>1.6299999999999999E-2</v>
    <v>2.2409999999999999E-3</v>
    <v>CNY</v>
    <v>USD</v>
    <v>7.2934000000000001</v>
    <v>Currency Pair</v>
    <v>45694.604247685187</v>
    <v>7.2725999999999997</v>
    <v>US Dollar/Chinese Renminbi FX Spot Rate</v>
    <v>7.2770999999999999</v>
    <v>7.2720000000000002</v>
    <v>7.2882999999999996</v>
    <v>USDCNY</v>
    <v>USD/CNY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</dxfs>
  <richProperties>
    <rPr n="NumberFormat" t="s"/>
    <rPr n="IsTitleField" t="b"/>
  </richProperties>
  <richStyles>
    <rSty dxfid="1">
      <rpv i="0">_([$¥-zh-CN]* #,##0.00_);_([$¥-zh-CN]* (#,##0.00);_([$¥-zh-CN]*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6310-4E09-AA4D-94C9-B06DCC8B1B97}">
  <dimension ref="H2:N11"/>
  <sheetViews>
    <sheetView zoomScale="110" zoomScaleNormal="110" workbookViewId="0">
      <selection activeCell="L22" sqref="L22"/>
    </sheetView>
  </sheetViews>
  <sheetFormatPr baseColWidth="10" defaultRowHeight="16" x14ac:dyDescent="0.2"/>
  <sheetData>
    <row r="2" spans="8:14" x14ac:dyDescent="0.2">
      <c r="M2" t="s">
        <v>9</v>
      </c>
    </row>
    <row r="3" spans="8:14" x14ac:dyDescent="0.2">
      <c r="L3" s="1" t="s">
        <v>0</v>
      </c>
      <c r="M3">
        <v>90.6</v>
      </c>
    </row>
    <row r="4" spans="8:14" x14ac:dyDescent="0.2">
      <c r="L4" s="1" t="s">
        <v>1</v>
      </c>
      <c r="M4" s="2">
        <v>2789</v>
      </c>
      <c r="N4" t="s">
        <v>7</v>
      </c>
    </row>
    <row r="5" spans="8:14" x14ac:dyDescent="0.2">
      <c r="L5" s="1" t="s">
        <v>2</v>
      </c>
      <c r="M5" s="2">
        <f>M3*M4/I6</f>
        <v>31585.424999999999</v>
      </c>
    </row>
    <row r="6" spans="8:14" x14ac:dyDescent="0.2">
      <c r="H6" t="s">
        <v>6</v>
      </c>
      <c r="I6">
        <v>8</v>
      </c>
      <c r="L6" s="1" t="s">
        <v>3</v>
      </c>
      <c r="M6" s="2">
        <f>4087+14838+6361+12618</f>
        <v>37904</v>
      </c>
      <c r="N6" t="s">
        <v>7</v>
      </c>
    </row>
    <row r="7" spans="8:14" x14ac:dyDescent="0.2">
      <c r="L7" s="1" t="s">
        <v>4</v>
      </c>
      <c r="M7" s="2">
        <f>1706+5+2+1099+2064+3835+9+1167</f>
        <v>9887</v>
      </c>
      <c r="N7" t="s">
        <v>7</v>
      </c>
    </row>
    <row r="8" spans="8:14" x14ac:dyDescent="0.2">
      <c r="L8" s="1" t="s">
        <v>5</v>
      </c>
      <c r="M8" s="2">
        <f>M5-M6+M7</f>
        <v>3568.4249999999993</v>
      </c>
    </row>
    <row r="11" spans="8:14" x14ac:dyDescent="0.2">
      <c r="L11" s="1" t="s">
        <v>8</v>
      </c>
      <c r="M11" s="2">
        <f>M6-M7</f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C6BF-5B22-4C44-AE03-EEF9D5FD9A45}">
  <dimension ref="A1:AY3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7" sqref="L37"/>
    </sheetView>
  </sheetViews>
  <sheetFormatPr baseColWidth="10" defaultRowHeight="16" x14ac:dyDescent="0.2"/>
  <cols>
    <col min="1" max="1" width="13.6640625" customWidth="1"/>
    <col min="2" max="2" width="17.1640625" bestFit="1" customWidth="1"/>
    <col min="3" max="23" width="10.83203125" style="4"/>
  </cols>
  <sheetData>
    <row r="1" spans="2:51" x14ac:dyDescent="0.2">
      <c r="B1" t="s">
        <v>9</v>
      </c>
      <c r="N1" s="4" t="s">
        <v>32</v>
      </c>
    </row>
    <row r="2" spans="2:51" x14ac:dyDescent="0.2">
      <c r="C2" s="4" t="s">
        <v>39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7</v>
      </c>
      <c r="K2" s="4" t="s">
        <v>17</v>
      </c>
      <c r="N2" s="4">
        <v>2019</v>
      </c>
      <c r="O2" s="4">
        <v>2020</v>
      </c>
      <c r="P2" s="4">
        <v>2021</v>
      </c>
      <c r="Q2" s="4">
        <v>2022</v>
      </c>
      <c r="R2" s="4">
        <v>2023</v>
      </c>
      <c r="S2" s="4">
        <f>R2+1</f>
        <v>2024</v>
      </c>
      <c r="T2" s="4">
        <f t="shared" ref="T2:AY2" si="0">S2+1</f>
        <v>2025</v>
      </c>
      <c r="U2" s="4">
        <f t="shared" si="0"/>
        <v>2026</v>
      </c>
      <c r="V2" s="4">
        <f t="shared" si="0"/>
        <v>2027</v>
      </c>
      <c r="W2" s="4">
        <f t="shared" si="0"/>
        <v>2028</v>
      </c>
      <c r="X2" s="4">
        <f t="shared" si="0"/>
        <v>2029</v>
      </c>
      <c r="Y2" s="4">
        <f t="shared" si="0"/>
        <v>2030</v>
      </c>
      <c r="Z2" s="4">
        <f t="shared" si="0"/>
        <v>2031</v>
      </c>
      <c r="AA2" s="4">
        <f t="shared" si="0"/>
        <v>2032</v>
      </c>
      <c r="AB2" s="4">
        <f t="shared" si="0"/>
        <v>2033</v>
      </c>
      <c r="AC2" s="4">
        <f t="shared" si="0"/>
        <v>2034</v>
      </c>
      <c r="AD2" s="4">
        <f t="shared" si="0"/>
        <v>2035</v>
      </c>
      <c r="AE2" s="4">
        <f t="shared" si="0"/>
        <v>2036</v>
      </c>
      <c r="AF2" s="4">
        <f t="shared" si="0"/>
        <v>2037</v>
      </c>
      <c r="AG2" s="4">
        <f t="shared" si="0"/>
        <v>2038</v>
      </c>
      <c r="AH2" s="4">
        <f t="shared" si="0"/>
        <v>2039</v>
      </c>
      <c r="AI2" s="4">
        <f t="shared" si="0"/>
        <v>2040</v>
      </c>
      <c r="AJ2" s="4">
        <f t="shared" si="0"/>
        <v>2041</v>
      </c>
      <c r="AK2" s="4">
        <f t="shared" si="0"/>
        <v>2042</v>
      </c>
      <c r="AL2" s="4">
        <f t="shared" si="0"/>
        <v>2043</v>
      </c>
      <c r="AM2" s="4">
        <f t="shared" si="0"/>
        <v>2044</v>
      </c>
      <c r="AN2" s="4">
        <f t="shared" si="0"/>
        <v>2045</v>
      </c>
      <c r="AO2" s="4">
        <f t="shared" si="0"/>
        <v>2046</v>
      </c>
      <c r="AP2" s="4">
        <f t="shared" si="0"/>
        <v>2047</v>
      </c>
      <c r="AQ2" s="4">
        <f t="shared" si="0"/>
        <v>2048</v>
      </c>
      <c r="AR2" s="4">
        <f t="shared" si="0"/>
        <v>2049</v>
      </c>
      <c r="AS2" s="4">
        <f t="shared" si="0"/>
        <v>2050</v>
      </c>
      <c r="AT2" s="4">
        <f t="shared" si="0"/>
        <v>2051</v>
      </c>
      <c r="AU2" s="4">
        <f t="shared" si="0"/>
        <v>2052</v>
      </c>
      <c r="AV2" s="4">
        <f t="shared" si="0"/>
        <v>2053</v>
      </c>
      <c r="AW2" s="4">
        <f t="shared" si="0"/>
        <v>2054</v>
      </c>
      <c r="AX2" s="4">
        <f t="shared" si="0"/>
        <v>2055</v>
      </c>
      <c r="AY2" s="4">
        <f t="shared" si="0"/>
        <v>2056</v>
      </c>
    </row>
    <row r="3" spans="2:51" s="2" customFormat="1" x14ac:dyDescent="0.2">
      <c r="B3" s="2" t="s">
        <v>24</v>
      </c>
      <c r="C3" s="5">
        <v>2838</v>
      </c>
      <c r="D3" s="5">
        <v>2617</v>
      </c>
      <c r="E3" s="5">
        <v>2907</v>
      </c>
      <c r="F3" s="5">
        <v>2926</v>
      </c>
      <c r="G3" s="5">
        <v>2930</v>
      </c>
      <c r="H3" s="5">
        <v>2561</v>
      </c>
      <c r="I3" s="5">
        <v>2838</v>
      </c>
      <c r="J3" s="5">
        <v>2865</v>
      </c>
      <c r="K3" s="5"/>
      <c r="L3" s="5"/>
      <c r="M3" s="5"/>
      <c r="N3" s="5">
        <v>78093</v>
      </c>
      <c r="O3" s="5">
        <v>72840</v>
      </c>
      <c r="P3" s="5">
        <v>80695</v>
      </c>
      <c r="Q3" s="5">
        <v>74711</v>
      </c>
      <c r="R3" s="5">
        <v>81203</v>
      </c>
      <c r="S3" s="5"/>
      <c r="T3" s="5"/>
      <c r="U3" s="5"/>
      <c r="V3" s="5"/>
      <c r="W3" s="5"/>
    </row>
    <row r="4" spans="2:51" s="2" customFormat="1" x14ac:dyDescent="0.2">
      <c r="B4" s="2" t="s">
        <v>25</v>
      </c>
      <c r="C4" s="5">
        <v>1958</v>
      </c>
      <c r="D4" s="5">
        <v>1918</v>
      </c>
      <c r="E4" s="5">
        <v>1790</v>
      </c>
      <c r="F4" s="5">
        <v>1795</v>
      </c>
      <c r="G4" s="5">
        <v>1993</v>
      </c>
      <c r="H4" s="5">
        <v>1804</v>
      </c>
      <c r="I4" s="5">
        <v>1831</v>
      </c>
      <c r="J4" s="5">
        <v>1917</v>
      </c>
      <c r="K4" s="5"/>
      <c r="L4" s="5"/>
      <c r="M4" s="5"/>
      <c r="N4" s="5">
        <v>29320</v>
      </c>
      <c r="O4" s="5">
        <v>34234</v>
      </c>
      <c r="P4" s="5">
        <v>43798</v>
      </c>
      <c r="Q4" s="5">
        <v>48964</v>
      </c>
      <c r="R4" s="5">
        <v>53395</v>
      </c>
      <c r="S4" s="5"/>
      <c r="T4" s="5"/>
      <c r="U4" s="5"/>
      <c r="V4" s="5"/>
      <c r="W4" s="5"/>
    </row>
    <row r="5" spans="2:51" s="7" customFormat="1" x14ac:dyDescent="0.2">
      <c r="B5" s="7" t="s">
        <v>10</v>
      </c>
      <c r="C5" s="8">
        <f t="shared" ref="C5:J5" si="1">SUM(C3:C4)</f>
        <v>4796</v>
      </c>
      <c r="D5" s="8">
        <f t="shared" si="1"/>
        <v>4535</v>
      </c>
      <c r="E5" s="8">
        <f t="shared" si="1"/>
        <v>4697</v>
      </c>
      <c r="F5" s="8">
        <f t="shared" si="1"/>
        <v>4721</v>
      </c>
      <c r="G5" s="8">
        <f t="shared" si="1"/>
        <v>4923</v>
      </c>
      <c r="H5" s="8">
        <f t="shared" si="1"/>
        <v>4365</v>
      </c>
      <c r="I5" s="8">
        <f t="shared" si="1"/>
        <v>4669</v>
      </c>
      <c r="J5" s="8">
        <f t="shared" si="1"/>
        <v>4782</v>
      </c>
      <c r="K5" s="8"/>
      <c r="L5" s="8"/>
      <c r="M5" s="8"/>
      <c r="N5" s="8">
        <f>SUM(N3:N4)</f>
        <v>107413</v>
      </c>
      <c r="O5" s="8">
        <f>SUM(O3:O4)</f>
        <v>107074</v>
      </c>
      <c r="P5" s="8">
        <f>SUM(P3:P4)</f>
        <v>124493</v>
      </c>
      <c r="Q5" s="8">
        <f>SUM(Q3:Q4)</f>
        <v>123675</v>
      </c>
      <c r="R5" s="8">
        <f>SUM(R3:R4)</f>
        <v>134598</v>
      </c>
      <c r="S5" s="8"/>
      <c r="T5" s="8"/>
      <c r="U5" s="8"/>
      <c r="V5" s="8"/>
      <c r="W5" s="8"/>
    </row>
    <row r="6" spans="2:51" s="2" customFormat="1" x14ac:dyDescent="0.2">
      <c r="B6" s="2" t="s">
        <v>21</v>
      </c>
      <c r="C6" s="5">
        <v>2457</v>
      </c>
      <c r="D6" s="5">
        <v>2206</v>
      </c>
      <c r="E6" s="5">
        <v>2230</v>
      </c>
      <c r="F6" s="5">
        <v>2233</v>
      </c>
      <c r="G6" s="5">
        <v>2453</v>
      </c>
      <c r="H6" s="5">
        <v>2118</v>
      </c>
      <c r="I6" s="5">
        <v>2257</v>
      </c>
      <c r="J6" s="5">
        <v>2337</v>
      </c>
      <c r="K6" s="5"/>
      <c r="L6" s="5"/>
      <c r="M6" s="5"/>
      <c r="N6" s="5">
        <v>62850</v>
      </c>
      <c r="O6" s="5">
        <v>55158</v>
      </c>
      <c r="P6" s="5">
        <v>64314</v>
      </c>
      <c r="Q6" s="5">
        <v>63935</v>
      </c>
      <c r="R6" s="5">
        <v>65031</v>
      </c>
      <c r="S6" s="5"/>
      <c r="T6" s="5"/>
      <c r="U6" s="5"/>
      <c r="V6" s="5"/>
      <c r="W6" s="5"/>
    </row>
    <row r="7" spans="2:51" s="2" customFormat="1" x14ac:dyDescent="0.2">
      <c r="B7" s="2" t="s">
        <v>20</v>
      </c>
      <c r="C7" s="5">
        <f t="shared" ref="C7:J7" si="2">C5-C6</f>
        <v>2339</v>
      </c>
      <c r="D7" s="5">
        <f t="shared" si="2"/>
        <v>2329</v>
      </c>
      <c r="E7" s="5">
        <f t="shared" si="2"/>
        <v>2467</v>
      </c>
      <c r="F7" s="5">
        <f t="shared" si="2"/>
        <v>2488</v>
      </c>
      <c r="G7" s="5">
        <f t="shared" si="2"/>
        <v>2470</v>
      </c>
      <c r="H7" s="5">
        <f t="shared" si="2"/>
        <v>2247</v>
      </c>
      <c r="I7" s="5">
        <f t="shared" si="2"/>
        <v>2412</v>
      </c>
      <c r="J7" s="5">
        <f t="shared" si="2"/>
        <v>2445</v>
      </c>
      <c r="K7" s="5"/>
      <c r="L7" s="5"/>
      <c r="M7" s="5"/>
      <c r="N7" s="5">
        <f>N5-N6</f>
        <v>44563</v>
      </c>
      <c r="O7" s="5">
        <f>O5-O6</f>
        <v>51916</v>
      </c>
      <c r="P7" s="5">
        <f>P5-P6</f>
        <v>60179</v>
      </c>
      <c r="Q7" s="5">
        <f>Q5-Q6</f>
        <v>59740</v>
      </c>
      <c r="R7" s="5">
        <f>R5-R6</f>
        <v>69567</v>
      </c>
      <c r="S7" s="5"/>
      <c r="T7" s="5"/>
      <c r="U7" s="5"/>
      <c r="V7" s="5"/>
      <c r="W7" s="5"/>
    </row>
    <row r="8" spans="2:51" s="2" customFormat="1" x14ac:dyDescent="0.2">
      <c r="B8" s="2" t="s">
        <v>22</v>
      </c>
      <c r="C8" s="5">
        <v>853</v>
      </c>
      <c r="D8" s="5">
        <v>814</v>
      </c>
      <c r="E8" s="5">
        <v>869</v>
      </c>
      <c r="F8" s="5">
        <v>792</v>
      </c>
      <c r="G8" s="5">
        <v>825</v>
      </c>
      <c r="H8" s="5">
        <v>745</v>
      </c>
      <c r="I8" s="5">
        <v>784</v>
      </c>
      <c r="J8" s="5">
        <v>836</v>
      </c>
      <c r="K8" s="5"/>
      <c r="L8" s="5"/>
      <c r="M8" s="5"/>
      <c r="N8" s="5">
        <v>19910</v>
      </c>
      <c r="O8" s="5">
        <v>18063</v>
      </c>
      <c r="P8" s="5">
        <v>24723</v>
      </c>
      <c r="Q8" s="5">
        <v>20514</v>
      </c>
      <c r="R8" s="5">
        <v>23519</v>
      </c>
      <c r="S8" s="5"/>
      <c r="T8" s="5"/>
      <c r="U8" s="5"/>
      <c r="V8" s="5"/>
      <c r="W8" s="5"/>
    </row>
    <row r="9" spans="2:51" s="2" customFormat="1" x14ac:dyDescent="0.2">
      <c r="B9" s="2" t="s">
        <v>23</v>
      </c>
      <c r="C9" s="5">
        <v>820</v>
      </c>
      <c r="D9" s="5">
        <v>790</v>
      </c>
      <c r="E9" s="5">
        <v>880</v>
      </c>
      <c r="F9" s="5">
        <v>836</v>
      </c>
      <c r="G9" s="5">
        <v>886</v>
      </c>
      <c r="H9" s="5">
        <v>742</v>
      </c>
      <c r="I9" s="5">
        <v>810</v>
      </c>
      <c r="J9" s="5">
        <v>765</v>
      </c>
      <c r="K9" s="5"/>
      <c r="L9" s="5"/>
      <c r="M9" s="5"/>
      <c r="N9" s="5">
        <v>18346</v>
      </c>
      <c r="O9" s="5">
        <v>19513</v>
      </c>
      <c r="P9" s="5">
        <v>24938</v>
      </c>
      <c r="Q9" s="5">
        <v>23315</v>
      </c>
      <c r="R9" s="5">
        <v>24192</v>
      </c>
      <c r="S9" s="5"/>
      <c r="T9" s="5"/>
      <c r="U9" s="5"/>
      <c r="V9" s="5"/>
      <c r="W9" s="5"/>
    </row>
    <row r="10" spans="2:51" s="2" customFormat="1" x14ac:dyDescent="0.2">
      <c r="B10" s="2" t="s">
        <v>18</v>
      </c>
      <c r="C10" s="5">
        <f t="shared" ref="C10:J10" si="3">C8+C9</f>
        <v>1673</v>
      </c>
      <c r="D10" s="5">
        <f t="shared" si="3"/>
        <v>1604</v>
      </c>
      <c r="E10" s="5">
        <f t="shared" si="3"/>
        <v>1749</v>
      </c>
      <c r="F10" s="5">
        <f t="shared" si="3"/>
        <v>1628</v>
      </c>
      <c r="G10" s="5">
        <f t="shared" si="3"/>
        <v>1711</v>
      </c>
      <c r="H10" s="5">
        <f t="shared" si="3"/>
        <v>1487</v>
      </c>
      <c r="I10" s="5">
        <f t="shared" si="3"/>
        <v>1594</v>
      </c>
      <c r="J10" s="5">
        <f t="shared" si="3"/>
        <v>1601</v>
      </c>
      <c r="K10" s="5"/>
      <c r="L10" s="5"/>
      <c r="M10" s="5"/>
      <c r="N10" s="5">
        <f>SUM(N8:N9)</f>
        <v>38256</v>
      </c>
      <c r="O10" s="5">
        <f>SUM(O8:O9)</f>
        <v>37576</v>
      </c>
      <c r="P10" s="5">
        <f>SUM(P8:P9)</f>
        <v>49661</v>
      </c>
      <c r="Q10" s="5">
        <f>SUM(Q8:Q9)</f>
        <v>43829</v>
      </c>
      <c r="R10" s="5">
        <f>SUM(R8:R9)</f>
        <v>47711</v>
      </c>
      <c r="S10" s="5"/>
      <c r="T10" s="5"/>
      <c r="U10" s="5"/>
      <c r="V10" s="5"/>
      <c r="W10" s="5"/>
    </row>
    <row r="11" spans="2:51" s="7" customFormat="1" x14ac:dyDescent="0.2">
      <c r="B11" s="7" t="s">
        <v>19</v>
      </c>
      <c r="C11" s="8">
        <f t="shared" ref="C11:J11" si="4">C7-C10</f>
        <v>666</v>
      </c>
      <c r="D11" s="8">
        <f t="shared" si="4"/>
        <v>725</v>
      </c>
      <c r="E11" s="8">
        <f t="shared" si="4"/>
        <v>718</v>
      </c>
      <c r="F11" s="8">
        <f t="shared" si="4"/>
        <v>860</v>
      </c>
      <c r="G11" s="8">
        <f t="shared" si="4"/>
        <v>759</v>
      </c>
      <c r="H11" s="8">
        <f t="shared" si="4"/>
        <v>760</v>
      </c>
      <c r="I11" s="8">
        <f t="shared" si="4"/>
        <v>818</v>
      </c>
      <c r="J11" s="8">
        <f t="shared" si="4"/>
        <v>844</v>
      </c>
      <c r="K11" s="8"/>
      <c r="L11" s="8"/>
      <c r="M11" s="8"/>
      <c r="N11" s="8">
        <f>N7-N10</f>
        <v>6307</v>
      </c>
      <c r="O11" s="8">
        <f>O7-O10</f>
        <v>14340</v>
      </c>
      <c r="P11" s="8">
        <f>P7-P10</f>
        <v>10518</v>
      </c>
      <c r="Q11" s="8">
        <f>Q7-Q10</f>
        <v>15911</v>
      </c>
      <c r="R11" s="8">
        <f>R7-R10</f>
        <v>21856</v>
      </c>
      <c r="S11" s="8"/>
      <c r="T11" s="8"/>
      <c r="U11" s="8"/>
      <c r="V11" s="8"/>
      <c r="W11" s="8"/>
    </row>
    <row r="12" spans="2:51" s="2" customFormat="1" x14ac:dyDescent="0.2">
      <c r="B12" s="2" t="s">
        <v>26</v>
      </c>
      <c r="C12" s="5">
        <f>239-107-76+251</f>
        <v>307</v>
      </c>
      <c r="D12" s="5">
        <f>279-117-7+238</f>
        <v>393</v>
      </c>
      <c r="E12" s="5">
        <f>269-113-76-53</f>
        <v>27</v>
      </c>
      <c r="F12" s="5">
        <f>285-117-55+152</f>
        <v>265</v>
      </c>
      <c r="G12" s="5">
        <f>291-109-418-57</f>
        <v>-293</v>
      </c>
      <c r="H12" s="5">
        <f>290-106-28-39</f>
        <v>117</v>
      </c>
      <c r="I12" s="5">
        <f>274-102-16-63</f>
        <v>93</v>
      </c>
      <c r="J12" s="5">
        <f>267-96+5+361</f>
        <v>537</v>
      </c>
      <c r="K12" s="5"/>
      <c r="L12" s="5"/>
      <c r="M12" s="5"/>
      <c r="N12" s="5">
        <v>-6647</v>
      </c>
      <c r="O12" s="5">
        <v>8750</v>
      </c>
      <c r="P12" s="5">
        <v>260</v>
      </c>
      <c r="Q12" s="5">
        <v>-5799</v>
      </c>
      <c r="R12" s="5">
        <v>3342</v>
      </c>
      <c r="S12" s="5"/>
      <c r="T12" s="5"/>
      <c r="U12" s="5"/>
      <c r="V12" s="5"/>
      <c r="W12" s="5"/>
    </row>
    <row r="13" spans="2:51" s="2" customFormat="1" x14ac:dyDescent="0.2">
      <c r="B13" s="2" t="s">
        <v>27</v>
      </c>
      <c r="C13" s="5">
        <v>-49</v>
      </c>
      <c r="D13" s="5">
        <v>-15</v>
      </c>
      <c r="E13" s="5">
        <v>162</v>
      </c>
      <c r="F13" s="5">
        <v>-4</v>
      </c>
      <c r="G13" s="5">
        <v>-63</v>
      </c>
      <c r="H13" s="5">
        <v>56</v>
      </c>
      <c r="I13" s="5">
        <v>13</v>
      </c>
      <c r="J13" s="5">
        <v>-156</v>
      </c>
      <c r="K13" s="5"/>
      <c r="L13" s="5"/>
      <c r="M13" s="5"/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/>
      <c r="T13" s="5"/>
      <c r="U13" s="5"/>
      <c r="V13" s="5"/>
      <c r="W13" s="5"/>
    </row>
    <row r="14" spans="2:51" s="2" customFormat="1" x14ac:dyDescent="0.2">
      <c r="B14" s="2" t="s">
        <v>28</v>
      </c>
      <c r="C14" s="5">
        <f t="shared" ref="C14:J14" si="5">C11+C12+C13</f>
        <v>924</v>
      </c>
      <c r="D14" s="5">
        <f t="shared" si="5"/>
        <v>1103</v>
      </c>
      <c r="E14" s="5">
        <f t="shared" si="5"/>
        <v>907</v>
      </c>
      <c r="F14" s="5">
        <f t="shared" si="5"/>
        <v>1121</v>
      </c>
      <c r="G14" s="5">
        <f t="shared" si="5"/>
        <v>403</v>
      </c>
      <c r="H14" s="5">
        <f t="shared" si="5"/>
        <v>933</v>
      </c>
      <c r="I14" s="5">
        <f t="shared" si="5"/>
        <v>924</v>
      </c>
      <c r="J14" s="5">
        <f t="shared" si="5"/>
        <v>1225</v>
      </c>
      <c r="K14" s="5"/>
      <c r="L14" s="5"/>
      <c r="M14" s="5"/>
      <c r="N14" s="5">
        <f>N11+SUM(N12:N13)</f>
        <v>-340</v>
      </c>
      <c r="O14" s="5">
        <f>O11+SUM(O12:O13)</f>
        <v>23090</v>
      </c>
      <c r="P14" s="5">
        <f>P11+SUM(P12:P13)</f>
        <v>10778</v>
      </c>
      <c r="Q14" s="5">
        <f>Q11+SUM(Q12:Q13)</f>
        <v>10112</v>
      </c>
      <c r="R14" s="5">
        <f>R11+SUM(R12:R13)</f>
        <v>25198</v>
      </c>
      <c r="S14" s="5"/>
      <c r="T14" s="5"/>
      <c r="U14" s="5"/>
      <c r="V14" s="5"/>
      <c r="W14" s="5"/>
    </row>
    <row r="15" spans="2:51" s="2" customFormat="1" x14ac:dyDescent="0.2">
      <c r="B15" s="2" t="s">
        <v>40</v>
      </c>
      <c r="C15" s="5">
        <f>181+25</f>
        <v>206</v>
      </c>
      <c r="D15" s="5">
        <f>174+81</f>
        <v>255</v>
      </c>
      <c r="E15" s="5">
        <f>175+14</f>
        <v>189</v>
      </c>
      <c r="F15" s="5">
        <f>175+30</f>
        <v>205</v>
      </c>
      <c r="G15" s="5">
        <f>-14+51</f>
        <v>37</v>
      </c>
      <c r="H15" s="5">
        <f>122+56</f>
        <v>178</v>
      </c>
      <c r="I15" s="5">
        <v>156</v>
      </c>
      <c r="J15" s="5">
        <v>116</v>
      </c>
      <c r="K15" s="5"/>
      <c r="L15" s="5"/>
      <c r="M15" s="5"/>
      <c r="N15" s="5">
        <f>1948-4345</f>
        <v>-2397</v>
      </c>
      <c r="O15" s="5">
        <f>4064-3446</f>
        <v>618</v>
      </c>
      <c r="P15" s="5">
        <f>3187-2635</f>
        <v>552</v>
      </c>
      <c r="Q15" s="5">
        <f>2578-25</f>
        <v>2553</v>
      </c>
      <c r="R15" s="5">
        <f>3649+1234</f>
        <v>4883</v>
      </c>
      <c r="S15" s="5"/>
      <c r="T15" s="5"/>
      <c r="U15" s="5"/>
      <c r="V15" s="5"/>
      <c r="W15" s="5"/>
    </row>
    <row r="16" spans="2:51" s="7" customFormat="1" x14ac:dyDescent="0.2">
      <c r="B16" s="7" t="s">
        <v>30</v>
      </c>
      <c r="C16" s="8">
        <f t="shared" ref="C16:J16" si="6">C14-C15</f>
        <v>718</v>
      </c>
      <c r="D16" s="8">
        <f t="shared" si="6"/>
        <v>848</v>
      </c>
      <c r="E16" s="8">
        <f t="shared" si="6"/>
        <v>718</v>
      </c>
      <c r="F16" s="8">
        <f t="shared" si="6"/>
        <v>916</v>
      </c>
      <c r="G16" s="8">
        <f t="shared" si="6"/>
        <v>366</v>
      </c>
      <c r="H16" s="8">
        <f t="shared" si="6"/>
        <v>755</v>
      </c>
      <c r="I16" s="8">
        <f t="shared" si="6"/>
        <v>768</v>
      </c>
      <c r="J16" s="8">
        <f t="shared" si="6"/>
        <v>1109</v>
      </c>
      <c r="K16" s="8"/>
      <c r="L16" s="8"/>
      <c r="M16" s="8"/>
      <c r="N16" s="8">
        <f>N14-N15</f>
        <v>2057</v>
      </c>
      <c r="O16" s="8">
        <f>O14-O15</f>
        <v>22472</v>
      </c>
      <c r="P16" s="8">
        <f>P14-P15</f>
        <v>10226</v>
      </c>
      <c r="Q16" s="8">
        <f>Q14-Q15</f>
        <v>7559</v>
      </c>
      <c r="R16" s="8">
        <f>R14-R15</f>
        <v>20315</v>
      </c>
      <c r="S16" s="8"/>
      <c r="T16" s="8"/>
      <c r="U16" s="8"/>
      <c r="V16" s="8"/>
      <c r="W16" s="8"/>
    </row>
    <row r="17" spans="1:23" s="2" customFormat="1" x14ac:dyDescent="0.2">
      <c r="B17" s="2" t="s">
        <v>1</v>
      </c>
      <c r="C17" s="5">
        <v>2801</v>
      </c>
      <c r="D17" s="5">
        <v>2837</v>
      </c>
      <c r="E17" s="5">
        <v>2834</v>
      </c>
      <c r="F17" s="5">
        <v>2846</v>
      </c>
      <c r="G17" s="5">
        <v>2830</v>
      </c>
      <c r="H17" s="5">
        <v>2816</v>
      </c>
      <c r="I17" s="5">
        <v>2804</v>
      </c>
      <c r="J17" s="5">
        <v>2789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3" customFormat="1" x14ac:dyDescent="0.2">
      <c r="B18" s="3" t="s">
        <v>31</v>
      </c>
      <c r="C18" s="6">
        <f t="shared" ref="C18:J18" si="7">C16/C17</f>
        <v>0.25633702249196716</v>
      </c>
      <c r="D18" s="6">
        <f t="shared" si="7"/>
        <v>0.29890729643990133</v>
      </c>
      <c r="E18" s="6">
        <f t="shared" si="7"/>
        <v>0.25335215243472126</v>
      </c>
      <c r="F18" s="6">
        <f t="shared" si="7"/>
        <v>0.32185523541813071</v>
      </c>
      <c r="G18" s="6">
        <f t="shared" si="7"/>
        <v>0.12932862190812722</v>
      </c>
      <c r="H18" s="6">
        <f t="shared" si="7"/>
        <v>0.26811079545454547</v>
      </c>
      <c r="I18" s="6">
        <f t="shared" si="7"/>
        <v>0.27389443651925821</v>
      </c>
      <c r="J18" s="6">
        <f t="shared" si="7"/>
        <v>0.39763356041591968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20" spans="1:23" x14ac:dyDescent="0.2">
      <c r="B20" t="e" vm="1">
        <v>#VALUE!</v>
      </c>
      <c r="C20" s="11" cm="1">
        <f t="array" aca="1" ref="C20" ca="1">_FV(B20,"Price")</f>
        <v>7.2882999999999996</v>
      </c>
      <c r="D20" s="11"/>
    </row>
    <row r="21" spans="1:23" x14ac:dyDescent="0.2">
      <c r="B21" t="s">
        <v>38</v>
      </c>
      <c r="I21" s="12"/>
      <c r="J21" s="12"/>
      <c r="K21" s="12"/>
      <c r="L21" s="12"/>
      <c r="M21" s="12"/>
      <c r="N21" s="13">
        <f t="shared" ref="N21:R21" ca="1" si="8">N16/$C$20</f>
        <v>282.2331682285307</v>
      </c>
      <c r="O21" s="13">
        <f t="shared" ca="1" si="8"/>
        <v>3083.2978883964711</v>
      </c>
      <c r="P21" s="13">
        <f t="shared" ca="1" si="8"/>
        <v>1403.0706749173332</v>
      </c>
      <c r="Q21" s="13">
        <f t="shared" ca="1" si="8"/>
        <v>1037.1417202914261</v>
      </c>
      <c r="R21" s="13">
        <f t="shared" ca="1" si="8"/>
        <v>2787.3440994470593</v>
      </c>
    </row>
    <row r="23" spans="1:23" s="9" customFormat="1" x14ac:dyDescent="0.2">
      <c r="A23" s="9" t="s">
        <v>42</v>
      </c>
      <c r="B23" s="9" t="s">
        <v>41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>
        <f>O11/N11-1</f>
        <v>1.2736641826541937</v>
      </c>
      <c r="P23" s="10">
        <f t="shared" ref="P23:R23" si="9">P11/O11-1</f>
        <v>-0.26652719665271962</v>
      </c>
      <c r="Q23" s="10">
        <f t="shared" si="9"/>
        <v>0.51274006465107425</v>
      </c>
      <c r="R23" s="10">
        <f t="shared" si="9"/>
        <v>0.37364087738042873</v>
      </c>
      <c r="S23" s="10"/>
      <c r="T23" s="10"/>
      <c r="U23" s="10"/>
      <c r="V23" s="10"/>
      <c r="W23" s="10"/>
    </row>
    <row r="24" spans="1:23" s="9" customFormat="1" x14ac:dyDescent="0.2">
      <c r="B24" s="9" t="s">
        <v>35</v>
      </c>
      <c r="C24" s="10"/>
      <c r="D24" s="10"/>
      <c r="E24" s="10"/>
      <c r="F24" s="10"/>
      <c r="G24" s="10">
        <f t="shared" ref="G24:I24" si="10">G3/C3-1</f>
        <v>3.2417195207892879E-2</v>
      </c>
      <c r="H24" s="10">
        <f t="shared" si="10"/>
        <v>-2.1398547955674418E-2</v>
      </c>
      <c r="I24" s="10">
        <f t="shared" si="10"/>
        <v>-2.3735810113519107E-2</v>
      </c>
      <c r="J24" s="10">
        <f>J3/F3-1</f>
        <v>-2.0847573479152448E-2</v>
      </c>
      <c r="K24" s="10"/>
      <c r="L24" s="10"/>
      <c r="M24" s="10"/>
      <c r="N24" s="10"/>
      <c r="O24" s="10">
        <f t="shared" ref="O24:Q24" si="11">O5/N5-1</f>
        <v>-3.1560425646802726E-3</v>
      </c>
      <c r="P24" s="10">
        <f t="shared" si="11"/>
        <v>0.16268188355716617</v>
      </c>
      <c r="Q24" s="10">
        <f t="shared" si="11"/>
        <v>-6.5706505586659025E-3</v>
      </c>
      <c r="R24" s="10">
        <f>R5/Q5-1</f>
        <v>8.8320194057004198E-2</v>
      </c>
      <c r="S24" s="10"/>
      <c r="T24" s="10"/>
      <c r="U24" s="10"/>
      <c r="V24" s="10"/>
      <c r="W24" s="10"/>
    </row>
    <row r="25" spans="1:23" s="9" customFormat="1" x14ac:dyDescent="0.2">
      <c r="B25" s="9" t="s">
        <v>36</v>
      </c>
      <c r="C25" s="10"/>
      <c r="D25" s="10"/>
      <c r="E25" s="10"/>
      <c r="F25" s="10"/>
      <c r="G25" s="10">
        <f t="shared" ref="G25:I25" si="12">G8/C8</f>
        <v>0.96717467760844078</v>
      </c>
      <c r="H25" s="10">
        <f t="shared" si="12"/>
        <v>0.91523341523341528</v>
      </c>
      <c r="I25" s="10">
        <f t="shared" si="12"/>
        <v>0.90218642117376291</v>
      </c>
      <c r="J25" s="10">
        <f>J8/F8</f>
        <v>1.0555555555555556</v>
      </c>
      <c r="K25" s="10"/>
      <c r="L25" s="10"/>
      <c r="M25" s="10"/>
      <c r="N25" s="10"/>
      <c r="O25" s="10">
        <f t="shared" ref="O25:Q25" si="13">O8/N8-1</f>
        <v>-9.2767453540934186E-2</v>
      </c>
      <c r="P25" s="10">
        <f t="shared" si="13"/>
        <v>0.36870951669157948</v>
      </c>
      <c r="Q25" s="10">
        <f t="shared" si="13"/>
        <v>-0.17024632932896488</v>
      </c>
      <c r="R25" s="10">
        <f>R8/Q8-1</f>
        <v>0.14648532709369211</v>
      </c>
      <c r="S25" s="10"/>
      <c r="T25" s="10"/>
      <c r="U25" s="10"/>
      <c r="V25" s="10"/>
      <c r="W25" s="10"/>
    </row>
    <row r="26" spans="1:23" s="9" customFormat="1" x14ac:dyDescent="0.2">
      <c r="B26" s="9" t="s">
        <v>37</v>
      </c>
      <c r="C26" s="10"/>
      <c r="D26" s="10"/>
      <c r="E26" s="10"/>
      <c r="F26" s="10"/>
      <c r="G26" s="10">
        <f t="shared" ref="G26:I26" si="14">G9/C9</f>
        <v>1.0804878048780489</v>
      </c>
      <c r="H26" s="10">
        <f t="shared" si="14"/>
        <v>0.93924050632911393</v>
      </c>
      <c r="I26" s="10">
        <f t="shared" si="14"/>
        <v>0.92045454545454541</v>
      </c>
      <c r="J26" s="10">
        <f>J9/F9</f>
        <v>0.91507177033492826</v>
      </c>
      <c r="K26" s="10"/>
      <c r="L26" s="10"/>
      <c r="M26" s="10"/>
      <c r="N26" s="10"/>
      <c r="O26" s="10">
        <f t="shared" ref="O26:Q26" si="15">O9/N9-1</f>
        <v>6.3610596315273105E-2</v>
      </c>
      <c r="P26" s="10">
        <f t="shared" si="15"/>
        <v>0.27801978168400554</v>
      </c>
      <c r="Q26" s="10">
        <f t="shared" si="15"/>
        <v>-6.5081401876654121E-2</v>
      </c>
      <c r="R26" s="10">
        <f>R9/Q9-1</f>
        <v>3.7615269140038654E-2</v>
      </c>
      <c r="S26" s="10"/>
      <c r="T26" s="10"/>
      <c r="U26" s="10"/>
      <c r="V26" s="10"/>
      <c r="W26" s="10"/>
    </row>
    <row r="29" spans="1:23" s="9" customFormat="1" x14ac:dyDescent="0.2">
      <c r="B29" s="9" t="s">
        <v>33</v>
      </c>
      <c r="C29" s="10">
        <f t="shared" ref="C29:H29" si="16">C7/C5</f>
        <v>0.48769808173477897</v>
      </c>
      <c r="D29" s="10">
        <f t="shared" si="16"/>
        <v>0.51356119073869899</v>
      </c>
      <c r="E29" s="10">
        <f t="shared" si="16"/>
        <v>0.52522886949116454</v>
      </c>
      <c r="F29" s="10">
        <f t="shared" si="16"/>
        <v>0.52700699004448215</v>
      </c>
      <c r="G29" s="10">
        <f t="shared" si="16"/>
        <v>0.50172658947796056</v>
      </c>
      <c r="H29" s="10">
        <f t="shared" si="16"/>
        <v>0.51477663230240545</v>
      </c>
      <c r="I29" s="10">
        <f>I7/I5</f>
        <v>0.51659884343542517</v>
      </c>
      <c r="J29" s="10">
        <f>J7/J5</f>
        <v>0.51129234629861986</v>
      </c>
      <c r="K29" s="10"/>
      <c r="L29" s="10"/>
      <c r="M29" s="10"/>
      <c r="N29" s="10">
        <f t="shared" ref="N29:R29" si="17">N7/N5</f>
        <v>0.4148752944243248</v>
      </c>
      <c r="O29" s="10">
        <f t="shared" si="17"/>
        <v>0.48486093729570201</v>
      </c>
      <c r="P29" s="10">
        <f t="shared" si="17"/>
        <v>0.48339264055007108</v>
      </c>
      <c r="Q29" s="10">
        <f t="shared" si="17"/>
        <v>0.48304022639983829</v>
      </c>
      <c r="R29" s="10">
        <f t="shared" si="17"/>
        <v>0.51685017607988226</v>
      </c>
      <c r="S29" s="10"/>
      <c r="T29" s="10"/>
      <c r="U29" s="10"/>
      <c r="V29" s="10"/>
      <c r="W29" s="10"/>
    </row>
    <row r="30" spans="1:23" s="9" customFormat="1" x14ac:dyDescent="0.2">
      <c r="B30" s="9" t="s">
        <v>34</v>
      </c>
      <c r="C30" s="10">
        <f t="shared" ref="C30:H30" si="18">C11/C5</f>
        <v>0.13886572143452877</v>
      </c>
      <c r="D30" s="10">
        <f t="shared" si="18"/>
        <v>0.15986769570011025</v>
      </c>
      <c r="E30" s="10">
        <f t="shared" si="18"/>
        <v>0.15286352991271024</v>
      </c>
      <c r="F30" s="10">
        <f t="shared" si="18"/>
        <v>0.18216479559415377</v>
      </c>
      <c r="G30" s="10">
        <f t="shared" si="18"/>
        <v>0.15417428397318708</v>
      </c>
      <c r="H30" s="10">
        <f t="shared" si="18"/>
        <v>0.17411225658648338</v>
      </c>
      <c r="I30" s="10">
        <f>I11/I5</f>
        <v>0.17519811522810025</v>
      </c>
      <c r="J30" s="10">
        <f>J11/J5</f>
        <v>0.17649519029694688</v>
      </c>
      <c r="K30" s="10"/>
      <c r="L30" s="10"/>
      <c r="M30" s="10"/>
      <c r="N30" s="10">
        <f t="shared" ref="N30:R30" si="19">N11/N5</f>
        <v>5.871728747916919E-2</v>
      </c>
      <c r="O30" s="10">
        <f t="shared" si="19"/>
        <v>0.13392606982087155</v>
      </c>
      <c r="P30" s="10">
        <f t="shared" si="19"/>
        <v>8.4486677965829399E-2</v>
      </c>
      <c r="Q30" s="10">
        <f t="shared" si="19"/>
        <v>0.12865170810592277</v>
      </c>
      <c r="R30" s="10">
        <f t="shared" si="19"/>
        <v>0.1623798273377019</v>
      </c>
      <c r="S30" s="10"/>
      <c r="T30" s="10"/>
      <c r="U30" s="10"/>
      <c r="V30" s="10"/>
      <c r="W30" s="10"/>
    </row>
    <row r="31" spans="1:23" s="9" customFormat="1" x14ac:dyDescent="0.2">
      <c r="B31" s="9" t="s">
        <v>29</v>
      </c>
      <c r="C31" s="10">
        <f t="shared" ref="C31:H31" si="20">C15/C14</f>
        <v>0.22294372294372294</v>
      </c>
      <c r="D31" s="10">
        <f t="shared" si="20"/>
        <v>0.23118766999093382</v>
      </c>
      <c r="E31" s="10">
        <f t="shared" si="20"/>
        <v>0.20837927232635062</v>
      </c>
      <c r="F31" s="10">
        <f t="shared" si="20"/>
        <v>0.18287243532560213</v>
      </c>
      <c r="G31" s="10">
        <f t="shared" si="20"/>
        <v>9.1811414392059559E-2</v>
      </c>
      <c r="H31" s="10">
        <f t="shared" si="20"/>
        <v>0.19078242229367631</v>
      </c>
      <c r="I31" s="10">
        <f>I15/I14</f>
        <v>0.16883116883116883</v>
      </c>
      <c r="J31" s="10">
        <f>J15/J14</f>
        <v>9.4693877551020406E-2</v>
      </c>
      <c r="K31" s="10"/>
      <c r="L31" s="10"/>
      <c r="M31" s="10"/>
      <c r="N31" s="10">
        <f t="shared" ref="N31:R31" si="21">N15/N14</f>
        <v>7.05</v>
      </c>
      <c r="O31" s="10">
        <f t="shared" si="21"/>
        <v>2.6764833261152015E-2</v>
      </c>
      <c r="P31" s="10">
        <f t="shared" si="21"/>
        <v>5.1215438856930785E-2</v>
      </c>
      <c r="Q31" s="10">
        <f t="shared" si="21"/>
        <v>0.25247231012658228</v>
      </c>
      <c r="R31" s="10">
        <f t="shared" si="21"/>
        <v>0.19378522104928964</v>
      </c>
      <c r="S31" s="10"/>
      <c r="T31" s="10"/>
      <c r="U31" s="10"/>
      <c r="V31" s="10"/>
      <c r="W3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</dc:creator>
  <cp:lastModifiedBy>Bobby S</cp:lastModifiedBy>
  <dcterms:created xsi:type="dcterms:W3CDTF">2025-02-02T14:19:56Z</dcterms:created>
  <dcterms:modified xsi:type="dcterms:W3CDTF">2025-02-06T15:24:18Z</dcterms:modified>
</cp:coreProperties>
</file>