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617" documentId="8_{4D383A00-17E8-FC41-98AC-CCFD6A01CCB9}" xr6:coauthVersionLast="47" xr6:coauthVersionMax="47" xr10:uidLastSave="{D2178355-175B-184A-9EE2-02E6E78D72CB}"/>
  <bookViews>
    <workbookView xWindow="27660" yWindow="-31660" windowWidth="30080" windowHeight="31860" activeTab="1" xr2:uid="{0933E74E-8346-8A4C-9C73-154D6A36505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0" i="2" l="1"/>
  <c r="I74" i="2"/>
  <c r="I76" i="2" s="1"/>
  <c r="J74" i="2"/>
  <c r="J76" i="2" s="1"/>
  <c r="I56" i="2"/>
  <c r="I54" i="2"/>
  <c r="I53" i="2"/>
  <c r="I59" i="2" s="1"/>
  <c r="I61" i="2" s="1"/>
  <c r="I42" i="2"/>
  <c r="I51" i="2" s="1"/>
  <c r="O17" i="2"/>
  <c r="N17" i="2"/>
  <c r="M17" i="2"/>
  <c r="L17" i="2"/>
  <c r="O15" i="2"/>
  <c r="N15" i="2"/>
  <c r="M15" i="2"/>
  <c r="L15" i="2"/>
  <c r="O8" i="2"/>
  <c r="O10" i="2" s="1"/>
  <c r="N8" i="2"/>
  <c r="N10" i="2" s="1"/>
  <c r="M8" i="2"/>
  <c r="M10" i="2" s="1"/>
  <c r="L8" i="2"/>
  <c r="L10" i="2" s="1"/>
  <c r="L16" i="2" s="1"/>
  <c r="G56" i="2"/>
  <c r="G54" i="2"/>
  <c r="G53" i="2"/>
  <c r="G42" i="2"/>
  <c r="G43" i="2"/>
  <c r="G59" i="2"/>
  <c r="G61" i="2" s="1"/>
  <c r="J53" i="2"/>
  <c r="J56" i="2"/>
  <c r="J54" i="2"/>
  <c r="J59" i="2" s="1"/>
  <c r="J61" i="2" s="1"/>
  <c r="J43" i="2"/>
  <c r="J42" i="2"/>
  <c r="J11" i="1"/>
  <c r="AQ29" i="2" s="1"/>
  <c r="T39" i="2"/>
  <c r="S39" i="2"/>
  <c r="R39" i="2"/>
  <c r="U21" i="2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U19" i="2"/>
  <c r="U14" i="2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U13" i="2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U12" i="2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U11" i="2"/>
  <c r="U8" i="2"/>
  <c r="U31" i="2" s="1"/>
  <c r="G34" i="2"/>
  <c r="G33" i="2"/>
  <c r="G32" i="2"/>
  <c r="G31" i="2"/>
  <c r="H34" i="2"/>
  <c r="H33" i="2"/>
  <c r="H32" i="2"/>
  <c r="H31" i="2"/>
  <c r="C17" i="2"/>
  <c r="C15" i="2"/>
  <c r="C10" i="2"/>
  <c r="C16" i="2" s="1"/>
  <c r="G17" i="2"/>
  <c r="G15" i="2"/>
  <c r="G10" i="2"/>
  <c r="G36" i="2" s="1"/>
  <c r="D17" i="2"/>
  <c r="D15" i="2"/>
  <c r="D10" i="2"/>
  <c r="D16" i="2" s="1"/>
  <c r="H17" i="2"/>
  <c r="H15" i="2"/>
  <c r="H10" i="2"/>
  <c r="K17" i="2"/>
  <c r="K15" i="2"/>
  <c r="K10" i="2"/>
  <c r="E17" i="2"/>
  <c r="E15" i="2"/>
  <c r="E10" i="2"/>
  <c r="E36" i="2" s="1"/>
  <c r="I17" i="2"/>
  <c r="I34" i="2"/>
  <c r="I33" i="2"/>
  <c r="I32" i="2"/>
  <c r="I31" i="2"/>
  <c r="I15" i="2"/>
  <c r="I10" i="2"/>
  <c r="I36" i="2" s="1"/>
  <c r="J34" i="2"/>
  <c r="J33" i="2"/>
  <c r="J32" i="2"/>
  <c r="J31" i="2"/>
  <c r="F17" i="2"/>
  <c r="F15" i="2"/>
  <c r="F10" i="2"/>
  <c r="J17" i="2"/>
  <c r="J15" i="2"/>
  <c r="J10" i="2"/>
  <c r="J36" i="2" s="1"/>
  <c r="S34" i="2"/>
  <c r="S33" i="2"/>
  <c r="S32" i="2"/>
  <c r="T34" i="2"/>
  <c r="T33" i="2"/>
  <c r="T32" i="2"/>
  <c r="S31" i="2"/>
  <c r="T31" i="2"/>
  <c r="R17" i="2"/>
  <c r="S17" i="2"/>
  <c r="R15" i="2"/>
  <c r="R10" i="2"/>
  <c r="S15" i="2"/>
  <c r="S10" i="2"/>
  <c r="S16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T17" i="2"/>
  <c r="T15" i="2"/>
  <c r="T10" i="2"/>
  <c r="T36" i="2" s="1"/>
  <c r="J6" i="1"/>
  <c r="J7" i="1"/>
  <c r="J5" i="1"/>
  <c r="J8" i="1" s="1"/>
  <c r="V8" i="2" l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H16" i="2"/>
  <c r="L18" i="2"/>
  <c r="L20" i="2" s="1"/>
  <c r="L22" i="2" s="1"/>
  <c r="N16" i="2"/>
  <c r="N18" i="2" s="1"/>
  <c r="N20" i="2" s="1"/>
  <c r="N22" i="2" s="1"/>
  <c r="G51" i="2"/>
  <c r="M16" i="2"/>
  <c r="M18" i="2" s="1"/>
  <c r="M20" i="2" s="1"/>
  <c r="M22" i="2" s="1"/>
  <c r="O16" i="2"/>
  <c r="O18" i="2" s="1"/>
  <c r="O20" i="2" s="1"/>
  <c r="O22" i="2" s="1"/>
  <c r="L38" i="2"/>
  <c r="M38" i="2"/>
  <c r="N38" i="2"/>
  <c r="O38" i="2"/>
  <c r="K16" i="2"/>
  <c r="K18" i="2" s="1"/>
  <c r="C18" i="2"/>
  <c r="C20" i="2" s="1"/>
  <c r="C22" i="2" s="1"/>
  <c r="S18" i="2"/>
  <c r="S20" i="2" s="1"/>
  <c r="S22" i="2" s="1"/>
  <c r="F16" i="2"/>
  <c r="F37" i="2" s="1"/>
  <c r="J51" i="2"/>
  <c r="W34" i="2"/>
  <c r="U17" i="2"/>
  <c r="W33" i="2"/>
  <c r="U10" i="2"/>
  <c r="U36" i="2" s="1"/>
  <c r="V34" i="2"/>
  <c r="U15" i="2"/>
  <c r="U32" i="2"/>
  <c r="C36" i="2"/>
  <c r="C37" i="2"/>
  <c r="U33" i="2"/>
  <c r="U34" i="2"/>
  <c r="G16" i="2"/>
  <c r="S37" i="2"/>
  <c r="D18" i="2"/>
  <c r="D20" i="2" s="1"/>
  <c r="D22" i="2" s="1"/>
  <c r="D37" i="2"/>
  <c r="D36" i="2"/>
  <c r="H36" i="2"/>
  <c r="H37" i="2"/>
  <c r="H18" i="2"/>
  <c r="E16" i="2"/>
  <c r="J16" i="2"/>
  <c r="F36" i="2"/>
  <c r="I16" i="2"/>
  <c r="R16" i="2"/>
  <c r="R37" i="2" s="1"/>
  <c r="S36" i="2"/>
  <c r="R36" i="2"/>
  <c r="T16" i="2"/>
  <c r="S38" i="2" l="1"/>
  <c r="F18" i="2"/>
  <c r="F20" i="2" s="1"/>
  <c r="F22" i="2" s="1"/>
  <c r="C38" i="2"/>
  <c r="X34" i="2"/>
  <c r="K20" i="2"/>
  <c r="K38" i="2"/>
  <c r="D38" i="2"/>
  <c r="U16" i="2"/>
  <c r="U18" i="2" s="1"/>
  <c r="V33" i="2"/>
  <c r="X33" i="2"/>
  <c r="Y34" i="2"/>
  <c r="V11" i="2"/>
  <c r="V15" i="2" s="1"/>
  <c r="V10" i="2"/>
  <c r="W11" i="2"/>
  <c r="W15" i="2" s="1"/>
  <c r="V31" i="2"/>
  <c r="F38" i="2"/>
  <c r="G18" i="2"/>
  <c r="G37" i="2"/>
  <c r="T18" i="2"/>
  <c r="T38" i="2" s="1"/>
  <c r="T37" i="2"/>
  <c r="I18" i="2"/>
  <c r="I20" i="2" s="1"/>
  <c r="I37" i="2"/>
  <c r="E18" i="2"/>
  <c r="E20" i="2" s="1"/>
  <c r="E22" i="2" s="1"/>
  <c r="E37" i="2"/>
  <c r="J18" i="2"/>
  <c r="J38" i="2" s="1"/>
  <c r="J37" i="2"/>
  <c r="H20" i="2"/>
  <c r="H22" i="2" s="1"/>
  <c r="H38" i="2"/>
  <c r="R18" i="2"/>
  <c r="R38" i="2" s="1"/>
  <c r="T20" i="2" l="1"/>
  <c r="T22" i="2" s="1"/>
  <c r="I22" i="2"/>
  <c r="I63" i="2"/>
  <c r="U37" i="2"/>
  <c r="K22" i="2"/>
  <c r="K41" i="2"/>
  <c r="L41" i="2" s="1"/>
  <c r="M41" i="2" s="1"/>
  <c r="N41" i="2" s="1"/>
  <c r="O41" i="2" s="1"/>
  <c r="U41" i="2"/>
  <c r="V17" i="2" s="1"/>
  <c r="J20" i="2"/>
  <c r="E38" i="2"/>
  <c r="V36" i="2"/>
  <c r="V16" i="2"/>
  <c r="Y33" i="2"/>
  <c r="Z34" i="2"/>
  <c r="U20" i="2"/>
  <c r="U22" i="2" s="1"/>
  <c r="U38" i="2"/>
  <c r="V9" i="2"/>
  <c r="X11" i="2"/>
  <c r="W10" i="2"/>
  <c r="W31" i="2"/>
  <c r="W32" i="2"/>
  <c r="V32" i="2"/>
  <c r="G38" i="2"/>
  <c r="G20" i="2"/>
  <c r="I38" i="2"/>
  <c r="R20" i="2"/>
  <c r="R22" i="2" s="1"/>
  <c r="G22" i="2" l="1"/>
  <c r="G63" i="2"/>
  <c r="J22" i="2"/>
  <c r="J63" i="2"/>
  <c r="X32" i="2"/>
  <c r="X15" i="2"/>
  <c r="V18" i="2"/>
  <c r="V37" i="2"/>
  <c r="W36" i="2"/>
  <c r="W16" i="2"/>
  <c r="Z33" i="2"/>
  <c r="AA34" i="2"/>
  <c r="W9" i="2"/>
  <c r="Y11" i="2"/>
  <c r="X10" i="2"/>
  <c r="X31" i="2"/>
  <c r="W37" i="2" l="1"/>
  <c r="V19" i="2"/>
  <c r="V38" i="2" s="1"/>
  <c r="X36" i="2"/>
  <c r="X16" i="2"/>
  <c r="X37" i="2" s="1"/>
  <c r="Y32" i="2"/>
  <c r="Y15" i="2"/>
  <c r="X9" i="2"/>
  <c r="AB34" i="2"/>
  <c r="AA33" i="2"/>
  <c r="Z11" i="2"/>
  <c r="Y10" i="2"/>
  <c r="Y9" i="2" s="1"/>
  <c r="Y31" i="2"/>
  <c r="V20" i="2" l="1"/>
  <c r="Z32" i="2"/>
  <c r="Z15" i="2"/>
  <c r="V41" i="2"/>
  <c r="V22" i="2"/>
  <c r="Y36" i="2"/>
  <c r="Y16" i="2"/>
  <c r="Y37" i="2" s="1"/>
  <c r="AB33" i="2"/>
  <c r="AC34" i="2"/>
  <c r="AA11" i="2"/>
  <c r="Z10" i="2"/>
  <c r="Z31" i="2"/>
  <c r="AA32" i="2" l="1"/>
  <c r="AA15" i="2"/>
  <c r="W17" i="2"/>
  <c r="W18" i="2" s="1"/>
  <c r="Z36" i="2"/>
  <c r="Z16" i="2"/>
  <c r="Z37" i="2" s="1"/>
  <c r="AD34" i="2"/>
  <c r="AC33" i="2"/>
  <c r="Z9" i="2"/>
  <c r="AB11" i="2"/>
  <c r="AA10" i="2"/>
  <c r="AA16" i="2" s="1"/>
  <c r="AA37" i="2" s="1"/>
  <c r="AA31" i="2"/>
  <c r="W19" i="2" l="1"/>
  <c r="W38" i="2" s="1"/>
  <c r="AB32" i="2"/>
  <c r="AB15" i="2"/>
  <c r="AD33" i="2"/>
  <c r="AE34" i="2"/>
  <c r="AA9" i="2"/>
  <c r="AA36" i="2"/>
  <c r="AC11" i="2"/>
  <c r="AB10" i="2"/>
  <c r="AB16" i="2" s="1"/>
  <c r="AB37" i="2" s="1"/>
  <c r="AB31" i="2"/>
  <c r="W20" i="2" l="1"/>
  <c r="W22" i="2" s="1"/>
  <c r="AC15" i="2"/>
  <c r="AC32" i="2"/>
  <c r="W41" i="2"/>
  <c r="X17" i="2" s="1"/>
  <c r="X18" i="2" s="1"/>
  <c r="AE33" i="2"/>
  <c r="AF34" i="2"/>
  <c r="AB9" i="2"/>
  <c r="AB36" i="2"/>
  <c r="AD11" i="2"/>
  <c r="AC10" i="2"/>
  <c r="AC16" i="2" s="1"/>
  <c r="AC37" i="2" s="1"/>
  <c r="AC31" i="2"/>
  <c r="AD15" i="2" l="1"/>
  <c r="AD32" i="2"/>
  <c r="X19" i="2"/>
  <c r="X38" i="2" s="1"/>
  <c r="X20" i="2"/>
  <c r="AG34" i="2"/>
  <c r="AF33" i="2"/>
  <c r="AC9" i="2"/>
  <c r="AC36" i="2"/>
  <c r="AE11" i="2"/>
  <c r="AD10" i="2"/>
  <c r="AD31" i="2"/>
  <c r="AD16" i="2" l="1"/>
  <c r="AD37" i="2" s="1"/>
  <c r="AE32" i="2"/>
  <c r="AE15" i="2"/>
  <c r="X41" i="2"/>
  <c r="Y17" i="2" s="1"/>
  <c r="Y18" i="2" s="1"/>
  <c r="Y19" i="2" s="1"/>
  <c r="Y38" i="2" s="1"/>
  <c r="X22" i="2"/>
  <c r="AG33" i="2"/>
  <c r="AH34" i="2"/>
  <c r="AD9" i="2"/>
  <c r="AD36" i="2"/>
  <c r="AF11" i="2"/>
  <c r="AE10" i="2"/>
  <c r="AE31" i="2"/>
  <c r="AE36" i="2" l="1"/>
  <c r="AE16" i="2"/>
  <c r="AE37" i="2" s="1"/>
  <c r="AF32" i="2"/>
  <c r="AF15" i="2"/>
  <c r="Y20" i="2"/>
  <c r="AI34" i="2"/>
  <c r="AH33" i="2"/>
  <c r="AE9" i="2"/>
  <c r="AG11" i="2"/>
  <c r="AF10" i="2"/>
  <c r="AF31" i="2"/>
  <c r="AF36" i="2" l="1"/>
  <c r="AF16" i="2"/>
  <c r="AF37" i="2" s="1"/>
  <c r="AG32" i="2"/>
  <c r="AG15" i="2"/>
  <c r="Y22" i="2"/>
  <c r="Y41" i="2"/>
  <c r="Z17" i="2" s="1"/>
  <c r="AI33" i="2"/>
  <c r="AJ34" i="2"/>
  <c r="AF9" i="2"/>
  <c r="AH11" i="2"/>
  <c r="AG10" i="2"/>
  <c r="AG31" i="2"/>
  <c r="AG36" i="2" l="1"/>
  <c r="AG16" i="2"/>
  <c r="AG37" i="2" s="1"/>
  <c r="AH32" i="2"/>
  <c r="AH15" i="2"/>
  <c r="Z18" i="2"/>
  <c r="AK34" i="2"/>
  <c r="AJ33" i="2"/>
  <c r="AG9" i="2"/>
  <c r="AI11" i="2"/>
  <c r="AH10" i="2"/>
  <c r="AH31" i="2"/>
  <c r="AI32" i="2" l="1"/>
  <c r="AI15" i="2"/>
  <c r="AH36" i="2"/>
  <c r="AH16" i="2"/>
  <c r="AH37" i="2" s="1"/>
  <c r="Z19" i="2"/>
  <c r="Z38" i="2" s="1"/>
  <c r="AK33" i="2"/>
  <c r="AL34" i="2"/>
  <c r="AH9" i="2"/>
  <c r="AJ11" i="2"/>
  <c r="AI10" i="2"/>
  <c r="AI31" i="2"/>
  <c r="Z20" i="2" l="1"/>
  <c r="Z22" i="2" s="1"/>
  <c r="AI36" i="2"/>
  <c r="AI16" i="2"/>
  <c r="AI37" i="2" s="1"/>
  <c r="AI9" i="2"/>
  <c r="AJ32" i="2"/>
  <c r="AJ15" i="2"/>
  <c r="AL33" i="2"/>
  <c r="AN34" i="2"/>
  <c r="AM34" i="2"/>
  <c r="AK11" i="2"/>
  <c r="AJ10" i="2"/>
  <c r="AJ9" i="2" s="1"/>
  <c r="AJ31" i="2"/>
  <c r="Z41" i="2" l="1"/>
  <c r="AA17" i="2" s="1"/>
  <c r="AJ36" i="2"/>
  <c r="AJ16" i="2"/>
  <c r="AJ37" i="2" s="1"/>
  <c r="AK32" i="2"/>
  <c r="AK15" i="2"/>
  <c r="AA18" i="2"/>
  <c r="AM33" i="2"/>
  <c r="AN33" i="2"/>
  <c r="AL11" i="2"/>
  <c r="AK10" i="2"/>
  <c r="AK31" i="2"/>
  <c r="AK36" i="2" l="1"/>
  <c r="AK16" i="2"/>
  <c r="AK37" i="2" s="1"/>
  <c r="AL32" i="2"/>
  <c r="AL15" i="2"/>
  <c r="AA19" i="2"/>
  <c r="AA38" i="2" s="1"/>
  <c r="AK9" i="2"/>
  <c r="AM11" i="2"/>
  <c r="AL10" i="2"/>
  <c r="AL9" i="2" s="1"/>
  <c r="AL31" i="2"/>
  <c r="AA20" i="2" l="1"/>
  <c r="AA41" i="2" s="1"/>
  <c r="AB17" i="2" s="1"/>
  <c r="AM32" i="2"/>
  <c r="AM15" i="2"/>
  <c r="AL36" i="2"/>
  <c r="AL16" i="2"/>
  <c r="AL37" i="2" s="1"/>
  <c r="AN11" i="2"/>
  <c r="AM10" i="2"/>
  <c r="AM9" i="2"/>
  <c r="AM31" i="2"/>
  <c r="AA22" i="2" l="1"/>
  <c r="AN32" i="2"/>
  <c r="AN15" i="2"/>
  <c r="AM36" i="2"/>
  <c r="AM16" i="2"/>
  <c r="AM37" i="2" s="1"/>
  <c r="AB18" i="2"/>
  <c r="AN10" i="2"/>
  <c r="AN9" i="2" s="1"/>
  <c r="AN31" i="2"/>
  <c r="AN36" i="2" l="1"/>
  <c r="AN16" i="2"/>
  <c r="AN37" i="2" s="1"/>
  <c r="AB19" i="2"/>
  <c r="AB38" i="2" s="1"/>
  <c r="AB20" i="2" l="1"/>
  <c r="AB22" i="2" s="1"/>
  <c r="AB41" i="2" l="1"/>
  <c r="AC17" i="2" s="1"/>
  <c r="AC18" i="2" s="1"/>
  <c r="AC19" i="2" l="1"/>
  <c r="AC38" i="2" s="1"/>
  <c r="AC20" i="2" l="1"/>
  <c r="AC22" i="2" s="1"/>
  <c r="AC41" i="2" l="1"/>
  <c r="AD17" i="2" s="1"/>
  <c r="AD18" i="2" s="1"/>
  <c r="AD19" i="2" l="1"/>
  <c r="AD38" i="2" s="1"/>
  <c r="AD20" i="2" l="1"/>
  <c r="AD22" i="2" l="1"/>
  <c r="AD41" i="2"/>
  <c r="AE17" i="2" s="1"/>
  <c r="AE18" i="2" l="1"/>
  <c r="AE19" i="2" l="1"/>
  <c r="AE38" i="2" s="1"/>
  <c r="AE20" i="2" l="1"/>
  <c r="AE22" i="2" l="1"/>
  <c r="AE41" i="2"/>
  <c r="AF17" i="2" s="1"/>
  <c r="AF18" i="2" l="1"/>
  <c r="AF19" i="2" l="1"/>
  <c r="AF38" i="2" s="1"/>
  <c r="AF20" i="2" l="1"/>
  <c r="AF22" i="2" l="1"/>
  <c r="AF41" i="2"/>
  <c r="AG17" i="2" s="1"/>
  <c r="AG18" i="2" l="1"/>
  <c r="AG19" i="2" l="1"/>
  <c r="AG38" i="2" s="1"/>
  <c r="AG20" i="2" l="1"/>
  <c r="AG22" i="2" l="1"/>
  <c r="AG41" i="2"/>
  <c r="AH17" i="2" s="1"/>
  <c r="AH18" i="2" l="1"/>
  <c r="AH19" i="2" l="1"/>
  <c r="AH38" i="2" s="1"/>
  <c r="AH20" i="2" l="1"/>
  <c r="AH22" i="2" l="1"/>
  <c r="AH41" i="2"/>
  <c r="AI17" i="2" s="1"/>
  <c r="AI18" i="2" l="1"/>
  <c r="AI19" i="2" l="1"/>
  <c r="AI38" i="2" s="1"/>
  <c r="AI20" i="2" l="1"/>
  <c r="AI22" i="2" l="1"/>
  <c r="AI41" i="2"/>
  <c r="AJ17" i="2" s="1"/>
  <c r="AJ18" i="2" l="1"/>
  <c r="AJ19" i="2" l="1"/>
  <c r="AJ38" i="2" s="1"/>
  <c r="AJ20" i="2" l="1"/>
  <c r="AJ22" i="2" l="1"/>
  <c r="AJ41" i="2"/>
  <c r="AK17" i="2" s="1"/>
  <c r="AK18" i="2" l="1"/>
  <c r="AK19" i="2" l="1"/>
  <c r="AK38" i="2" s="1"/>
  <c r="AK20" i="2" l="1"/>
  <c r="AK22" i="2" l="1"/>
  <c r="AK41" i="2"/>
  <c r="AL17" i="2" s="1"/>
  <c r="AL18" i="2" l="1"/>
  <c r="AL19" i="2" l="1"/>
  <c r="AL38" i="2" s="1"/>
  <c r="AL20" i="2" l="1"/>
  <c r="AL22" i="2" l="1"/>
  <c r="AL41" i="2"/>
  <c r="AM17" i="2" s="1"/>
  <c r="AM18" i="2" l="1"/>
  <c r="AM19" i="2" l="1"/>
  <c r="AM38" i="2" s="1"/>
  <c r="AM20" i="2" l="1"/>
  <c r="AM22" i="2" l="1"/>
  <c r="AM41" i="2"/>
  <c r="AN17" i="2" s="1"/>
  <c r="AN18" i="2" l="1"/>
  <c r="AN19" i="2" l="1"/>
  <c r="AN38" i="2" s="1"/>
  <c r="AN20" i="2" l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AQ28" i="2" s="1"/>
  <c r="AQ31" i="2" s="1"/>
  <c r="AQ33" i="2" s="1"/>
  <c r="AN22" i="2" l="1"/>
  <c r="AN41" i="2"/>
  <c r="U9" i="2" l="1"/>
</calcChain>
</file>

<file path=xl/sharedStrings.xml><?xml version="1.0" encoding="utf-8"?>
<sst xmlns="http://schemas.openxmlformats.org/spreadsheetml/2006/main" count="101" uniqueCount="87">
  <si>
    <t>Price</t>
  </si>
  <si>
    <t>Shares</t>
  </si>
  <si>
    <t>MC</t>
  </si>
  <si>
    <t>Cash</t>
  </si>
  <si>
    <t>Debt</t>
  </si>
  <si>
    <t>EV</t>
  </si>
  <si>
    <t>Q324</t>
  </si>
  <si>
    <t xml:space="preserve"> </t>
  </si>
  <si>
    <t>Revenue</t>
  </si>
  <si>
    <t>Q123</t>
  </si>
  <si>
    <t>Q223</t>
  </si>
  <si>
    <t>Q323</t>
  </si>
  <si>
    <t>Q423</t>
  </si>
  <si>
    <t>Q124</t>
  </si>
  <si>
    <t>Q224</t>
  </si>
  <si>
    <t>Q424</t>
  </si>
  <si>
    <t>Q125</t>
  </si>
  <si>
    <t>COGs</t>
  </si>
  <si>
    <t>Gross Profit</t>
  </si>
  <si>
    <t>S&amp;M</t>
  </si>
  <si>
    <t>R&amp;D</t>
  </si>
  <si>
    <t>G&amp;A</t>
  </si>
  <si>
    <t>Operating Expense</t>
  </si>
  <si>
    <t>Operating Income</t>
  </si>
  <si>
    <t>Revenue YY</t>
  </si>
  <si>
    <t>GM %</t>
  </si>
  <si>
    <t>Interest Income</t>
  </si>
  <si>
    <t>Pretax Income</t>
  </si>
  <si>
    <t>Taxes</t>
  </si>
  <si>
    <t>Net Income</t>
  </si>
  <si>
    <t>EPS</t>
  </si>
  <si>
    <t>Taxes %</t>
  </si>
  <si>
    <t>SM YY</t>
  </si>
  <si>
    <t>RD YY</t>
  </si>
  <si>
    <t>GA YY</t>
  </si>
  <si>
    <t>Gross Merchandise Volume</t>
  </si>
  <si>
    <t>Active buyers</t>
  </si>
  <si>
    <t>OM %</t>
  </si>
  <si>
    <t>Q422</t>
  </si>
  <si>
    <t>SM % of sales</t>
  </si>
  <si>
    <t>Net Cash</t>
  </si>
  <si>
    <t>ROIC</t>
  </si>
  <si>
    <t>Maturity</t>
  </si>
  <si>
    <t>Discount</t>
  </si>
  <si>
    <t>NPV</t>
  </si>
  <si>
    <t>Value</t>
  </si>
  <si>
    <t>Share</t>
  </si>
  <si>
    <t>Difference</t>
  </si>
  <si>
    <t>Investment in Adevinta</t>
  </si>
  <si>
    <t>A/R</t>
  </si>
  <si>
    <t>Other</t>
  </si>
  <si>
    <t>PP&amp;E</t>
  </si>
  <si>
    <t>Intangibles</t>
  </si>
  <si>
    <t>D/T</t>
  </si>
  <si>
    <t>Lease</t>
  </si>
  <si>
    <t>Assets</t>
  </si>
  <si>
    <t>A/P</t>
  </si>
  <si>
    <t>Accrued Expenses</t>
  </si>
  <si>
    <t>Liabilities</t>
  </si>
  <si>
    <t>S/E</t>
  </si>
  <si>
    <t>L+SE</t>
  </si>
  <si>
    <t>Q225</t>
  </si>
  <si>
    <t>Q325</t>
  </si>
  <si>
    <t>Q425</t>
  </si>
  <si>
    <t>Model NI</t>
  </si>
  <si>
    <t>Discontinued Ops</t>
  </si>
  <si>
    <t>Bad Debt</t>
  </si>
  <si>
    <t>D&amp;A</t>
  </si>
  <si>
    <t>Investments</t>
  </si>
  <si>
    <t>Adevinta equity change</t>
  </si>
  <si>
    <t>Warrant equity change</t>
  </si>
  <si>
    <t>Asset/Liability Change</t>
  </si>
  <si>
    <t>CFFO</t>
  </si>
  <si>
    <t>Capex</t>
  </si>
  <si>
    <t>FCF</t>
  </si>
  <si>
    <t>SBC</t>
  </si>
  <si>
    <t>Reported NI</t>
  </si>
  <si>
    <t>Segment</t>
  </si>
  <si>
    <t>S</t>
  </si>
  <si>
    <t>W</t>
  </si>
  <si>
    <t>O</t>
  </si>
  <si>
    <t>T</t>
  </si>
  <si>
    <t>Competition</t>
  </si>
  <si>
    <t>Ebay Marketplace</t>
  </si>
  <si>
    <t>AMZN</t>
  </si>
  <si>
    <t>Doesn't compete with own prices</t>
  </si>
  <si>
    <t>Crappy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</si>
</sst>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2" fontId="0" fillId="0" borderId="0" xfId="0" applyNumberFormat="1"/>
    <xf numFmtId="3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812800</xdr:colOff>
      <xdr:row>0</xdr:row>
      <xdr:rowOff>88900</xdr:rowOff>
    </xdr:from>
    <xdr:to>
      <xdr:col>19</xdr:col>
      <xdr:colOff>812800</xdr:colOff>
      <xdr:row>48</xdr:row>
      <xdr:rowOff>177800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96CC2-4914-049B-160A-9D8D25888C35}"/>
            </a:ext>
          </a:extLst>
        </xdr:cNvPr>
        <xdr:cNvCxnSpPr/>
      </xdr:nvCxnSpPr>
      <xdr:spPr>
        <a:xfrm>
          <a:off x="14566900" y="88900"/>
          <a:ext cx="0" cy="8623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812800</xdr:colOff>
      <xdr:row>0</xdr:row>
      <xdr:rowOff>88900</xdr:rowOff>
    </xdr:from>
    <xdr:to>
      <xdr:col>9</xdr:col>
      <xdr:colOff>812800</xdr:colOff>
      <xdr:row>49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9B7729-59C2-B0F3-2F04-887534A15205}"/>
            </a:ext>
          </a:extLst>
        </xdr:cNvPr>
        <xdr:cNvCxnSpPr/>
      </xdr:nvCxnSpPr>
      <xdr:spPr>
        <a:xfrm>
          <a:off x="7962900" y="88900"/>
          <a:ext cx="0" cy="8839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A2AD5-959B-2F4E-BCF8-097FACDD5823}" name="Table1" displayName="Table1" ref="B3:G10" totalsRowShown="0" headerRowDxfId="0">
  <autoFilter ref="B3:G10" xr:uid="{FB4A2AD5-959B-2F4E-BCF8-097FACDD5823}"/>
  <tableColumns count="6">
    <tableColumn id="1" xr3:uid="{1907E5DA-19E9-374E-867D-1A7F834DCC69}" name="Segment"/>
    <tableColumn id="2" xr3:uid="{AF2A1FCD-260A-5547-A6C5-D77E13FF39F6}" name="Competition"/>
    <tableColumn id="3" xr3:uid="{721C4EF4-E196-6141-8029-DD1E1B6EAE24}" name="S"/>
    <tableColumn id="4" xr3:uid="{0C89DC37-EB8C-B94A-9C89-B8207E60060C}" name="W"/>
    <tableColumn id="5" xr3:uid="{F1FF302E-320C-394C-AD45-BDE6016ACC2F}" name="O"/>
    <tableColumn id="6" xr3:uid="{E7025A75-BD46-164F-93ED-FD9B7D98BE8E}" name="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669A-243C-2B43-94E9-3888806E09AA}">
  <dimension ref="B3:K11"/>
  <sheetViews>
    <sheetView workbookViewId="0">
      <selection activeCell="D39" sqref="D39"/>
    </sheetView>
  </sheetViews>
  <sheetFormatPr baseColWidth="10" defaultRowHeight="16" x14ac:dyDescent="0.2"/>
  <cols>
    <col min="2" max="2" width="15.5" bestFit="1" customWidth="1"/>
    <col min="3" max="3" width="13.83203125" customWidth="1"/>
    <col min="4" max="4" width="28.1640625" bestFit="1" customWidth="1"/>
    <col min="5" max="5" width="42.5" customWidth="1"/>
    <col min="11" max="11" width="10.83203125" style="3"/>
  </cols>
  <sheetData>
    <row r="3" spans="2:11" x14ac:dyDescent="0.2">
      <c r="B3" t="s">
        <v>77</v>
      </c>
      <c r="C3" t="s">
        <v>82</v>
      </c>
      <c r="D3" s="9" t="s">
        <v>78</v>
      </c>
      <c r="E3" s="9" t="s">
        <v>79</v>
      </c>
      <c r="F3" s="9" t="s">
        <v>80</v>
      </c>
      <c r="G3" s="9" t="s">
        <v>81</v>
      </c>
      <c r="I3" s="1" t="s">
        <v>0</v>
      </c>
      <c r="J3">
        <v>64.81</v>
      </c>
    </row>
    <row r="4" spans="2:11" x14ac:dyDescent="0.2">
      <c r="B4" t="s">
        <v>83</v>
      </c>
      <c r="C4" t="s">
        <v>84</v>
      </c>
      <c r="D4" t="s">
        <v>85</v>
      </c>
      <c r="E4" t="s">
        <v>86</v>
      </c>
      <c r="I4" s="1" t="s">
        <v>1</v>
      </c>
      <c r="J4" s="2">
        <v>479</v>
      </c>
      <c r="K4" s="3" t="s">
        <v>6</v>
      </c>
    </row>
    <row r="5" spans="2:11" x14ac:dyDescent="0.2">
      <c r="I5" s="1" t="s">
        <v>2</v>
      </c>
      <c r="J5" s="2">
        <f>J4*J3</f>
        <v>31043.99</v>
      </c>
    </row>
    <row r="6" spans="2:11" x14ac:dyDescent="0.2">
      <c r="I6" s="1" t="s">
        <v>3</v>
      </c>
      <c r="J6" s="2">
        <f>1589+3302+1534</f>
        <v>6425</v>
      </c>
      <c r="K6" s="3" t="s">
        <v>6</v>
      </c>
    </row>
    <row r="7" spans="2:11" x14ac:dyDescent="0.2">
      <c r="I7" s="1" t="s">
        <v>4</v>
      </c>
      <c r="J7" s="2">
        <f>1243+6175</f>
        <v>7418</v>
      </c>
      <c r="K7" s="3" t="s">
        <v>6</v>
      </c>
    </row>
    <row r="8" spans="2:11" x14ac:dyDescent="0.2">
      <c r="I8" s="1" t="s">
        <v>5</v>
      </c>
      <c r="J8" s="2">
        <f>J5-J6+J7</f>
        <v>32036.99</v>
      </c>
    </row>
    <row r="11" spans="2:11" x14ac:dyDescent="0.2">
      <c r="I11" s="1" t="s">
        <v>40</v>
      </c>
      <c r="J11" s="2">
        <f>J6-J7</f>
        <v>-993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F445-5FA4-9C40-BC08-B3EC87857CC9}">
  <dimension ref="B2:EI76"/>
  <sheetViews>
    <sheetView tabSelected="1" zoomScale="120" zoomScaleNormal="120" workbookViewId="0">
      <pane xSplit="2" ySplit="2" topLeftCell="AH3" activePane="bottomRight" state="frozen"/>
      <selection pane="topRight" activeCell="C1" sqref="C1"/>
      <selection pane="bottomLeft" activeCell="A3" sqref="A3"/>
      <selection pane="bottomRight" activeCell="AR24" sqref="AR24"/>
    </sheetView>
  </sheetViews>
  <sheetFormatPr baseColWidth="10" defaultRowHeight="16" x14ac:dyDescent="0.2"/>
  <cols>
    <col min="2" max="2" width="23.33203125" bestFit="1" customWidth="1"/>
    <col min="3" max="3" width="11.33203125" customWidth="1"/>
  </cols>
  <sheetData>
    <row r="2" spans="2:40" x14ac:dyDescent="0.2">
      <c r="C2" t="s">
        <v>38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6</v>
      </c>
      <c r="K2" t="s">
        <v>15</v>
      </c>
      <c r="L2" t="s">
        <v>16</v>
      </c>
      <c r="M2" t="s">
        <v>61</v>
      </c>
      <c r="N2" t="s">
        <v>62</v>
      </c>
      <c r="O2" t="s">
        <v>63</v>
      </c>
      <c r="R2">
        <v>2021</v>
      </c>
      <c r="S2">
        <v>2022</v>
      </c>
      <c r="T2">
        <v>2023</v>
      </c>
      <c r="U2">
        <f>T2+1</f>
        <v>2024</v>
      </c>
      <c r="V2">
        <f t="shared" ref="V2:AN2" si="0">U2+1</f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  <c r="AG2">
        <f t="shared" si="0"/>
        <v>2036</v>
      </c>
      <c r="AH2">
        <f t="shared" si="0"/>
        <v>2037</v>
      </c>
      <c r="AI2">
        <f t="shared" si="0"/>
        <v>2038</v>
      </c>
      <c r="AJ2">
        <f t="shared" si="0"/>
        <v>2039</v>
      </c>
      <c r="AK2">
        <f t="shared" si="0"/>
        <v>2040</v>
      </c>
      <c r="AL2">
        <f t="shared" si="0"/>
        <v>2041</v>
      </c>
      <c r="AM2">
        <f t="shared" si="0"/>
        <v>2042</v>
      </c>
      <c r="AN2">
        <f t="shared" si="0"/>
        <v>2043</v>
      </c>
    </row>
    <row r="3" spans="2:40" s="2" customFormat="1" x14ac:dyDescent="0.2">
      <c r="B3" s="2" t="s">
        <v>35</v>
      </c>
      <c r="C3" s="2">
        <v>18227</v>
      </c>
      <c r="D3" s="2">
        <v>18410</v>
      </c>
      <c r="E3" s="2">
        <v>18214</v>
      </c>
      <c r="F3" s="2">
        <v>17991</v>
      </c>
      <c r="G3" s="2">
        <v>18591</v>
      </c>
      <c r="H3" s="2">
        <v>18623</v>
      </c>
      <c r="I3" s="2">
        <v>18418</v>
      </c>
      <c r="J3" s="2">
        <v>18300</v>
      </c>
      <c r="T3" s="2">
        <v>73000</v>
      </c>
    </row>
    <row r="4" spans="2:40" x14ac:dyDescent="0.2">
      <c r="B4" t="s">
        <v>36</v>
      </c>
      <c r="C4">
        <v>132</v>
      </c>
      <c r="D4">
        <v>131</v>
      </c>
      <c r="E4">
        <v>131</v>
      </c>
      <c r="F4">
        <v>132</v>
      </c>
      <c r="G4">
        <v>132</v>
      </c>
      <c r="H4">
        <v>132</v>
      </c>
      <c r="I4">
        <v>132</v>
      </c>
      <c r="J4">
        <v>133</v>
      </c>
    </row>
    <row r="8" spans="2:40" s="6" customFormat="1" x14ac:dyDescent="0.2">
      <c r="B8" s="6" t="s">
        <v>8</v>
      </c>
      <c r="C8" s="6">
        <v>2510</v>
      </c>
      <c r="D8" s="6">
        <v>2510</v>
      </c>
      <c r="E8" s="6">
        <v>2540</v>
      </c>
      <c r="F8" s="6">
        <v>2500</v>
      </c>
      <c r="G8" s="6">
        <v>2562</v>
      </c>
      <c r="H8" s="6">
        <v>2556</v>
      </c>
      <c r="I8" s="6">
        <v>2572</v>
      </c>
      <c r="J8" s="6">
        <v>2576</v>
      </c>
      <c r="K8" s="6">
        <v>2560</v>
      </c>
      <c r="L8" s="6">
        <f>H8*1.02</f>
        <v>2607.12</v>
      </c>
      <c r="M8" s="6">
        <f t="shared" ref="M8:O8" si="1">I8*1.02</f>
        <v>2623.44</v>
      </c>
      <c r="N8" s="6">
        <f t="shared" si="1"/>
        <v>2627.52</v>
      </c>
      <c r="O8" s="6">
        <f t="shared" si="1"/>
        <v>2611.1999999999998</v>
      </c>
      <c r="R8" s="6">
        <v>10420</v>
      </c>
      <c r="S8" s="6">
        <v>9795</v>
      </c>
      <c r="T8" s="6">
        <v>10112</v>
      </c>
      <c r="U8" s="6">
        <f>SUM(H8:K8)</f>
        <v>10264</v>
      </c>
      <c r="V8" s="6">
        <f>U8*1.015</f>
        <v>10417.959999999999</v>
      </c>
      <c r="W8" s="6">
        <f t="shared" ref="W8:AN8" si="2">V8*1.015</f>
        <v>10574.229399999998</v>
      </c>
      <c r="X8" s="6">
        <f t="shared" si="2"/>
        <v>10732.842840999998</v>
      </c>
      <c r="Y8" s="6">
        <f t="shared" si="2"/>
        <v>10893.835483614997</v>
      </c>
      <c r="Z8" s="6">
        <f t="shared" si="2"/>
        <v>11057.24301586922</v>
      </c>
      <c r="AA8" s="6">
        <f t="shared" si="2"/>
        <v>11223.101661107257</v>
      </c>
      <c r="AB8" s="6">
        <f t="shared" si="2"/>
        <v>11391.448186023865</v>
      </c>
      <c r="AC8" s="6">
        <f t="shared" si="2"/>
        <v>11562.319908814221</v>
      </c>
      <c r="AD8" s="6">
        <f t="shared" si="2"/>
        <v>11735.754707446433</v>
      </c>
      <c r="AE8" s="6">
        <f t="shared" si="2"/>
        <v>11911.791028058127</v>
      </c>
      <c r="AF8" s="6">
        <f t="shared" si="2"/>
        <v>12090.467893478997</v>
      </c>
      <c r="AG8" s="6">
        <f t="shared" si="2"/>
        <v>12271.824911881182</v>
      </c>
      <c r="AH8" s="6">
        <f t="shared" si="2"/>
        <v>12455.902285559398</v>
      </c>
      <c r="AI8" s="6">
        <f t="shared" si="2"/>
        <v>12642.740819842787</v>
      </c>
      <c r="AJ8" s="6">
        <f t="shared" si="2"/>
        <v>12832.381932140428</v>
      </c>
      <c r="AK8" s="6">
        <f t="shared" si="2"/>
        <v>13024.867661122533</v>
      </c>
      <c r="AL8" s="6">
        <f t="shared" si="2"/>
        <v>13220.24067603937</v>
      </c>
      <c r="AM8" s="6">
        <f t="shared" si="2"/>
        <v>13418.544286179958</v>
      </c>
      <c r="AN8" s="6">
        <f t="shared" si="2"/>
        <v>13619.822450472657</v>
      </c>
    </row>
    <row r="9" spans="2:40" s="2" customFormat="1" x14ac:dyDescent="0.2">
      <c r="B9" s="2" t="s">
        <v>17</v>
      </c>
      <c r="C9" s="2">
        <v>681</v>
      </c>
      <c r="D9" s="2">
        <v>700</v>
      </c>
      <c r="E9" s="2">
        <v>718</v>
      </c>
      <c r="F9" s="2">
        <v>705</v>
      </c>
      <c r="G9" s="2">
        <v>710</v>
      </c>
      <c r="H9" s="2">
        <v>700</v>
      </c>
      <c r="I9" s="2">
        <v>735</v>
      </c>
      <c r="J9" s="2">
        <v>727</v>
      </c>
      <c r="K9" s="2">
        <v>727</v>
      </c>
      <c r="L9" s="2">
        <v>727</v>
      </c>
      <c r="M9" s="2">
        <v>727</v>
      </c>
      <c r="N9" s="2">
        <v>727</v>
      </c>
      <c r="O9" s="2">
        <v>727</v>
      </c>
      <c r="R9" s="2">
        <v>2650</v>
      </c>
      <c r="S9" s="2">
        <v>2680</v>
      </c>
      <c r="T9" s="2">
        <v>2833</v>
      </c>
      <c r="U9" s="2">
        <f>U8-U10</f>
        <v>2889</v>
      </c>
      <c r="V9" s="2">
        <f>V8-V10</f>
        <v>2917.0288</v>
      </c>
      <c r="W9" s="2">
        <f t="shared" ref="W9:AN9" si="3">W8-W10</f>
        <v>2960.784232</v>
      </c>
      <c r="X9" s="2">
        <f t="shared" si="3"/>
        <v>3005.1959954799995</v>
      </c>
      <c r="Y9" s="2">
        <f t="shared" si="3"/>
        <v>3050.2739354121995</v>
      </c>
      <c r="Z9" s="2">
        <f t="shared" si="3"/>
        <v>3096.028044443382</v>
      </c>
      <c r="AA9" s="2">
        <f t="shared" si="3"/>
        <v>3142.4684651100324</v>
      </c>
      <c r="AB9" s="2">
        <f t="shared" si="3"/>
        <v>3189.6054920866827</v>
      </c>
      <c r="AC9" s="2">
        <f t="shared" si="3"/>
        <v>3237.4495744679825</v>
      </c>
      <c r="AD9" s="2">
        <f t="shared" si="3"/>
        <v>3286.0113180850021</v>
      </c>
      <c r="AE9" s="2">
        <f t="shared" si="3"/>
        <v>3335.3014878562753</v>
      </c>
      <c r="AF9" s="2">
        <f t="shared" si="3"/>
        <v>3385.331010174119</v>
      </c>
      <c r="AG9" s="2">
        <f t="shared" si="3"/>
        <v>3436.1109753267319</v>
      </c>
      <c r="AH9" s="2">
        <f t="shared" si="3"/>
        <v>3487.6526399566319</v>
      </c>
      <c r="AI9" s="2">
        <f t="shared" si="3"/>
        <v>3539.9674295559817</v>
      </c>
      <c r="AJ9" s="2">
        <f t="shared" si="3"/>
        <v>3593.0669409993207</v>
      </c>
      <c r="AK9" s="2">
        <f t="shared" si="3"/>
        <v>3646.9629451143101</v>
      </c>
      <c r="AL9" s="2">
        <f t="shared" si="3"/>
        <v>3701.6673892910239</v>
      </c>
      <c r="AM9" s="2">
        <f t="shared" si="3"/>
        <v>3757.1924001303887</v>
      </c>
      <c r="AN9" s="2">
        <f t="shared" si="3"/>
        <v>3813.5502861323439</v>
      </c>
    </row>
    <row r="10" spans="2:40" s="6" customFormat="1" x14ac:dyDescent="0.2">
      <c r="B10" s="6" t="s">
        <v>18</v>
      </c>
      <c r="C10" s="6">
        <f t="shared" ref="C10:K10" si="4">C8-C9</f>
        <v>1829</v>
      </c>
      <c r="D10" s="6">
        <f t="shared" si="4"/>
        <v>1810</v>
      </c>
      <c r="E10" s="6">
        <f t="shared" si="4"/>
        <v>1822</v>
      </c>
      <c r="F10" s="6">
        <f t="shared" si="4"/>
        <v>1795</v>
      </c>
      <c r="G10" s="6">
        <f t="shared" si="4"/>
        <v>1852</v>
      </c>
      <c r="H10" s="6">
        <f t="shared" si="4"/>
        <v>1856</v>
      </c>
      <c r="I10" s="6">
        <f t="shared" si="4"/>
        <v>1837</v>
      </c>
      <c r="J10" s="6">
        <f t="shared" si="4"/>
        <v>1849</v>
      </c>
      <c r="K10" s="6">
        <f t="shared" si="4"/>
        <v>1833</v>
      </c>
      <c r="L10" s="6">
        <f t="shared" ref="L10:O10" si="5">L8-L9</f>
        <v>1880.12</v>
      </c>
      <c r="M10" s="6">
        <f t="shared" si="5"/>
        <v>1896.44</v>
      </c>
      <c r="N10" s="6">
        <f t="shared" si="5"/>
        <v>1900.52</v>
      </c>
      <c r="O10" s="6">
        <f t="shared" si="5"/>
        <v>1884.1999999999998</v>
      </c>
      <c r="R10" s="6">
        <f>R8-R9</f>
        <v>7770</v>
      </c>
      <c r="S10" s="6">
        <f>S8-S9</f>
        <v>7115</v>
      </c>
      <c r="T10" s="6">
        <f>T8-T9</f>
        <v>7279</v>
      </c>
      <c r="U10" s="6">
        <f>SUM(H10:K10)</f>
        <v>7375</v>
      </c>
      <c r="V10" s="6">
        <f>V8*0.72</f>
        <v>7500.9311999999991</v>
      </c>
      <c r="W10" s="6">
        <f t="shared" ref="W10:AN10" si="6">W8*0.72</f>
        <v>7613.4451679999984</v>
      </c>
      <c r="X10" s="6">
        <f t="shared" si="6"/>
        <v>7727.6468455199984</v>
      </c>
      <c r="Y10" s="6">
        <f t="shared" si="6"/>
        <v>7843.5615482027979</v>
      </c>
      <c r="Z10" s="6">
        <f t="shared" si="6"/>
        <v>7961.2149714258385</v>
      </c>
      <c r="AA10" s="6">
        <f t="shared" si="6"/>
        <v>8080.6331959972249</v>
      </c>
      <c r="AB10" s="6">
        <f t="shared" si="6"/>
        <v>8201.842693937182</v>
      </c>
      <c r="AC10" s="6">
        <f t="shared" si="6"/>
        <v>8324.8703343462385</v>
      </c>
      <c r="AD10" s="6">
        <f t="shared" si="6"/>
        <v>8449.7433893614307</v>
      </c>
      <c r="AE10" s="6">
        <f t="shared" si="6"/>
        <v>8576.4895402018519</v>
      </c>
      <c r="AF10" s="6">
        <f t="shared" si="6"/>
        <v>8705.1368833048782</v>
      </c>
      <c r="AG10" s="6">
        <f t="shared" si="6"/>
        <v>8835.7139365544499</v>
      </c>
      <c r="AH10" s="6">
        <f t="shared" si="6"/>
        <v>8968.2496456027657</v>
      </c>
      <c r="AI10" s="6">
        <f t="shared" si="6"/>
        <v>9102.7733902868058</v>
      </c>
      <c r="AJ10" s="6">
        <f t="shared" si="6"/>
        <v>9239.3149911411074</v>
      </c>
      <c r="AK10" s="6">
        <f t="shared" si="6"/>
        <v>9377.9047160082227</v>
      </c>
      <c r="AL10" s="6">
        <f t="shared" si="6"/>
        <v>9518.5732867483457</v>
      </c>
      <c r="AM10" s="6">
        <f t="shared" si="6"/>
        <v>9661.3518860495697</v>
      </c>
      <c r="AN10" s="6">
        <f t="shared" si="6"/>
        <v>9806.2721643403129</v>
      </c>
    </row>
    <row r="11" spans="2:40" s="2" customFormat="1" x14ac:dyDescent="0.2">
      <c r="B11" s="2" t="s">
        <v>19</v>
      </c>
      <c r="C11" s="2">
        <v>554</v>
      </c>
      <c r="D11" s="2">
        <v>511</v>
      </c>
      <c r="E11" s="2">
        <v>566</v>
      </c>
      <c r="F11" s="2">
        <v>567</v>
      </c>
      <c r="G11" s="2">
        <v>573</v>
      </c>
      <c r="H11" s="2">
        <v>541</v>
      </c>
      <c r="I11" s="2">
        <v>577</v>
      </c>
      <c r="J11" s="2">
        <v>592</v>
      </c>
      <c r="K11" s="2">
        <v>592</v>
      </c>
      <c r="L11" s="2">
        <v>592</v>
      </c>
      <c r="M11" s="2">
        <v>592</v>
      </c>
      <c r="N11" s="2">
        <v>592</v>
      </c>
      <c r="O11" s="2">
        <v>592</v>
      </c>
      <c r="R11" s="2">
        <v>2170</v>
      </c>
      <c r="S11" s="2">
        <v>2136</v>
      </c>
      <c r="T11" s="2">
        <v>2217</v>
      </c>
      <c r="U11" s="6">
        <f>SUM(H11:K11)</f>
        <v>2302</v>
      </c>
      <c r="V11" s="2">
        <f>0.22*V8</f>
        <v>2291.9512</v>
      </c>
      <c r="W11" s="2">
        <f t="shared" ref="W11:AN11" si="7">0.22*W8</f>
        <v>2326.3304679999997</v>
      </c>
      <c r="X11" s="2">
        <f t="shared" si="7"/>
        <v>2361.2254250199994</v>
      </c>
      <c r="Y11" s="2">
        <f t="shared" si="7"/>
        <v>2396.6438063952996</v>
      </c>
      <c r="Z11" s="2">
        <f t="shared" si="7"/>
        <v>2432.5934634912287</v>
      </c>
      <c r="AA11" s="2">
        <f t="shared" si="7"/>
        <v>2469.0823654435967</v>
      </c>
      <c r="AB11" s="2">
        <f t="shared" si="7"/>
        <v>2506.1186009252501</v>
      </c>
      <c r="AC11" s="2">
        <f t="shared" si="7"/>
        <v>2543.7103799391284</v>
      </c>
      <c r="AD11" s="2">
        <f t="shared" si="7"/>
        <v>2581.8660356382152</v>
      </c>
      <c r="AE11" s="2">
        <f t="shared" si="7"/>
        <v>2620.5940261727878</v>
      </c>
      <c r="AF11" s="2">
        <f t="shared" si="7"/>
        <v>2659.9029365653796</v>
      </c>
      <c r="AG11" s="2">
        <f t="shared" si="7"/>
        <v>2699.8014806138599</v>
      </c>
      <c r="AH11" s="2">
        <f t="shared" si="7"/>
        <v>2740.2985028230673</v>
      </c>
      <c r="AI11" s="2">
        <f t="shared" si="7"/>
        <v>2781.4029803654134</v>
      </c>
      <c r="AJ11" s="2">
        <f t="shared" si="7"/>
        <v>2823.1240250708943</v>
      </c>
      <c r="AK11" s="2">
        <f t="shared" si="7"/>
        <v>2865.4708854469573</v>
      </c>
      <c r="AL11" s="2">
        <f t="shared" si="7"/>
        <v>2908.4529487286613</v>
      </c>
      <c r="AM11" s="2">
        <f t="shared" si="7"/>
        <v>2952.0797429595909</v>
      </c>
      <c r="AN11" s="2">
        <f t="shared" si="7"/>
        <v>2996.3609391039845</v>
      </c>
    </row>
    <row r="12" spans="2:40" s="2" customFormat="1" x14ac:dyDescent="0.2">
      <c r="B12" s="2" t="s">
        <v>20</v>
      </c>
      <c r="C12" s="2">
        <v>340</v>
      </c>
      <c r="D12" s="2">
        <v>352</v>
      </c>
      <c r="E12" s="2">
        <v>392</v>
      </c>
      <c r="F12" s="2">
        <v>401</v>
      </c>
      <c r="G12" s="2">
        <v>399</v>
      </c>
      <c r="H12" s="2">
        <v>351</v>
      </c>
      <c r="I12" s="2">
        <v>379</v>
      </c>
      <c r="J12" s="2">
        <v>374</v>
      </c>
      <c r="K12" s="2">
        <v>374</v>
      </c>
      <c r="L12" s="2">
        <v>374</v>
      </c>
      <c r="M12" s="2">
        <v>374</v>
      </c>
      <c r="N12" s="2">
        <v>374</v>
      </c>
      <c r="O12" s="2">
        <v>374</v>
      </c>
      <c r="R12" s="2">
        <v>1325</v>
      </c>
      <c r="S12" s="2">
        <v>1330</v>
      </c>
      <c r="T12" s="2">
        <v>1544</v>
      </c>
      <c r="U12" s="6">
        <f>SUM(H12:K12)</f>
        <v>1478</v>
      </c>
      <c r="V12" s="2">
        <f>U12*1.015</f>
        <v>1500.1699999999998</v>
      </c>
      <c r="W12" s="2">
        <f t="shared" ref="W12:AN12" si="8">V12*1.015</f>
        <v>1522.6725499999998</v>
      </c>
      <c r="X12" s="2">
        <f t="shared" si="8"/>
        <v>1545.5126382499996</v>
      </c>
      <c r="Y12" s="2">
        <f t="shared" si="8"/>
        <v>1568.6953278237495</v>
      </c>
      <c r="Z12" s="2">
        <f t="shared" si="8"/>
        <v>1592.2257577411056</v>
      </c>
      <c r="AA12" s="2">
        <f t="shared" si="8"/>
        <v>1616.1091441072219</v>
      </c>
      <c r="AB12" s="2">
        <f t="shared" si="8"/>
        <v>1640.3507812688301</v>
      </c>
      <c r="AC12" s="2">
        <f t="shared" si="8"/>
        <v>1664.9560429878625</v>
      </c>
      <c r="AD12" s="2">
        <f t="shared" si="8"/>
        <v>1689.9303836326803</v>
      </c>
      <c r="AE12" s="2">
        <f t="shared" si="8"/>
        <v>1715.2793393871705</v>
      </c>
      <c r="AF12" s="2">
        <f t="shared" si="8"/>
        <v>1741.0085294779778</v>
      </c>
      <c r="AG12" s="2">
        <f t="shared" si="8"/>
        <v>1767.1236574201473</v>
      </c>
      <c r="AH12" s="2">
        <f t="shared" si="8"/>
        <v>1793.6305122814495</v>
      </c>
      <c r="AI12" s="2">
        <f t="shared" si="8"/>
        <v>1820.5349699656711</v>
      </c>
      <c r="AJ12" s="2">
        <f t="shared" si="8"/>
        <v>1847.8429945151559</v>
      </c>
      <c r="AK12" s="2">
        <f t="shared" si="8"/>
        <v>1875.5606394328829</v>
      </c>
      <c r="AL12" s="2">
        <f t="shared" si="8"/>
        <v>1903.694049024376</v>
      </c>
      <c r="AM12" s="2">
        <f t="shared" si="8"/>
        <v>1932.2494597597415</v>
      </c>
      <c r="AN12" s="2">
        <f t="shared" si="8"/>
        <v>1961.2332016561375</v>
      </c>
    </row>
    <row r="13" spans="2:40" s="2" customFormat="1" x14ac:dyDescent="0.2">
      <c r="B13" s="2" t="s">
        <v>21</v>
      </c>
      <c r="C13" s="2">
        <v>288</v>
      </c>
      <c r="D13" s="2">
        <v>297</v>
      </c>
      <c r="E13" s="2">
        <v>251</v>
      </c>
      <c r="F13" s="2">
        <v>283</v>
      </c>
      <c r="G13" s="2">
        <v>365</v>
      </c>
      <c r="H13" s="2">
        <v>238</v>
      </c>
      <c r="I13" s="2">
        <v>241</v>
      </c>
      <c r="J13" s="2">
        <v>194</v>
      </c>
      <c r="K13" s="2">
        <v>194</v>
      </c>
      <c r="L13" s="2">
        <v>194</v>
      </c>
      <c r="M13" s="2">
        <v>194</v>
      </c>
      <c r="N13" s="2">
        <v>194</v>
      </c>
      <c r="O13" s="2">
        <v>194</v>
      </c>
      <c r="R13" s="2">
        <v>921</v>
      </c>
      <c r="S13" s="2">
        <v>963</v>
      </c>
      <c r="T13" s="2">
        <v>1196</v>
      </c>
      <c r="U13" s="6">
        <f>SUM(H13:K13)</f>
        <v>867</v>
      </c>
      <c r="V13" s="2">
        <f t="shared" ref="V13:AN13" si="9">U13*1.015</f>
        <v>880.00499999999988</v>
      </c>
      <c r="W13" s="2">
        <f t="shared" si="9"/>
        <v>893.20507499999974</v>
      </c>
      <c r="X13" s="2">
        <f t="shared" si="9"/>
        <v>906.60315112499961</v>
      </c>
      <c r="Y13" s="2">
        <f t="shared" si="9"/>
        <v>920.2021983918745</v>
      </c>
      <c r="Z13" s="2">
        <f t="shared" si="9"/>
        <v>934.00523136775257</v>
      </c>
      <c r="AA13" s="2">
        <f t="shared" si="9"/>
        <v>948.01530983826876</v>
      </c>
      <c r="AB13" s="2">
        <f t="shared" si="9"/>
        <v>962.23553948584265</v>
      </c>
      <c r="AC13" s="2">
        <f t="shared" si="9"/>
        <v>976.66907257813023</v>
      </c>
      <c r="AD13" s="2">
        <f t="shared" si="9"/>
        <v>991.31910866680209</v>
      </c>
      <c r="AE13" s="2">
        <f t="shared" si="9"/>
        <v>1006.188895296804</v>
      </c>
      <c r="AF13" s="2">
        <f t="shared" si="9"/>
        <v>1021.281728726256</v>
      </c>
      <c r="AG13" s="2">
        <f t="shared" si="9"/>
        <v>1036.6009546571497</v>
      </c>
      <c r="AH13" s="2">
        <f t="shared" si="9"/>
        <v>1052.1499689770069</v>
      </c>
      <c r="AI13" s="2">
        <f t="shared" si="9"/>
        <v>1067.9322185116619</v>
      </c>
      <c r="AJ13" s="2">
        <f t="shared" si="9"/>
        <v>1083.9512017893367</v>
      </c>
      <c r="AK13" s="2">
        <f t="shared" si="9"/>
        <v>1100.2104698161766</v>
      </c>
      <c r="AL13" s="2">
        <f t="shared" si="9"/>
        <v>1116.713626863419</v>
      </c>
      <c r="AM13" s="2">
        <f t="shared" si="9"/>
        <v>1133.4643312663702</v>
      </c>
      <c r="AN13" s="2">
        <f t="shared" si="9"/>
        <v>1150.4662962353657</v>
      </c>
    </row>
    <row r="14" spans="2:40" s="2" customFormat="1" x14ac:dyDescent="0.2">
      <c r="B14" s="2" t="s">
        <v>66</v>
      </c>
      <c r="C14" s="2">
        <v>81</v>
      </c>
      <c r="D14" s="2">
        <v>84</v>
      </c>
      <c r="E14" s="2">
        <v>90</v>
      </c>
      <c r="F14" s="2">
        <v>85</v>
      </c>
      <c r="G14" s="2">
        <v>101</v>
      </c>
      <c r="H14" s="2">
        <v>91</v>
      </c>
      <c r="I14" s="2">
        <v>86</v>
      </c>
      <c r="J14" s="2">
        <v>89</v>
      </c>
      <c r="K14" s="2">
        <v>89</v>
      </c>
      <c r="L14" s="2">
        <v>89</v>
      </c>
      <c r="M14" s="2">
        <v>89</v>
      </c>
      <c r="N14" s="2">
        <v>89</v>
      </c>
      <c r="O14" s="2">
        <v>89</v>
      </c>
      <c r="R14" s="2">
        <v>422</v>
      </c>
      <c r="S14" s="2">
        <v>332</v>
      </c>
      <c r="T14" s="2">
        <v>360</v>
      </c>
      <c r="U14" s="6">
        <f>SUM(H14:K14)</f>
        <v>355</v>
      </c>
      <c r="V14" s="2">
        <f>U14*1.015</f>
        <v>360.32499999999999</v>
      </c>
      <c r="W14" s="2">
        <f t="shared" ref="W14:AN14" si="10">V14*1.015</f>
        <v>365.72987499999994</v>
      </c>
      <c r="X14" s="2">
        <f t="shared" si="10"/>
        <v>371.21582312499987</v>
      </c>
      <c r="Y14" s="2">
        <f t="shared" si="10"/>
        <v>376.78406047187485</v>
      </c>
      <c r="Z14" s="2">
        <f t="shared" si="10"/>
        <v>382.43582137895294</v>
      </c>
      <c r="AA14" s="2">
        <f t="shared" si="10"/>
        <v>388.17235869963719</v>
      </c>
      <c r="AB14" s="2">
        <f t="shared" si="10"/>
        <v>393.99494408013169</v>
      </c>
      <c r="AC14" s="2">
        <f t="shared" si="10"/>
        <v>399.90486824133365</v>
      </c>
      <c r="AD14" s="2">
        <f t="shared" si="10"/>
        <v>405.90344126495359</v>
      </c>
      <c r="AE14" s="2">
        <f t="shared" si="10"/>
        <v>411.99199288392782</v>
      </c>
      <c r="AF14" s="2">
        <f t="shared" si="10"/>
        <v>418.17187277718671</v>
      </c>
      <c r="AG14" s="2">
        <f t="shared" si="10"/>
        <v>424.44445086884446</v>
      </c>
      <c r="AH14" s="2">
        <f t="shared" si="10"/>
        <v>430.8111176318771</v>
      </c>
      <c r="AI14" s="2">
        <f t="shared" si="10"/>
        <v>437.27328439635522</v>
      </c>
      <c r="AJ14" s="2">
        <f t="shared" si="10"/>
        <v>443.83238366230051</v>
      </c>
      <c r="AK14" s="2">
        <f t="shared" si="10"/>
        <v>450.48986941723496</v>
      </c>
      <c r="AL14" s="2">
        <f t="shared" si="10"/>
        <v>457.24721745849342</v>
      </c>
      <c r="AM14" s="2">
        <f t="shared" si="10"/>
        <v>464.10592572037081</v>
      </c>
      <c r="AN14" s="2">
        <f t="shared" si="10"/>
        <v>471.0675146061763</v>
      </c>
    </row>
    <row r="15" spans="2:40" s="2" customFormat="1" x14ac:dyDescent="0.2">
      <c r="B15" s="2" t="s">
        <v>22</v>
      </c>
      <c r="C15" s="2">
        <f t="shared" ref="C15:K15" si="11">SUM(C11:C14)</f>
        <v>1263</v>
      </c>
      <c r="D15" s="2">
        <f t="shared" si="11"/>
        <v>1244</v>
      </c>
      <c r="E15" s="2">
        <f t="shared" si="11"/>
        <v>1299</v>
      </c>
      <c r="F15" s="2">
        <f t="shared" si="11"/>
        <v>1336</v>
      </c>
      <c r="G15" s="2">
        <f t="shared" si="11"/>
        <v>1438</v>
      </c>
      <c r="H15" s="2">
        <f t="shared" si="11"/>
        <v>1221</v>
      </c>
      <c r="I15" s="2">
        <f t="shared" si="11"/>
        <v>1283</v>
      </c>
      <c r="J15" s="2">
        <f t="shared" si="11"/>
        <v>1249</v>
      </c>
      <c r="K15" s="2">
        <f t="shared" si="11"/>
        <v>1249</v>
      </c>
      <c r="L15" s="2">
        <f t="shared" ref="L15:O15" si="12">SUM(L11:L14)</f>
        <v>1249</v>
      </c>
      <c r="M15" s="2">
        <f t="shared" si="12"/>
        <v>1249</v>
      </c>
      <c r="N15" s="2">
        <f t="shared" si="12"/>
        <v>1249</v>
      </c>
      <c r="O15" s="2">
        <f t="shared" si="12"/>
        <v>1249</v>
      </c>
      <c r="R15" s="2">
        <f>SUM(R11:R14)</f>
        <v>4838</v>
      </c>
      <c r="S15" s="2">
        <f>SUM(S11:S14)</f>
        <v>4761</v>
      </c>
      <c r="T15" s="2">
        <f>SUM(T11:T14)</f>
        <v>5317</v>
      </c>
      <c r="U15" s="2">
        <f>SUM(U11:U14)</f>
        <v>5002</v>
      </c>
      <c r="V15" s="2">
        <f t="shared" ref="V15:AN15" si="13">SUM(V11:V14)</f>
        <v>5032.4511999999995</v>
      </c>
      <c r="W15" s="2">
        <f t="shared" si="13"/>
        <v>5107.9379679999993</v>
      </c>
      <c r="X15" s="2">
        <f t="shared" si="13"/>
        <v>5184.5570375199977</v>
      </c>
      <c r="Y15" s="2">
        <f t="shared" si="13"/>
        <v>5262.3253930827987</v>
      </c>
      <c r="Z15" s="2">
        <f t="shared" si="13"/>
        <v>5341.26027397904</v>
      </c>
      <c r="AA15" s="2">
        <f t="shared" si="13"/>
        <v>5421.3791780887241</v>
      </c>
      <c r="AB15" s="2">
        <f t="shared" si="13"/>
        <v>5502.6998657600543</v>
      </c>
      <c r="AC15" s="2">
        <f t="shared" si="13"/>
        <v>5585.2403637464549</v>
      </c>
      <c r="AD15" s="2">
        <f t="shared" si="13"/>
        <v>5669.0189692026506</v>
      </c>
      <c r="AE15" s="2">
        <f t="shared" si="13"/>
        <v>5754.05425374069</v>
      </c>
      <c r="AF15" s="2">
        <f t="shared" si="13"/>
        <v>5840.3650675467998</v>
      </c>
      <c r="AG15" s="2">
        <f t="shared" si="13"/>
        <v>5927.9705435600017</v>
      </c>
      <c r="AH15" s="2">
        <f t="shared" si="13"/>
        <v>6016.8901017134012</v>
      </c>
      <c r="AI15" s="2">
        <f t="shared" si="13"/>
        <v>6107.1434532391013</v>
      </c>
      <c r="AJ15" s="2">
        <f t="shared" si="13"/>
        <v>6198.7506050376869</v>
      </c>
      <c r="AK15" s="2">
        <f t="shared" si="13"/>
        <v>6291.7318641132515</v>
      </c>
      <c r="AL15" s="2">
        <f t="shared" si="13"/>
        <v>6386.10784207495</v>
      </c>
      <c r="AM15" s="2">
        <f t="shared" si="13"/>
        <v>6481.8994597060737</v>
      </c>
      <c r="AN15" s="2">
        <f t="shared" si="13"/>
        <v>6579.1279516016648</v>
      </c>
    </row>
    <row r="16" spans="2:40" s="6" customFormat="1" x14ac:dyDescent="0.2">
      <c r="B16" s="6" t="s">
        <v>23</v>
      </c>
      <c r="C16" s="6">
        <f t="shared" ref="C16:K16" si="14">C10-C15</f>
        <v>566</v>
      </c>
      <c r="D16" s="6">
        <f t="shared" si="14"/>
        <v>566</v>
      </c>
      <c r="E16" s="6">
        <f t="shared" si="14"/>
        <v>523</v>
      </c>
      <c r="F16" s="6">
        <f t="shared" si="14"/>
        <v>459</v>
      </c>
      <c r="G16" s="6">
        <f t="shared" si="14"/>
        <v>414</v>
      </c>
      <c r="H16" s="6">
        <f t="shared" si="14"/>
        <v>635</v>
      </c>
      <c r="I16" s="6">
        <f t="shared" si="14"/>
        <v>554</v>
      </c>
      <c r="J16" s="6">
        <f t="shared" si="14"/>
        <v>600</v>
      </c>
      <c r="K16" s="6">
        <f t="shared" si="14"/>
        <v>584</v>
      </c>
      <c r="L16" s="6">
        <f t="shared" ref="L16:O16" si="15">L10-L15</f>
        <v>631.11999999999989</v>
      </c>
      <c r="M16" s="6">
        <f t="shared" si="15"/>
        <v>647.44000000000005</v>
      </c>
      <c r="N16" s="6">
        <f t="shared" si="15"/>
        <v>651.52</v>
      </c>
      <c r="O16" s="6">
        <f t="shared" si="15"/>
        <v>635.19999999999982</v>
      </c>
      <c r="R16" s="6">
        <f>R10-R15</f>
        <v>2932</v>
      </c>
      <c r="S16" s="6">
        <f>S10-S15</f>
        <v>2354</v>
      </c>
      <c r="T16" s="6">
        <f>T10-T15</f>
        <v>1962</v>
      </c>
      <c r="U16" s="6">
        <f>U10-U15</f>
        <v>2373</v>
      </c>
      <c r="V16" s="6">
        <f t="shared" ref="V16:AN16" si="16">V10-V15</f>
        <v>2468.4799999999996</v>
      </c>
      <c r="W16" s="6">
        <f t="shared" si="16"/>
        <v>2505.5071999999991</v>
      </c>
      <c r="X16" s="6">
        <f t="shared" si="16"/>
        <v>2543.0898080000006</v>
      </c>
      <c r="Y16" s="6">
        <f t="shared" si="16"/>
        <v>2581.2361551199992</v>
      </c>
      <c r="Z16" s="6">
        <f t="shared" si="16"/>
        <v>2619.9546974467985</v>
      </c>
      <c r="AA16" s="6">
        <f t="shared" si="16"/>
        <v>2659.2540179085008</v>
      </c>
      <c r="AB16" s="6">
        <f t="shared" si="16"/>
        <v>2699.1428281771277</v>
      </c>
      <c r="AC16" s="6">
        <f t="shared" si="16"/>
        <v>2739.6299705997835</v>
      </c>
      <c r="AD16" s="6">
        <f t="shared" si="16"/>
        <v>2780.72442015878</v>
      </c>
      <c r="AE16" s="6">
        <f t="shared" si="16"/>
        <v>2822.4352864611619</v>
      </c>
      <c r="AF16" s="6">
        <f t="shared" si="16"/>
        <v>2864.7718157580784</v>
      </c>
      <c r="AG16" s="6">
        <f t="shared" si="16"/>
        <v>2907.7433929944482</v>
      </c>
      <c r="AH16" s="6">
        <f t="shared" si="16"/>
        <v>2951.3595438893644</v>
      </c>
      <c r="AI16" s="6">
        <f t="shared" si="16"/>
        <v>2995.6299370477045</v>
      </c>
      <c r="AJ16" s="6">
        <f t="shared" si="16"/>
        <v>3040.5643861034205</v>
      </c>
      <c r="AK16" s="6">
        <f t="shared" si="16"/>
        <v>3086.1728518949712</v>
      </c>
      <c r="AL16" s="6">
        <f t="shared" si="16"/>
        <v>3132.4654446733957</v>
      </c>
      <c r="AM16" s="6">
        <f t="shared" si="16"/>
        <v>3179.452426343496</v>
      </c>
      <c r="AN16" s="6">
        <f t="shared" si="16"/>
        <v>3227.1442127386481</v>
      </c>
    </row>
    <row r="17" spans="2:139" s="2" customFormat="1" x14ac:dyDescent="0.2">
      <c r="B17" s="2" t="s">
        <v>26</v>
      </c>
      <c r="C17" s="2">
        <f>319-62+7</f>
        <v>264</v>
      </c>
      <c r="D17" s="2">
        <f>198-68+42</f>
        <v>172</v>
      </c>
      <c r="E17" s="2">
        <f>-214-65+46</f>
        <v>-233</v>
      </c>
      <c r="F17" s="2">
        <f>1212-65+59</f>
        <v>1206</v>
      </c>
      <c r="G17" s="2">
        <f>636-65+50</f>
        <v>621</v>
      </c>
      <c r="H17" s="2">
        <f>-97-66+68</f>
        <v>-95</v>
      </c>
      <c r="I17" s="2">
        <f>-222-65+66</f>
        <v>-221</v>
      </c>
      <c r="J17" s="2">
        <f>199-63+66</f>
        <v>202</v>
      </c>
      <c r="K17" s="2">
        <f>199-63+66</f>
        <v>202</v>
      </c>
      <c r="L17" s="2">
        <f t="shared" ref="L17:O17" si="17">199-63+66</f>
        <v>202</v>
      </c>
      <c r="M17" s="2">
        <f t="shared" si="17"/>
        <v>202</v>
      </c>
      <c r="N17" s="2">
        <f t="shared" si="17"/>
        <v>202</v>
      </c>
      <c r="O17" s="2">
        <f t="shared" si="17"/>
        <v>202</v>
      </c>
      <c r="R17" s="2">
        <f>-2365-269+109</f>
        <v>-2525</v>
      </c>
      <c r="S17" s="2">
        <f>-3786-235+70</f>
        <v>-3951</v>
      </c>
      <c r="T17" s="2">
        <f>1832-263+197</f>
        <v>1766</v>
      </c>
      <c r="U17" s="6">
        <f>SUM(H17:K17)</f>
        <v>88</v>
      </c>
      <c r="V17" s="2">
        <f>U41*$AQ$25</f>
        <v>-3.68</v>
      </c>
      <c r="W17" s="2">
        <f t="shared" ref="W17:AN17" si="18">V41*$AQ$25</f>
        <v>15.545439999999999</v>
      </c>
      <c r="X17" s="2">
        <f t="shared" si="18"/>
        <v>35.209650591999988</v>
      </c>
      <c r="Y17" s="2">
        <f t="shared" si="18"/>
        <v>55.320386369017598</v>
      </c>
      <c r="Z17" s="2">
        <f t="shared" si="18"/>
        <v>75.885527392631928</v>
      </c>
      <c r="AA17" s="2">
        <f t="shared" si="18"/>
        <v>96.913081146379483</v>
      </c>
      <c r="AB17" s="2">
        <f t="shared" si="18"/>
        <v>118.41118451900755</v>
      </c>
      <c r="AC17" s="2">
        <f t="shared" si="18"/>
        <v>140.38810581803742</v>
      </c>
      <c r="AD17" s="2">
        <f t="shared" si="18"/>
        <v>162.85224681409639</v>
      </c>
      <c r="AE17" s="2">
        <f t="shared" si="18"/>
        <v>185.81214481648485</v>
      </c>
      <c r="AF17" s="2">
        <f t="shared" si="18"/>
        <v>209.27647478045049</v>
      </c>
      <c r="AG17" s="2">
        <f t="shared" si="18"/>
        <v>233.254051446651</v>
      </c>
      <c r="AH17" s="2">
        <f t="shared" si="18"/>
        <v>257.75383151329157</v>
      </c>
      <c r="AI17" s="2">
        <f t="shared" si="18"/>
        <v>282.78491584143228</v>
      </c>
      <c r="AJ17" s="2">
        <f t="shared" si="18"/>
        <v>308.3565516939675</v>
      </c>
      <c r="AK17" s="2">
        <f t="shared" si="18"/>
        <v>334.47813500878715</v>
      </c>
      <c r="AL17" s="2">
        <f t="shared" si="18"/>
        <v>361.15921270663648</v>
      </c>
      <c r="AM17" s="2">
        <f t="shared" si="18"/>
        <v>388.40948503420071</v>
      </c>
      <c r="AN17" s="2">
        <f t="shared" si="18"/>
        <v>416.23880794294672</v>
      </c>
    </row>
    <row r="18" spans="2:139" s="2" customFormat="1" x14ac:dyDescent="0.2">
      <c r="B18" s="2" t="s">
        <v>27</v>
      </c>
      <c r="C18" s="2">
        <f t="shared" ref="C18:K18" si="19">C16+C17</f>
        <v>830</v>
      </c>
      <c r="D18" s="2">
        <f t="shared" si="19"/>
        <v>738</v>
      </c>
      <c r="E18" s="2">
        <f t="shared" si="19"/>
        <v>290</v>
      </c>
      <c r="F18" s="2">
        <f t="shared" si="19"/>
        <v>1665</v>
      </c>
      <c r="G18" s="2">
        <f t="shared" si="19"/>
        <v>1035</v>
      </c>
      <c r="H18" s="2">
        <f t="shared" si="19"/>
        <v>540</v>
      </c>
      <c r="I18" s="2">
        <f t="shared" si="19"/>
        <v>333</v>
      </c>
      <c r="J18" s="2">
        <f t="shared" si="19"/>
        <v>802</v>
      </c>
      <c r="K18" s="2">
        <f t="shared" si="19"/>
        <v>786</v>
      </c>
      <c r="L18" s="2">
        <f t="shared" ref="L18:O18" si="20">L16+L17</f>
        <v>833.11999999999989</v>
      </c>
      <c r="M18" s="2">
        <f t="shared" si="20"/>
        <v>849.44</v>
      </c>
      <c r="N18" s="2">
        <f t="shared" si="20"/>
        <v>853.52</v>
      </c>
      <c r="O18" s="2">
        <f t="shared" si="20"/>
        <v>837.19999999999982</v>
      </c>
      <c r="R18" s="2">
        <f>R16+R17</f>
        <v>407</v>
      </c>
      <c r="S18" s="2">
        <f>S16+S17</f>
        <v>-1597</v>
      </c>
      <c r="T18" s="2">
        <f>T16+T17</f>
        <v>3728</v>
      </c>
      <c r="U18" s="2">
        <f>U16+U17</f>
        <v>2461</v>
      </c>
      <c r="V18" s="2">
        <f t="shared" ref="V18:AN18" si="21">V16+V17</f>
        <v>2464.7999999999997</v>
      </c>
      <c r="W18" s="2">
        <f t="shared" si="21"/>
        <v>2521.052639999999</v>
      </c>
      <c r="X18" s="2">
        <f t="shared" si="21"/>
        <v>2578.2994585920005</v>
      </c>
      <c r="Y18" s="2">
        <f t="shared" si="21"/>
        <v>2636.556541489017</v>
      </c>
      <c r="Z18" s="2">
        <f t="shared" si="21"/>
        <v>2695.8402248394304</v>
      </c>
      <c r="AA18" s="2">
        <f t="shared" si="21"/>
        <v>2756.1670990548805</v>
      </c>
      <c r="AB18" s="2">
        <f t="shared" si="21"/>
        <v>2817.5540126961355</v>
      </c>
      <c r="AC18" s="2">
        <f t="shared" si="21"/>
        <v>2880.0180764178208</v>
      </c>
      <c r="AD18" s="2">
        <f t="shared" si="21"/>
        <v>2943.5766669728764</v>
      </c>
      <c r="AE18" s="2">
        <f t="shared" si="21"/>
        <v>3008.2474312776467</v>
      </c>
      <c r="AF18" s="2">
        <f t="shared" si="21"/>
        <v>3074.0482905385288</v>
      </c>
      <c r="AG18" s="2">
        <f t="shared" si="21"/>
        <v>3140.9974444410991</v>
      </c>
      <c r="AH18" s="2">
        <f t="shared" si="21"/>
        <v>3209.1133754026559</v>
      </c>
      <c r="AI18" s="2">
        <f t="shared" si="21"/>
        <v>3278.4148528891369</v>
      </c>
      <c r="AJ18" s="2">
        <f t="shared" si="21"/>
        <v>3348.920937797388</v>
      </c>
      <c r="AK18" s="2">
        <f t="shared" si="21"/>
        <v>3420.6509869037582</v>
      </c>
      <c r="AL18" s="2">
        <f t="shared" si="21"/>
        <v>3493.6246573800322</v>
      </c>
      <c r="AM18" s="2">
        <f t="shared" si="21"/>
        <v>3567.8619113776967</v>
      </c>
      <c r="AN18" s="2">
        <f t="shared" si="21"/>
        <v>3643.3830206815946</v>
      </c>
    </row>
    <row r="19" spans="2:139" s="2" customFormat="1" x14ac:dyDescent="0.2">
      <c r="B19" s="2" t="s">
        <v>28</v>
      </c>
      <c r="C19" s="2">
        <v>158</v>
      </c>
      <c r="D19" s="2">
        <v>161</v>
      </c>
      <c r="E19" s="2">
        <v>113</v>
      </c>
      <c r="F19" s="2">
        <v>355</v>
      </c>
      <c r="G19" s="2">
        <v>303</v>
      </c>
      <c r="H19" s="2">
        <v>97</v>
      </c>
      <c r="I19" s="2">
        <v>102</v>
      </c>
      <c r="J19" s="2">
        <v>161</v>
      </c>
      <c r="K19" s="2">
        <v>161</v>
      </c>
      <c r="L19" s="2">
        <v>161</v>
      </c>
      <c r="M19" s="2">
        <v>161</v>
      </c>
      <c r="N19" s="2">
        <v>161</v>
      </c>
      <c r="O19" s="2">
        <v>161</v>
      </c>
      <c r="R19" s="2">
        <v>146</v>
      </c>
      <c r="S19" s="2">
        <v>-327</v>
      </c>
      <c r="T19" s="2">
        <v>932</v>
      </c>
      <c r="U19" s="6">
        <f>SUM(H19:K19)</f>
        <v>521</v>
      </c>
      <c r="V19" s="2">
        <f>V18*0.22</f>
        <v>542.25599999999997</v>
      </c>
      <c r="W19" s="2">
        <f t="shared" ref="W19:AN19" si="22">W18*0.22</f>
        <v>554.63158079999982</v>
      </c>
      <c r="X19" s="2">
        <f t="shared" si="22"/>
        <v>567.22588089024009</v>
      </c>
      <c r="Y19" s="2">
        <f t="shared" si="22"/>
        <v>580.04243912758375</v>
      </c>
      <c r="Z19" s="2">
        <f t="shared" si="22"/>
        <v>593.08484946467468</v>
      </c>
      <c r="AA19" s="2">
        <f t="shared" si="22"/>
        <v>606.35676179207371</v>
      </c>
      <c r="AB19" s="2">
        <f t="shared" si="22"/>
        <v>619.86188279314979</v>
      </c>
      <c r="AC19" s="2">
        <f t="shared" si="22"/>
        <v>633.60397681192057</v>
      </c>
      <c r="AD19" s="2">
        <f t="shared" si="22"/>
        <v>647.58686673403281</v>
      </c>
      <c r="AE19" s="2">
        <f t="shared" si="22"/>
        <v>661.81443488108232</v>
      </c>
      <c r="AF19" s="2">
        <f t="shared" si="22"/>
        <v>676.2906239184764</v>
      </c>
      <c r="AG19" s="2">
        <f t="shared" si="22"/>
        <v>691.01943777704184</v>
      </c>
      <c r="AH19" s="2">
        <f t="shared" si="22"/>
        <v>706.0049425885843</v>
      </c>
      <c r="AI19" s="2">
        <f t="shared" si="22"/>
        <v>721.25126763561013</v>
      </c>
      <c r="AJ19" s="2">
        <f t="shared" si="22"/>
        <v>736.76260631542539</v>
      </c>
      <c r="AK19" s="2">
        <f t="shared" si="22"/>
        <v>752.54321711882676</v>
      </c>
      <c r="AL19" s="2">
        <f t="shared" si="22"/>
        <v>768.59742462360714</v>
      </c>
      <c r="AM19" s="2">
        <f t="shared" si="22"/>
        <v>784.92962050309325</v>
      </c>
      <c r="AN19" s="2">
        <f t="shared" si="22"/>
        <v>801.54426454995087</v>
      </c>
    </row>
    <row r="20" spans="2:139" s="2" customFormat="1" x14ac:dyDescent="0.2">
      <c r="B20" s="2" t="s">
        <v>29</v>
      </c>
      <c r="C20" s="2">
        <f t="shared" ref="C20:K20" si="23">C18-C19</f>
        <v>672</v>
      </c>
      <c r="D20" s="2">
        <f t="shared" si="23"/>
        <v>577</v>
      </c>
      <c r="E20" s="2">
        <f t="shared" si="23"/>
        <v>177</v>
      </c>
      <c r="F20" s="2">
        <f t="shared" si="23"/>
        <v>1310</v>
      </c>
      <c r="G20" s="2">
        <f t="shared" si="23"/>
        <v>732</v>
      </c>
      <c r="H20" s="2">
        <f t="shared" si="23"/>
        <v>443</v>
      </c>
      <c r="I20" s="2">
        <f t="shared" si="23"/>
        <v>231</v>
      </c>
      <c r="J20" s="2">
        <f t="shared" si="23"/>
        <v>641</v>
      </c>
      <c r="K20" s="2">
        <f t="shared" si="23"/>
        <v>625</v>
      </c>
      <c r="L20" s="2">
        <f t="shared" ref="L20:O20" si="24">L18-L19</f>
        <v>672.11999999999989</v>
      </c>
      <c r="M20" s="2">
        <f t="shared" si="24"/>
        <v>688.44</v>
      </c>
      <c r="N20" s="2">
        <f t="shared" si="24"/>
        <v>692.52</v>
      </c>
      <c r="O20" s="2">
        <f t="shared" si="24"/>
        <v>676.19999999999982</v>
      </c>
      <c r="R20" s="2">
        <f>R18-R19</f>
        <v>261</v>
      </c>
      <c r="S20" s="2">
        <f>S18-S19</f>
        <v>-1270</v>
      </c>
      <c r="T20" s="2">
        <f>T18-T19</f>
        <v>2796</v>
      </c>
      <c r="U20" s="2">
        <f>U18-U19</f>
        <v>1940</v>
      </c>
      <c r="V20" s="2">
        <f t="shared" ref="V20:AN20" si="25">V18-V19</f>
        <v>1922.5439999999999</v>
      </c>
      <c r="W20" s="2">
        <f t="shared" si="25"/>
        <v>1966.421059199999</v>
      </c>
      <c r="X20" s="2">
        <f t="shared" si="25"/>
        <v>2011.0735777017603</v>
      </c>
      <c r="Y20" s="2">
        <f t="shared" si="25"/>
        <v>2056.5141023614333</v>
      </c>
      <c r="Z20" s="2">
        <f t="shared" si="25"/>
        <v>2102.7553753747557</v>
      </c>
      <c r="AA20" s="2">
        <f t="shared" si="25"/>
        <v>2149.8103372628066</v>
      </c>
      <c r="AB20" s="2">
        <f t="shared" si="25"/>
        <v>2197.6921299029855</v>
      </c>
      <c r="AC20" s="2">
        <f t="shared" si="25"/>
        <v>2246.4140996059004</v>
      </c>
      <c r="AD20" s="2">
        <f t="shared" si="25"/>
        <v>2295.9898002388436</v>
      </c>
      <c r="AE20" s="2">
        <f t="shared" si="25"/>
        <v>2346.4329963965642</v>
      </c>
      <c r="AF20" s="2">
        <f t="shared" si="25"/>
        <v>2397.7576666200525</v>
      </c>
      <c r="AG20" s="2">
        <f t="shared" si="25"/>
        <v>2449.9780066640574</v>
      </c>
      <c r="AH20" s="2">
        <f t="shared" si="25"/>
        <v>2503.1084328140714</v>
      </c>
      <c r="AI20" s="2">
        <f t="shared" si="25"/>
        <v>2557.1635852535269</v>
      </c>
      <c r="AJ20" s="2">
        <f t="shared" si="25"/>
        <v>2612.1583314819627</v>
      </c>
      <c r="AK20" s="2">
        <f t="shared" si="25"/>
        <v>2668.1077697849314</v>
      </c>
      <c r="AL20" s="2">
        <f t="shared" si="25"/>
        <v>2725.0272327564253</v>
      </c>
      <c r="AM20" s="2">
        <f t="shared" si="25"/>
        <v>2782.9322908746035</v>
      </c>
      <c r="AN20" s="2">
        <f t="shared" si="25"/>
        <v>2841.838756131644</v>
      </c>
      <c r="AO20" s="2">
        <f>AN20*(1+$AQ$25)</f>
        <v>2870.2571436929607</v>
      </c>
      <c r="AP20" s="2">
        <f t="shared" ref="AP20:DA20" si="26">AO20*(1+$AQ$25)</f>
        <v>2898.9597151298904</v>
      </c>
      <c r="AQ20" s="2">
        <f t="shared" si="26"/>
        <v>2927.9493122811891</v>
      </c>
      <c r="AR20" s="2">
        <f t="shared" si="26"/>
        <v>2957.2288054040009</v>
      </c>
      <c r="AS20" s="2">
        <f t="shared" si="26"/>
        <v>2986.8010934580411</v>
      </c>
      <c r="AT20" s="2">
        <f t="shared" si="26"/>
        <v>3016.6691043926216</v>
      </c>
      <c r="AU20" s="2">
        <f t="shared" si="26"/>
        <v>3046.8357954365479</v>
      </c>
      <c r="AV20" s="2">
        <f t="shared" si="26"/>
        <v>3077.3041533909136</v>
      </c>
      <c r="AW20" s="2">
        <f t="shared" si="26"/>
        <v>3108.0771949248228</v>
      </c>
      <c r="AX20" s="2">
        <f t="shared" si="26"/>
        <v>3139.157966874071</v>
      </c>
      <c r="AY20" s="2">
        <f t="shared" si="26"/>
        <v>3170.5495465428116</v>
      </c>
      <c r="AZ20" s="2">
        <f t="shared" si="26"/>
        <v>3202.2550420082398</v>
      </c>
      <c r="BA20" s="2">
        <f t="shared" si="26"/>
        <v>3234.2775924283224</v>
      </c>
      <c r="BB20" s="2">
        <f t="shared" si="26"/>
        <v>3266.6203683526055</v>
      </c>
      <c r="BC20" s="2">
        <f t="shared" si="26"/>
        <v>3299.2865720361315</v>
      </c>
      <c r="BD20" s="2">
        <f t="shared" si="26"/>
        <v>3332.2794377564928</v>
      </c>
      <c r="BE20" s="2">
        <f t="shared" si="26"/>
        <v>3365.6022321340579</v>
      </c>
      <c r="BF20" s="2">
        <f t="shared" si="26"/>
        <v>3399.2582544553984</v>
      </c>
      <c r="BG20" s="2">
        <f t="shared" si="26"/>
        <v>3433.2508369999523</v>
      </c>
      <c r="BH20" s="2">
        <f t="shared" si="26"/>
        <v>3467.583345369952</v>
      </c>
      <c r="BI20" s="2">
        <f t="shared" si="26"/>
        <v>3502.2591788236514</v>
      </c>
      <c r="BJ20" s="2">
        <f t="shared" si="26"/>
        <v>3537.2817706118881</v>
      </c>
      <c r="BK20" s="2">
        <f t="shared" si="26"/>
        <v>3572.654588318007</v>
      </c>
      <c r="BL20" s="2">
        <f t="shared" si="26"/>
        <v>3608.3811342011873</v>
      </c>
      <c r="BM20" s="2">
        <f t="shared" si="26"/>
        <v>3644.4649455431991</v>
      </c>
      <c r="BN20" s="2">
        <f t="shared" si="26"/>
        <v>3680.9095949986313</v>
      </c>
      <c r="BO20" s="2">
        <f t="shared" si="26"/>
        <v>3717.7186909486177</v>
      </c>
      <c r="BP20" s="2">
        <f t="shared" si="26"/>
        <v>3754.8958778581041</v>
      </c>
      <c r="BQ20" s="2">
        <f t="shared" si="26"/>
        <v>3792.4448366366851</v>
      </c>
      <c r="BR20" s="2">
        <f t="shared" si="26"/>
        <v>3830.369285003052</v>
      </c>
      <c r="BS20" s="2">
        <f t="shared" si="26"/>
        <v>3868.6729778530826</v>
      </c>
      <c r="BT20" s="2">
        <f t="shared" si="26"/>
        <v>3907.3597076316132</v>
      </c>
      <c r="BU20" s="2">
        <f t="shared" si="26"/>
        <v>3946.4333047079294</v>
      </c>
      <c r="BV20" s="2">
        <f t="shared" si="26"/>
        <v>3985.8976377550089</v>
      </c>
      <c r="BW20" s="2">
        <f t="shared" si="26"/>
        <v>4025.7566141325592</v>
      </c>
      <c r="BX20" s="2">
        <f t="shared" si="26"/>
        <v>4066.0141802738849</v>
      </c>
      <c r="BY20" s="2">
        <f t="shared" si="26"/>
        <v>4106.6743220766239</v>
      </c>
      <c r="BZ20" s="2">
        <f t="shared" si="26"/>
        <v>4147.7410652973904</v>
      </c>
      <c r="CA20" s="2">
        <f t="shared" si="26"/>
        <v>4189.2184759503643</v>
      </c>
      <c r="CB20" s="2">
        <f t="shared" si="26"/>
        <v>4231.1106607098682</v>
      </c>
      <c r="CC20" s="2">
        <f t="shared" si="26"/>
        <v>4273.4217673169669</v>
      </c>
      <c r="CD20" s="2">
        <f t="shared" si="26"/>
        <v>4316.1559849901369</v>
      </c>
      <c r="CE20" s="2">
        <f t="shared" si="26"/>
        <v>4359.317544840038</v>
      </c>
      <c r="CF20" s="2">
        <f t="shared" si="26"/>
        <v>4402.9107202884388</v>
      </c>
      <c r="CG20" s="2">
        <f t="shared" si="26"/>
        <v>4446.9398274913228</v>
      </c>
      <c r="CH20" s="2">
        <f t="shared" si="26"/>
        <v>4491.409225766236</v>
      </c>
      <c r="CI20" s="2">
        <f t="shared" si="26"/>
        <v>4536.3233180238985</v>
      </c>
      <c r="CJ20" s="2">
        <f t="shared" si="26"/>
        <v>4581.6865512041377</v>
      </c>
      <c r="CK20" s="2">
        <f t="shared" si="26"/>
        <v>4627.5034167161793</v>
      </c>
      <c r="CL20" s="2">
        <f t="shared" si="26"/>
        <v>4673.7784508833411</v>
      </c>
      <c r="CM20" s="2">
        <f t="shared" si="26"/>
        <v>4720.5162353921742</v>
      </c>
      <c r="CN20" s="2">
        <f t="shared" si="26"/>
        <v>4767.721397746096</v>
      </c>
      <c r="CO20" s="2">
        <f t="shared" si="26"/>
        <v>4815.3986117235572</v>
      </c>
      <c r="CP20" s="2">
        <f t="shared" si="26"/>
        <v>4863.5525978407932</v>
      </c>
      <c r="CQ20" s="2">
        <f t="shared" si="26"/>
        <v>4912.1881238192009</v>
      </c>
      <c r="CR20" s="2">
        <f t="shared" si="26"/>
        <v>4961.310005057393</v>
      </c>
      <c r="CS20" s="2">
        <f t="shared" si="26"/>
        <v>5010.9231051079669</v>
      </c>
      <c r="CT20" s="2">
        <f t="shared" si="26"/>
        <v>5061.0323361590463</v>
      </c>
      <c r="CU20" s="2">
        <f t="shared" si="26"/>
        <v>5111.6426595206367</v>
      </c>
      <c r="CV20" s="2">
        <f t="shared" si="26"/>
        <v>5162.7590861158433</v>
      </c>
      <c r="CW20" s="2">
        <f t="shared" si="26"/>
        <v>5214.386676977002</v>
      </c>
      <c r="CX20" s="2">
        <f t="shared" si="26"/>
        <v>5266.5305437467723</v>
      </c>
      <c r="CY20" s="2">
        <f t="shared" si="26"/>
        <v>5319.1958491842397</v>
      </c>
      <c r="CZ20" s="2">
        <f t="shared" si="26"/>
        <v>5372.387807676082</v>
      </c>
      <c r="DA20" s="2">
        <f t="shared" si="26"/>
        <v>5426.1116857528432</v>
      </c>
      <c r="DB20" s="2">
        <f t="shared" ref="DB20:EI20" si="27">DA20*(1+$AQ$25)</f>
        <v>5480.3728026103718</v>
      </c>
      <c r="DC20" s="2">
        <f t="shared" si="27"/>
        <v>5535.1765306364759</v>
      </c>
      <c r="DD20" s="2">
        <f t="shared" si="27"/>
        <v>5590.5282959428405</v>
      </c>
      <c r="DE20" s="2">
        <f t="shared" si="27"/>
        <v>5646.4335789022689</v>
      </c>
      <c r="DF20" s="2">
        <f t="shared" si="27"/>
        <v>5702.8979146912916</v>
      </c>
      <c r="DG20" s="2">
        <f t="shared" si="27"/>
        <v>5759.9268938382047</v>
      </c>
      <c r="DH20" s="2">
        <f t="shared" si="27"/>
        <v>5817.5261627765867</v>
      </c>
      <c r="DI20" s="2">
        <f t="shared" si="27"/>
        <v>5875.701424404353</v>
      </c>
      <c r="DJ20" s="2">
        <f t="shared" si="27"/>
        <v>5934.4584386483966</v>
      </c>
      <c r="DK20" s="2">
        <f t="shared" si="27"/>
        <v>5993.8030230348804</v>
      </c>
      <c r="DL20" s="2">
        <f t="shared" si="27"/>
        <v>6053.7410532652293</v>
      </c>
      <c r="DM20" s="2">
        <f t="shared" si="27"/>
        <v>6114.2784637978821</v>
      </c>
      <c r="DN20" s="2">
        <f t="shared" si="27"/>
        <v>6175.4212484358613</v>
      </c>
      <c r="DO20" s="2">
        <f t="shared" si="27"/>
        <v>6237.1754609202198</v>
      </c>
      <c r="DP20" s="2">
        <f t="shared" si="27"/>
        <v>6299.5472155294219</v>
      </c>
      <c r="DQ20" s="2">
        <f t="shared" si="27"/>
        <v>6362.5426876847159</v>
      </c>
      <c r="DR20" s="2">
        <f t="shared" si="27"/>
        <v>6426.168114561563</v>
      </c>
      <c r="DS20" s="2">
        <f t="shared" si="27"/>
        <v>6490.4297957071785</v>
      </c>
      <c r="DT20" s="2">
        <f t="shared" si="27"/>
        <v>6555.3340936642508</v>
      </c>
      <c r="DU20" s="2">
        <f t="shared" si="27"/>
        <v>6620.8874346008934</v>
      </c>
      <c r="DV20" s="2">
        <f t="shared" si="27"/>
        <v>6687.0963089469024</v>
      </c>
      <c r="DW20" s="2">
        <f t="shared" si="27"/>
        <v>6753.9672720363715</v>
      </c>
      <c r="DX20" s="2">
        <f t="shared" si="27"/>
        <v>6821.5069447567348</v>
      </c>
      <c r="DY20" s="2">
        <f t="shared" si="27"/>
        <v>6889.7220142043025</v>
      </c>
      <c r="DZ20" s="2">
        <f t="shared" si="27"/>
        <v>6958.6192343463454</v>
      </c>
      <c r="EA20" s="2">
        <f t="shared" si="27"/>
        <v>7028.2054266898085</v>
      </c>
      <c r="EB20" s="2">
        <f t="shared" si="27"/>
        <v>7098.4874809567063</v>
      </c>
      <c r="EC20" s="2">
        <f t="shared" si="27"/>
        <v>7169.4723557662737</v>
      </c>
      <c r="ED20" s="2">
        <f t="shared" si="27"/>
        <v>7241.1670793239364</v>
      </c>
      <c r="EE20" s="2">
        <f t="shared" si="27"/>
        <v>7313.5787501171762</v>
      </c>
      <c r="EF20" s="2">
        <f t="shared" si="27"/>
        <v>7386.714537618348</v>
      </c>
      <c r="EG20" s="2">
        <f t="shared" si="27"/>
        <v>7460.5816829945315</v>
      </c>
      <c r="EH20" s="2">
        <f t="shared" si="27"/>
        <v>7535.1874998244766</v>
      </c>
      <c r="EI20" s="2">
        <f t="shared" si="27"/>
        <v>7610.5393748227216</v>
      </c>
    </row>
    <row r="21" spans="2:139" s="2" customFormat="1" x14ac:dyDescent="0.2">
      <c r="B21" s="2" t="s">
        <v>1</v>
      </c>
      <c r="C21" s="2">
        <v>544</v>
      </c>
      <c r="D21" s="2">
        <v>541</v>
      </c>
      <c r="E21" s="2">
        <v>537</v>
      </c>
      <c r="F21" s="2">
        <v>532</v>
      </c>
      <c r="G21" s="2">
        <v>521</v>
      </c>
      <c r="H21" s="2">
        <v>519</v>
      </c>
      <c r="I21" s="2">
        <v>507</v>
      </c>
      <c r="J21" s="2">
        <v>494</v>
      </c>
      <c r="K21" s="2">
        <v>494</v>
      </c>
      <c r="L21" s="2">
        <v>494</v>
      </c>
      <c r="M21" s="2">
        <v>494</v>
      </c>
      <c r="N21" s="2">
        <v>494</v>
      </c>
      <c r="O21" s="2">
        <v>494</v>
      </c>
      <c r="R21" s="2">
        <v>663</v>
      </c>
      <c r="S21" s="2">
        <v>558</v>
      </c>
      <c r="T21" s="2">
        <v>533</v>
      </c>
      <c r="U21" s="2">
        <f>T21</f>
        <v>533</v>
      </c>
      <c r="V21" s="2">
        <f>U21</f>
        <v>533</v>
      </c>
      <c r="W21" s="2">
        <f t="shared" ref="W21:AN21" si="28">V21</f>
        <v>533</v>
      </c>
      <c r="X21" s="2">
        <f t="shared" si="28"/>
        <v>533</v>
      </c>
      <c r="Y21" s="2">
        <f t="shared" si="28"/>
        <v>533</v>
      </c>
      <c r="Z21" s="2">
        <f t="shared" si="28"/>
        <v>533</v>
      </c>
      <c r="AA21" s="2">
        <f t="shared" si="28"/>
        <v>533</v>
      </c>
      <c r="AB21" s="2">
        <f t="shared" si="28"/>
        <v>533</v>
      </c>
      <c r="AC21" s="2">
        <f t="shared" si="28"/>
        <v>533</v>
      </c>
      <c r="AD21" s="2">
        <f t="shared" si="28"/>
        <v>533</v>
      </c>
      <c r="AE21" s="2">
        <f t="shared" si="28"/>
        <v>533</v>
      </c>
      <c r="AF21" s="2">
        <f t="shared" si="28"/>
        <v>533</v>
      </c>
      <c r="AG21" s="2">
        <f t="shared" si="28"/>
        <v>533</v>
      </c>
      <c r="AH21" s="2">
        <f t="shared" si="28"/>
        <v>533</v>
      </c>
      <c r="AI21" s="2">
        <f t="shared" si="28"/>
        <v>533</v>
      </c>
      <c r="AJ21" s="2">
        <f t="shared" si="28"/>
        <v>533</v>
      </c>
      <c r="AK21" s="2">
        <f t="shared" si="28"/>
        <v>533</v>
      </c>
      <c r="AL21" s="2">
        <f t="shared" si="28"/>
        <v>533</v>
      </c>
      <c r="AM21" s="2">
        <f t="shared" si="28"/>
        <v>533</v>
      </c>
      <c r="AN21" s="2">
        <f t="shared" si="28"/>
        <v>533</v>
      </c>
    </row>
    <row r="22" spans="2:139" s="7" customFormat="1" x14ac:dyDescent="0.2">
      <c r="B22" s="7" t="s">
        <v>30</v>
      </c>
      <c r="C22" s="7">
        <f t="shared" ref="C22:K22" si="29">+C20/C21</f>
        <v>1.2352941176470589</v>
      </c>
      <c r="D22" s="7">
        <f t="shared" si="29"/>
        <v>1.066543438077634</v>
      </c>
      <c r="E22" s="7">
        <f t="shared" si="29"/>
        <v>0.32960893854748602</v>
      </c>
      <c r="F22" s="7">
        <f t="shared" si="29"/>
        <v>2.4624060150375939</v>
      </c>
      <c r="G22" s="7">
        <f t="shared" si="29"/>
        <v>1.4049904030710172</v>
      </c>
      <c r="H22" s="7">
        <f t="shared" si="29"/>
        <v>0.8535645472061657</v>
      </c>
      <c r="I22" s="7">
        <f t="shared" si="29"/>
        <v>0.45562130177514792</v>
      </c>
      <c r="J22" s="7">
        <f t="shared" si="29"/>
        <v>1.2975708502024292</v>
      </c>
      <c r="K22" s="7">
        <f t="shared" si="29"/>
        <v>1.2651821862348178</v>
      </c>
      <c r="L22" s="7">
        <f t="shared" ref="L22:O22" si="30">+L20/L21</f>
        <v>1.360566801619433</v>
      </c>
      <c r="M22" s="7">
        <f t="shared" si="30"/>
        <v>1.3936032388663968</v>
      </c>
      <c r="N22" s="7">
        <f t="shared" si="30"/>
        <v>1.4018623481781376</v>
      </c>
      <c r="O22" s="7">
        <f t="shared" si="30"/>
        <v>1.3688259109311738</v>
      </c>
      <c r="R22" s="7">
        <f>R20/R21</f>
        <v>0.39366515837104071</v>
      </c>
      <c r="S22" s="7">
        <f>S20/S21</f>
        <v>-2.2759856630824373</v>
      </c>
      <c r="T22" s="7">
        <f>T20/T21</f>
        <v>5.2457786116322698</v>
      </c>
      <c r="U22" s="7">
        <f>U20/U21</f>
        <v>3.6397748592870545</v>
      </c>
      <c r="V22" s="7">
        <f t="shared" ref="V22:AN22" si="31">V20/V21</f>
        <v>3.6070243902439021</v>
      </c>
      <c r="W22" s="7">
        <f t="shared" si="31"/>
        <v>3.6893453268292666</v>
      </c>
      <c r="X22" s="7">
        <f t="shared" si="31"/>
        <v>3.7731211589151226</v>
      </c>
      <c r="Y22" s="7">
        <f t="shared" si="31"/>
        <v>3.8583754265692933</v>
      </c>
      <c r="Z22" s="7">
        <f t="shared" si="31"/>
        <v>3.9451320363503859</v>
      </c>
      <c r="AA22" s="7">
        <f t="shared" si="31"/>
        <v>4.0334152669095804</v>
      </c>
      <c r="AB22" s="7">
        <f t="shared" si="31"/>
        <v>4.1232497746772712</v>
      </c>
      <c r="AC22" s="7">
        <f t="shared" si="31"/>
        <v>4.2146605996358355</v>
      </c>
      <c r="AD22" s="7">
        <f t="shared" si="31"/>
        <v>4.3076731711798191</v>
      </c>
      <c r="AE22" s="7">
        <f t="shared" si="31"/>
        <v>4.4023133140648483</v>
      </c>
      <c r="AF22" s="7">
        <f t="shared" si="31"/>
        <v>4.498607254446628</v>
      </c>
      <c r="AG22" s="7">
        <f t="shared" si="31"/>
        <v>4.596581626011365</v>
      </c>
      <c r="AH22" s="7">
        <f t="shared" si="31"/>
        <v>4.6962634761990083</v>
      </c>
      <c r="AI22" s="7">
        <f t="shared" si="31"/>
        <v>4.7976802725206884</v>
      </c>
      <c r="AJ22" s="7">
        <f t="shared" si="31"/>
        <v>4.9008599089717872</v>
      </c>
      <c r="AK22" s="7">
        <f t="shared" si="31"/>
        <v>5.0058307125420853</v>
      </c>
      <c r="AL22" s="7">
        <f t="shared" si="31"/>
        <v>5.112621449824438</v>
      </c>
      <c r="AM22" s="7">
        <f t="shared" si="31"/>
        <v>5.2212613337234588</v>
      </c>
      <c r="AN22" s="7">
        <f t="shared" si="31"/>
        <v>5.3317800302657483</v>
      </c>
    </row>
    <row r="25" spans="2:139" x14ac:dyDescent="0.2">
      <c r="AP25" t="s">
        <v>41</v>
      </c>
      <c r="AQ25" s="4">
        <v>0.01</v>
      </c>
    </row>
    <row r="26" spans="2:139" x14ac:dyDescent="0.2">
      <c r="AP26" t="s">
        <v>42</v>
      </c>
      <c r="AQ26" s="4">
        <v>-0.01</v>
      </c>
    </row>
    <row r="27" spans="2:139" x14ac:dyDescent="0.2">
      <c r="AP27" t="s">
        <v>43</v>
      </c>
      <c r="AQ27" s="4">
        <v>0.08</v>
      </c>
    </row>
    <row r="28" spans="2:139" x14ac:dyDescent="0.2">
      <c r="AP28" t="s">
        <v>44</v>
      </c>
      <c r="AQ28" s="8">
        <f>NPV(AQ27,U20:EI20)</f>
        <v>30560.958474871673</v>
      </c>
    </row>
    <row r="29" spans="2:139" x14ac:dyDescent="0.2">
      <c r="AP29" t="s">
        <v>40</v>
      </c>
      <c r="AQ29" s="2">
        <f>Main!J11</f>
        <v>-993</v>
      </c>
    </row>
    <row r="30" spans="2:139" x14ac:dyDescent="0.2">
      <c r="AP30" t="s">
        <v>45</v>
      </c>
      <c r="AQ30" s="8">
        <f>AQ28+AQ29</f>
        <v>29567.958474871673</v>
      </c>
    </row>
    <row r="31" spans="2:139" x14ac:dyDescent="0.2">
      <c r="B31" t="s">
        <v>24</v>
      </c>
      <c r="G31" s="4">
        <f>G8/C8-1</f>
        <v>2.0717131474103478E-2</v>
      </c>
      <c r="H31" s="4">
        <f>H8/D8-1</f>
        <v>1.8326693227091573E-2</v>
      </c>
      <c r="I31" s="4">
        <f>I8/E8-1</f>
        <v>1.2598425196850505E-2</v>
      </c>
      <c r="J31" s="4">
        <f>J8/F8-1</f>
        <v>3.0399999999999983E-2</v>
      </c>
      <c r="S31" s="4">
        <f>S8/R8-1</f>
        <v>-5.9980806142034604E-2</v>
      </c>
      <c r="T31" s="4">
        <f>T8/S8-1</f>
        <v>3.2363450740173549E-2</v>
      </c>
      <c r="U31" s="4">
        <f t="shared" ref="U31:AM31" si="32">U8/T8-1</f>
        <v>1.5031645569620222E-2</v>
      </c>
      <c r="V31" s="4">
        <f t="shared" si="32"/>
        <v>1.4999999999999902E-2</v>
      </c>
      <c r="W31" s="4">
        <f t="shared" si="32"/>
        <v>1.4999999999999902E-2</v>
      </c>
      <c r="X31" s="4">
        <f t="shared" si="32"/>
        <v>1.4999999999999902E-2</v>
      </c>
      <c r="Y31" s="4">
        <f t="shared" si="32"/>
        <v>1.4999999999999902E-2</v>
      </c>
      <c r="Z31" s="4">
        <f t="shared" si="32"/>
        <v>1.4999999999999902E-2</v>
      </c>
      <c r="AA31" s="4">
        <f t="shared" si="32"/>
        <v>1.4999999999999902E-2</v>
      </c>
      <c r="AB31" s="4">
        <f t="shared" si="32"/>
        <v>1.4999999999999902E-2</v>
      </c>
      <c r="AC31" s="4">
        <f t="shared" si="32"/>
        <v>1.4999999999999902E-2</v>
      </c>
      <c r="AD31" s="4">
        <f t="shared" si="32"/>
        <v>1.4999999999999902E-2</v>
      </c>
      <c r="AE31" s="4">
        <f t="shared" si="32"/>
        <v>1.4999999999999902E-2</v>
      </c>
      <c r="AF31" s="4">
        <f t="shared" si="32"/>
        <v>1.4999999999999902E-2</v>
      </c>
      <c r="AG31" s="4">
        <f t="shared" si="32"/>
        <v>1.4999999999999902E-2</v>
      </c>
      <c r="AH31" s="4">
        <f t="shared" si="32"/>
        <v>1.4999999999999902E-2</v>
      </c>
      <c r="AI31" s="4">
        <f t="shared" si="32"/>
        <v>1.4999999999999902E-2</v>
      </c>
      <c r="AJ31" s="4">
        <f t="shared" si="32"/>
        <v>1.4999999999999902E-2</v>
      </c>
      <c r="AK31" s="4">
        <f t="shared" si="32"/>
        <v>1.4999999999999902E-2</v>
      </c>
      <c r="AL31" s="4">
        <f t="shared" si="32"/>
        <v>1.4999999999999902E-2</v>
      </c>
      <c r="AM31" s="4">
        <f t="shared" si="32"/>
        <v>1.4999999999999902E-2</v>
      </c>
      <c r="AN31" s="4">
        <f t="shared" ref="AN31" si="33">AN8/AM8-1</f>
        <v>1.4999999999999902E-2</v>
      </c>
      <c r="AP31" t="s">
        <v>46</v>
      </c>
      <c r="AQ31" s="7">
        <f>AQ30/Main!J4</f>
        <v>61.728514561318732</v>
      </c>
    </row>
    <row r="32" spans="2:139" x14ac:dyDescent="0.2">
      <c r="B32" t="s">
        <v>32</v>
      </c>
      <c r="G32" s="4">
        <f>G11/C11-1</f>
        <v>3.4296028880866469E-2</v>
      </c>
      <c r="H32" s="4">
        <f>H11/D11-1</f>
        <v>5.8708414872798542E-2</v>
      </c>
      <c r="I32" s="4">
        <f>I11/E11-1</f>
        <v>1.9434628975264934E-2</v>
      </c>
      <c r="J32" s="4">
        <f>J11/F11-1</f>
        <v>4.4091710758377367E-2</v>
      </c>
      <c r="S32" s="4">
        <f t="shared" ref="S32:T34" si="34">S11/R11-1</f>
        <v>-1.5668202764976935E-2</v>
      </c>
      <c r="T32" s="4">
        <f t="shared" si="34"/>
        <v>3.7921348314606806E-2</v>
      </c>
      <c r="U32" s="4">
        <f t="shared" ref="U32:AM32" si="35">U11/T11-1</f>
        <v>3.8340099233197922E-2</v>
      </c>
      <c r="V32" s="4">
        <f t="shared" si="35"/>
        <v>-4.3652476107732818E-3</v>
      </c>
      <c r="W32" s="4">
        <f t="shared" si="35"/>
        <v>1.4999999999999902E-2</v>
      </c>
      <c r="X32" s="4">
        <f t="shared" si="35"/>
        <v>1.4999999999999902E-2</v>
      </c>
      <c r="Y32" s="4">
        <f t="shared" si="35"/>
        <v>1.5000000000000124E-2</v>
      </c>
      <c r="Z32" s="4">
        <f t="shared" si="35"/>
        <v>1.4999999999999902E-2</v>
      </c>
      <c r="AA32" s="4">
        <f t="shared" si="35"/>
        <v>1.4999999999999902E-2</v>
      </c>
      <c r="AB32" s="4">
        <f t="shared" si="35"/>
        <v>1.499999999999968E-2</v>
      </c>
      <c r="AC32" s="4">
        <f t="shared" si="35"/>
        <v>1.4999999999999902E-2</v>
      </c>
      <c r="AD32" s="4">
        <f t="shared" si="35"/>
        <v>1.4999999999999902E-2</v>
      </c>
      <c r="AE32" s="4">
        <f t="shared" si="35"/>
        <v>1.499999999999968E-2</v>
      </c>
      <c r="AF32" s="4">
        <f t="shared" si="35"/>
        <v>1.4999999999999902E-2</v>
      </c>
      <c r="AG32" s="4">
        <f t="shared" si="35"/>
        <v>1.4999999999999902E-2</v>
      </c>
      <c r="AH32" s="4">
        <f t="shared" si="35"/>
        <v>1.4999999999999902E-2</v>
      </c>
      <c r="AI32" s="4">
        <f t="shared" si="35"/>
        <v>1.5000000000000124E-2</v>
      </c>
      <c r="AJ32" s="4">
        <f t="shared" si="35"/>
        <v>1.4999999999999902E-2</v>
      </c>
      <c r="AK32" s="4">
        <f t="shared" si="35"/>
        <v>1.4999999999999902E-2</v>
      </c>
      <c r="AL32" s="4">
        <f t="shared" si="35"/>
        <v>1.4999999999999902E-2</v>
      </c>
      <c r="AM32" s="4">
        <f t="shared" si="35"/>
        <v>1.4999999999999902E-2</v>
      </c>
      <c r="AN32" s="4">
        <f t="shared" ref="AN32" si="36">AN11/AM11-1</f>
        <v>1.4999999999999902E-2</v>
      </c>
    </row>
    <row r="33" spans="2:43" x14ac:dyDescent="0.2">
      <c r="B33" t="s">
        <v>33</v>
      </c>
      <c r="G33" s="4">
        <f t="shared" ref="G33:J34" si="37">G12/C12-1</f>
        <v>0.17352941176470593</v>
      </c>
      <c r="H33" s="4">
        <f t="shared" si="37"/>
        <v>-2.8409090909090606E-3</v>
      </c>
      <c r="I33" s="4">
        <f t="shared" si="37"/>
        <v>-3.3163265306122458E-2</v>
      </c>
      <c r="J33" s="4">
        <f t="shared" si="37"/>
        <v>-6.7331670822942669E-2</v>
      </c>
      <c r="S33" s="4">
        <f t="shared" si="34"/>
        <v>3.7735849056603765E-3</v>
      </c>
      <c r="T33" s="4">
        <f t="shared" si="34"/>
        <v>0.16090225563909777</v>
      </c>
      <c r="U33" s="4">
        <f t="shared" ref="U33:AM33" si="38">U12/T12-1</f>
        <v>-4.2746113989637347E-2</v>
      </c>
      <c r="V33" s="4">
        <f>V12/U12-1</f>
        <v>1.4999999999999902E-2</v>
      </c>
      <c r="W33" s="4">
        <f>W12/V12-1</f>
        <v>1.4999999999999902E-2</v>
      </c>
      <c r="X33" s="4">
        <f t="shared" si="38"/>
        <v>1.4999999999999902E-2</v>
      </c>
      <c r="Y33" s="4">
        <f t="shared" si="38"/>
        <v>1.4999999999999902E-2</v>
      </c>
      <c r="Z33" s="4">
        <f t="shared" si="38"/>
        <v>1.4999999999999902E-2</v>
      </c>
      <c r="AA33" s="4">
        <f t="shared" si="38"/>
        <v>1.4999999999999902E-2</v>
      </c>
      <c r="AB33" s="4">
        <f t="shared" si="38"/>
        <v>1.4999999999999902E-2</v>
      </c>
      <c r="AC33" s="4">
        <f t="shared" si="38"/>
        <v>1.4999999999999902E-2</v>
      </c>
      <c r="AD33" s="4">
        <f t="shared" si="38"/>
        <v>1.4999999999999902E-2</v>
      </c>
      <c r="AE33" s="4">
        <f t="shared" si="38"/>
        <v>1.4999999999999902E-2</v>
      </c>
      <c r="AF33" s="4">
        <f t="shared" si="38"/>
        <v>1.4999999999999902E-2</v>
      </c>
      <c r="AG33" s="4">
        <f t="shared" si="38"/>
        <v>1.4999999999999902E-2</v>
      </c>
      <c r="AH33" s="4">
        <f t="shared" si="38"/>
        <v>1.4999999999999902E-2</v>
      </c>
      <c r="AI33" s="4">
        <f t="shared" si="38"/>
        <v>1.4999999999999902E-2</v>
      </c>
      <c r="AJ33" s="4">
        <f t="shared" si="38"/>
        <v>1.4999999999999902E-2</v>
      </c>
      <c r="AK33" s="4">
        <f t="shared" si="38"/>
        <v>1.4999999999999902E-2</v>
      </c>
      <c r="AL33" s="4">
        <f t="shared" si="38"/>
        <v>1.4999999999999902E-2</v>
      </c>
      <c r="AM33" s="4">
        <f t="shared" si="38"/>
        <v>1.4999999999999902E-2</v>
      </c>
      <c r="AN33" s="4">
        <f t="shared" ref="AN33" si="39">AN12/AM12-1</f>
        <v>1.4999999999999902E-2</v>
      </c>
      <c r="AP33" t="s">
        <v>47</v>
      </c>
      <c r="AQ33" s="4">
        <f>AQ31/Main!J3-1</f>
        <v>-4.7546450218812986E-2</v>
      </c>
    </row>
    <row r="34" spans="2:43" x14ac:dyDescent="0.2">
      <c r="B34" t="s">
        <v>34</v>
      </c>
      <c r="G34" s="4">
        <f t="shared" si="37"/>
        <v>0.26736111111111116</v>
      </c>
      <c r="H34" s="4">
        <f t="shared" si="37"/>
        <v>-0.19865319865319864</v>
      </c>
      <c r="I34" s="4">
        <f t="shared" si="37"/>
        <v>-3.9840637450199168E-2</v>
      </c>
      <c r="J34" s="4">
        <f t="shared" si="37"/>
        <v>-0.31448763250883394</v>
      </c>
      <c r="S34" s="4">
        <f t="shared" si="34"/>
        <v>4.5602605863192203E-2</v>
      </c>
      <c r="T34" s="4">
        <f t="shared" si="34"/>
        <v>0.24195223260643828</v>
      </c>
      <c r="U34" s="4">
        <f t="shared" ref="U34:AM34" si="40">U13/T13-1</f>
        <v>-0.27508361204013376</v>
      </c>
      <c r="V34" s="4">
        <f>V13/U13-1</f>
        <v>1.4999999999999902E-2</v>
      </c>
      <c r="W34" s="4">
        <f>W13/V13-1</f>
        <v>1.4999999999999902E-2</v>
      </c>
      <c r="X34" s="4">
        <f t="shared" si="40"/>
        <v>1.4999999999999902E-2</v>
      </c>
      <c r="Y34" s="4">
        <f t="shared" si="40"/>
        <v>1.4999999999999902E-2</v>
      </c>
      <c r="Z34" s="4">
        <f t="shared" si="40"/>
        <v>1.4999999999999902E-2</v>
      </c>
      <c r="AA34" s="4">
        <f t="shared" si="40"/>
        <v>1.4999999999999902E-2</v>
      </c>
      <c r="AB34" s="4">
        <f t="shared" si="40"/>
        <v>1.4999999999999902E-2</v>
      </c>
      <c r="AC34" s="4">
        <f t="shared" si="40"/>
        <v>1.4999999999999902E-2</v>
      </c>
      <c r="AD34" s="4">
        <f t="shared" si="40"/>
        <v>1.4999999999999902E-2</v>
      </c>
      <c r="AE34" s="4">
        <f t="shared" si="40"/>
        <v>1.4999999999999902E-2</v>
      </c>
      <c r="AF34" s="4">
        <f t="shared" si="40"/>
        <v>1.4999999999999902E-2</v>
      </c>
      <c r="AG34" s="4">
        <f t="shared" si="40"/>
        <v>1.4999999999999902E-2</v>
      </c>
      <c r="AH34" s="4">
        <f t="shared" si="40"/>
        <v>1.4999999999999902E-2</v>
      </c>
      <c r="AI34" s="4">
        <f t="shared" si="40"/>
        <v>1.4999999999999902E-2</v>
      </c>
      <c r="AJ34" s="4">
        <f t="shared" si="40"/>
        <v>1.4999999999999902E-2</v>
      </c>
      <c r="AK34" s="4">
        <f t="shared" si="40"/>
        <v>1.4999999999999902E-2</v>
      </c>
      <c r="AL34" s="4">
        <f t="shared" si="40"/>
        <v>1.4999999999999902E-2</v>
      </c>
      <c r="AM34" s="4">
        <f t="shared" si="40"/>
        <v>1.4999999999999902E-2</v>
      </c>
      <c r="AN34" s="4">
        <f t="shared" ref="AN34" si="41">AN13/AM13-1</f>
        <v>1.4999999999999902E-2</v>
      </c>
    </row>
    <row r="36" spans="2:43" s="4" customFormat="1" x14ac:dyDescent="0.2">
      <c r="B36" s="4" t="s">
        <v>25</v>
      </c>
      <c r="C36" s="4">
        <f t="shared" ref="C36:J36" si="42">C10/C8</f>
        <v>0.72868525896414338</v>
      </c>
      <c r="D36" s="4">
        <f t="shared" si="42"/>
        <v>0.7211155378486056</v>
      </c>
      <c r="E36" s="4">
        <f t="shared" si="42"/>
        <v>0.71732283464566926</v>
      </c>
      <c r="F36" s="4">
        <f t="shared" si="42"/>
        <v>0.71799999999999997</v>
      </c>
      <c r="G36" s="4">
        <f t="shared" si="42"/>
        <v>0.72287275565964093</v>
      </c>
      <c r="H36" s="4">
        <f t="shared" si="42"/>
        <v>0.72613458528951491</v>
      </c>
      <c r="I36" s="4">
        <f t="shared" si="42"/>
        <v>0.71423017107309483</v>
      </c>
      <c r="J36" s="4">
        <f t="shared" si="42"/>
        <v>0.71777950310559002</v>
      </c>
      <c r="R36" s="4">
        <f>R10/R8</f>
        <v>0.74568138195777356</v>
      </c>
      <c r="S36" s="4">
        <f>S10/S8</f>
        <v>0.72639101582440024</v>
      </c>
      <c r="T36" s="4">
        <f>T10/T8</f>
        <v>0.71983781645569622</v>
      </c>
      <c r="U36" s="4">
        <f t="shared" ref="U36:AM36" si="43">U10/U8</f>
        <v>0.71853078721745911</v>
      </c>
      <c r="V36" s="4">
        <f t="shared" si="43"/>
        <v>0.72</v>
      </c>
      <c r="W36" s="4">
        <f t="shared" si="43"/>
        <v>0.72</v>
      </c>
      <c r="X36" s="4">
        <f t="shared" si="43"/>
        <v>0.72</v>
      </c>
      <c r="Y36" s="4">
        <f t="shared" si="43"/>
        <v>0.72</v>
      </c>
      <c r="Z36" s="4">
        <f t="shared" si="43"/>
        <v>0.72</v>
      </c>
      <c r="AA36" s="4">
        <f t="shared" si="43"/>
        <v>0.72</v>
      </c>
      <c r="AB36" s="4">
        <f t="shared" si="43"/>
        <v>0.72</v>
      </c>
      <c r="AC36" s="4">
        <f t="shared" si="43"/>
        <v>0.72</v>
      </c>
      <c r="AD36" s="4">
        <f t="shared" si="43"/>
        <v>0.72</v>
      </c>
      <c r="AE36" s="4">
        <f t="shared" si="43"/>
        <v>0.72</v>
      </c>
      <c r="AF36" s="4">
        <f t="shared" si="43"/>
        <v>0.72</v>
      </c>
      <c r="AG36" s="4">
        <f t="shared" si="43"/>
        <v>0.71999999999999986</v>
      </c>
      <c r="AH36" s="4">
        <f t="shared" si="43"/>
        <v>0.72</v>
      </c>
      <c r="AI36" s="4">
        <f t="shared" si="43"/>
        <v>0.71999999999999986</v>
      </c>
      <c r="AJ36" s="4">
        <f t="shared" si="43"/>
        <v>0.72</v>
      </c>
      <c r="AK36" s="4">
        <f t="shared" si="43"/>
        <v>0.72</v>
      </c>
      <c r="AL36" s="4">
        <f t="shared" si="43"/>
        <v>0.72</v>
      </c>
      <c r="AM36" s="4">
        <f t="shared" si="43"/>
        <v>0.72</v>
      </c>
      <c r="AN36" s="4">
        <f t="shared" ref="AN36" si="44">AN10/AN8</f>
        <v>0.72</v>
      </c>
    </row>
    <row r="37" spans="2:43" s="4" customFormat="1" x14ac:dyDescent="0.2">
      <c r="B37" s="4" t="s">
        <v>37</v>
      </c>
      <c r="C37" s="4">
        <f t="shared" ref="C37:J37" si="45">C16/C8</f>
        <v>0.2254980079681275</v>
      </c>
      <c r="D37" s="4">
        <f t="shared" si="45"/>
        <v>0.2254980079681275</v>
      </c>
      <c r="E37" s="4">
        <f t="shared" si="45"/>
        <v>0.20590551181102362</v>
      </c>
      <c r="F37" s="4">
        <f t="shared" si="45"/>
        <v>0.18360000000000001</v>
      </c>
      <c r="G37" s="4">
        <f t="shared" si="45"/>
        <v>0.16159250585480095</v>
      </c>
      <c r="H37" s="4">
        <f t="shared" si="45"/>
        <v>0.24843505477308295</v>
      </c>
      <c r="I37" s="4">
        <f t="shared" si="45"/>
        <v>0.21539657853810265</v>
      </c>
      <c r="J37" s="4">
        <f t="shared" si="45"/>
        <v>0.23291925465838509</v>
      </c>
      <c r="R37" s="4">
        <f>R16/R8</f>
        <v>0.28138195777351249</v>
      </c>
      <c r="S37" s="4">
        <f>S16/S8</f>
        <v>0.24032669729453804</v>
      </c>
      <c r="T37" s="4">
        <f>T16/T8</f>
        <v>0.19402689873417722</v>
      </c>
      <c r="U37" s="4">
        <f t="shared" ref="U37:AM37" si="46">U16/U8</f>
        <v>0.23119641465315666</v>
      </c>
      <c r="V37" s="4">
        <f t="shared" si="46"/>
        <v>0.23694466095089631</v>
      </c>
      <c r="W37" s="4">
        <f t="shared" si="46"/>
        <v>0.23694466095089628</v>
      </c>
      <c r="X37" s="4">
        <f t="shared" si="46"/>
        <v>0.23694466095089645</v>
      </c>
      <c r="Y37" s="4">
        <f t="shared" si="46"/>
        <v>0.23694466095089634</v>
      </c>
      <c r="Z37" s="4">
        <f t="shared" si="46"/>
        <v>0.23694466095089631</v>
      </c>
      <c r="AA37" s="4">
        <f t="shared" si="46"/>
        <v>0.23694466095089636</v>
      </c>
      <c r="AB37" s="4">
        <f t="shared" si="46"/>
        <v>0.23694466095089634</v>
      </c>
      <c r="AC37" s="4">
        <f t="shared" si="46"/>
        <v>0.23694466095089628</v>
      </c>
      <c r="AD37" s="4">
        <f t="shared" si="46"/>
        <v>0.23694466095089628</v>
      </c>
      <c r="AE37" s="4">
        <f t="shared" si="46"/>
        <v>0.23694466095089634</v>
      </c>
      <c r="AF37" s="4">
        <f t="shared" si="46"/>
        <v>0.23694466095089631</v>
      </c>
      <c r="AG37" s="4">
        <f t="shared" si="46"/>
        <v>0.2369446609508962</v>
      </c>
      <c r="AH37" s="4">
        <f t="shared" si="46"/>
        <v>0.2369446609508962</v>
      </c>
      <c r="AI37" s="4">
        <f t="shared" si="46"/>
        <v>0.2369446609508962</v>
      </c>
      <c r="AJ37" s="4">
        <f t="shared" si="46"/>
        <v>0.23694466095089622</v>
      </c>
      <c r="AK37" s="4">
        <f t="shared" si="46"/>
        <v>0.23694466095089622</v>
      </c>
      <c r="AL37" s="4">
        <f t="shared" si="46"/>
        <v>0.23694466095089625</v>
      </c>
      <c r="AM37" s="4">
        <f t="shared" si="46"/>
        <v>0.23694466095089622</v>
      </c>
      <c r="AN37" s="4">
        <f t="shared" ref="AN37" si="47">AN16/AN8</f>
        <v>0.23694466095089622</v>
      </c>
    </row>
    <row r="38" spans="2:43" s="4" customFormat="1" x14ac:dyDescent="0.2">
      <c r="B38" s="4" t="s">
        <v>31</v>
      </c>
      <c r="C38" s="4">
        <f t="shared" ref="C38:J38" si="48">C19/C18</f>
        <v>0.19036144578313252</v>
      </c>
      <c r="D38" s="4">
        <f t="shared" si="48"/>
        <v>0.21815718157181571</v>
      </c>
      <c r="E38" s="4">
        <f t="shared" si="48"/>
        <v>0.3896551724137931</v>
      </c>
      <c r="F38" s="4">
        <f t="shared" si="48"/>
        <v>0.21321321321321321</v>
      </c>
      <c r="G38" s="4">
        <f t="shared" si="48"/>
        <v>0.29275362318840581</v>
      </c>
      <c r="H38" s="4">
        <f t="shared" si="48"/>
        <v>0.17962962962962964</v>
      </c>
      <c r="I38" s="4">
        <f t="shared" si="48"/>
        <v>0.30630630630630629</v>
      </c>
      <c r="J38" s="4">
        <f t="shared" si="48"/>
        <v>0.20074812967581046</v>
      </c>
      <c r="K38" s="4">
        <f t="shared" ref="K38:O38" si="49">K19/K18</f>
        <v>0.20483460559796438</v>
      </c>
      <c r="L38" s="4">
        <f t="shared" si="49"/>
        <v>0.19324947186479741</v>
      </c>
      <c r="M38" s="4">
        <f t="shared" si="49"/>
        <v>0.18953663590129965</v>
      </c>
      <c r="N38" s="4">
        <f t="shared" si="49"/>
        <v>0.18863061205361328</v>
      </c>
      <c r="O38" s="4">
        <f t="shared" si="49"/>
        <v>0.19230769230769235</v>
      </c>
      <c r="R38" s="4">
        <f>R19/R18</f>
        <v>0.35872235872235875</v>
      </c>
      <c r="S38" s="4">
        <f t="shared" ref="S38:T38" si="50">S19/S18</f>
        <v>0.20475892298058859</v>
      </c>
      <c r="T38" s="4">
        <f t="shared" si="50"/>
        <v>0.25</v>
      </c>
      <c r="U38" s="4">
        <f t="shared" ref="U38:AM38" si="51">U19/U18</f>
        <v>0.21170255993498577</v>
      </c>
      <c r="V38" s="4">
        <f t="shared" si="51"/>
        <v>0.22</v>
      </c>
      <c r="W38" s="4">
        <f t="shared" si="51"/>
        <v>0.22000000000000003</v>
      </c>
      <c r="X38" s="4">
        <f t="shared" si="51"/>
        <v>0.22</v>
      </c>
      <c r="Y38" s="4">
        <f t="shared" si="51"/>
        <v>0.22</v>
      </c>
      <c r="Z38" s="4">
        <f t="shared" si="51"/>
        <v>0.22</v>
      </c>
      <c r="AA38" s="4">
        <f t="shared" si="51"/>
        <v>0.22</v>
      </c>
      <c r="AB38" s="4">
        <f t="shared" si="51"/>
        <v>0.22</v>
      </c>
      <c r="AC38" s="4">
        <f t="shared" si="51"/>
        <v>0.22</v>
      </c>
      <c r="AD38" s="4">
        <f t="shared" si="51"/>
        <v>0.22</v>
      </c>
      <c r="AE38" s="4">
        <f t="shared" si="51"/>
        <v>0.22000000000000003</v>
      </c>
      <c r="AF38" s="4">
        <f t="shared" si="51"/>
        <v>0.22000000000000003</v>
      </c>
      <c r="AG38" s="4">
        <f t="shared" si="51"/>
        <v>0.22</v>
      </c>
      <c r="AH38" s="4">
        <f t="shared" si="51"/>
        <v>0.22</v>
      </c>
      <c r="AI38" s="4">
        <f t="shared" si="51"/>
        <v>0.22</v>
      </c>
      <c r="AJ38" s="4">
        <f t="shared" si="51"/>
        <v>0.22</v>
      </c>
      <c r="AK38" s="4">
        <f t="shared" si="51"/>
        <v>0.22</v>
      </c>
      <c r="AL38" s="4">
        <f t="shared" si="51"/>
        <v>0.22000000000000003</v>
      </c>
      <c r="AM38" s="4">
        <f t="shared" si="51"/>
        <v>0.22</v>
      </c>
      <c r="AN38" s="4">
        <f t="shared" ref="AN38" si="52">AN19/AN18</f>
        <v>0.22</v>
      </c>
    </row>
    <row r="39" spans="2:43" x14ac:dyDescent="0.2">
      <c r="B39" s="4" t="s">
        <v>39</v>
      </c>
      <c r="R39" s="4">
        <f>R11/R8</f>
        <v>0.20825335892514396</v>
      </c>
      <c r="S39" s="4">
        <f t="shared" ref="S39:T39" si="53">S11/S8</f>
        <v>0.21807044410413476</v>
      </c>
      <c r="T39" s="4">
        <f t="shared" si="53"/>
        <v>0.21924446202531644</v>
      </c>
    </row>
    <row r="41" spans="2:43" x14ac:dyDescent="0.2">
      <c r="B41" s="4" t="s">
        <v>40</v>
      </c>
      <c r="J41">
        <v>-993</v>
      </c>
      <c r="K41" s="2">
        <f>J41+K20</f>
        <v>-368</v>
      </c>
      <c r="L41" s="2">
        <f t="shared" ref="L41:O41" si="54">K41+L20</f>
        <v>304.11999999999989</v>
      </c>
      <c r="M41" s="2">
        <f t="shared" si="54"/>
        <v>992.56</v>
      </c>
      <c r="N41" s="2">
        <f t="shared" si="54"/>
        <v>1685.08</v>
      </c>
      <c r="O41" s="2">
        <f t="shared" si="54"/>
        <v>2361.2799999999997</v>
      </c>
      <c r="U41" s="2">
        <f>J41+K20</f>
        <v>-368</v>
      </c>
      <c r="V41" s="2">
        <f>U41+V20</f>
        <v>1554.5439999999999</v>
      </c>
      <c r="W41" s="2">
        <f t="shared" ref="W41:AN41" si="55">V41+W20</f>
        <v>3520.9650591999989</v>
      </c>
      <c r="X41" s="2">
        <f t="shared" si="55"/>
        <v>5532.0386369017597</v>
      </c>
      <c r="Y41" s="2">
        <f t="shared" si="55"/>
        <v>7588.552739263193</v>
      </c>
      <c r="Z41" s="2">
        <f t="shared" si="55"/>
        <v>9691.3081146379482</v>
      </c>
      <c r="AA41" s="2">
        <f t="shared" si="55"/>
        <v>11841.118451900755</v>
      </c>
      <c r="AB41" s="2">
        <f t="shared" si="55"/>
        <v>14038.81058180374</v>
      </c>
      <c r="AC41" s="2">
        <f t="shared" si="55"/>
        <v>16285.22468140964</v>
      </c>
      <c r="AD41" s="2">
        <f t="shared" si="55"/>
        <v>18581.214481648483</v>
      </c>
      <c r="AE41" s="2">
        <f t="shared" si="55"/>
        <v>20927.647478045048</v>
      </c>
      <c r="AF41" s="2">
        <f t="shared" si="55"/>
        <v>23325.405144665099</v>
      </c>
      <c r="AG41" s="2">
        <f t="shared" si="55"/>
        <v>25775.383151329155</v>
      </c>
      <c r="AH41" s="2">
        <f t="shared" si="55"/>
        <v>28278.491584143227</v>
      </c>
      <c r="AI41" s="2">
        <f t="shared" si="55"/>
        <v>30835.655169396752</v>
      </c>
      <c r="AJ41" s="2">
        <f t="shared" si="55"/>
        <v>33447.813500878714</v>
      </c>
      <c r="AK41" s="2">
        <f t="shared" si="55"/>
        <v>36115.921270663646</v>
      </c>
      <c r="AL41" s="2">
        <f t="shared" si="55"/>
        <v>38840.94850342007</v>
      </c>
      <c r="AM41" s="2">
        <f t="shared" si="55"/>
        <v>41623.880794294673</v>
      </c>
      <c r="AN41" s="2">
        <f t="shared" si="55"/>
        <v>44465.719550426315</v>
      </c>
    </row>
    <row r="42" spans="2:43" x14ac:dyDescent="0.2">
      <c r="B42" s="4" t="s">
        <v>3</v>
      </c>
      <c r="G42">
        <f>1985+2533+1129</f>
        <v>5647</v>
      </c>
      <c r="I42">
        <f>1963+3203+1722</f>
        <v>6888</v>
      </c>
      <c r="J42">
        <f>1589+3302+1534</f>
        <v>6425</v>
      </c>
    </row>
    <row r="43" spans="2:43" x14ac:dyDescent="0.2">
      <c r="B43" s="4" t="s">
        <v>48</v>
      </c>
      <c r="G43">
        <f>4474+0</f>
        <v>4474</v>
      </c>
      <c r="I43">
        <v>1910</v>
      </c>
      <c r="J43">
        <f>0+1910</f>
        <v>1910</v>
      </c>
    </row>
    <row r="44" spans="2:43" x14ac:dyDescent="0.2">
      <c r="B44" s="4" t="s">
        <v>49</v>
      </c>
      <c r="G44">
        <v>1013</v>
      </c>
      <c r="I44">
        <v>1071</v>
      </c>
      <c r="J44">
        <v>984</v>
      </c>
    </row>
    <row r="45" spans="2:43" x14ac:dyDescent="0.2">
      <c r="B45" s="4" t="s">
        <v>50</v>
      </c>
      <c r="G45">
        <v>1011</v>
      </c>
      <c r="I45">
        <v>1032</v>
      </c>
      <c r="J45">
        <v>1186</v>
      </c>
    </row>
    <row r="46" spans="2:43" x14ac:dyDescent="0.2">
      <c r="B46" s="4" t="s">
        <v>51</v>
      </c>
      <c r="G46">
        <v>1243</v>
      </c>
      <c r="I46">
        <v>1285</v>
      </c>
      <c r="J46">
        <v>1273</v>
      </c>
    </row>
    <row r="47" spans="2:43" x14ac:dyDescent="0.2">
      <c r="B47" s="4" t="s">
        <v>52</v>
      </c>
      <c r="G47">
        <v>4267</v>
      </c>
      <c r="I47">
        <v>4285</v>
      </c>
      <c r="J47">
        <v>4321</v>
      </c>
    </row>
    <row r="48" spans="2:43" x14ac:dyDescent="0.2">
      <c r="B48" s="4" t="s">
        <v>54</v>
      </c>
      <c r="G48">
        <v>493</v>
      </c>
      <c r="I48">
        <v>439</v>
      </c>
      <c r="J48">
        <v>428</v>
      </c>
    </row>
    <row r="49" spans="2:10" x14ac:dyDescent="0.2">
      <c r="B49" s="4" t="s">
        <v>53</v>
      </c>
      <c r="G49">
        <v>3089</v>
      </c>
      <c r="I49">
        <v>3011</v>
      </c>
      <c r="J49">
        <v>2984</v>
      </c>
    </row>
    <row r="50" spans="2:10" x14ac:dyDescent="0.2">
      <c r="B50" s="4" t="s">
        <v>50</v>
      </c>
      <c r="D50" t="s">
        <v>7</v>
      </c>
      <c r="G50">
        <v>383</v>
      </c>
      <c r="I50">
        <v>457</v>
      </c>
      <c r="J50">
        <v>404</v>
      </c>
    </row>
    <row r="51" spans="2:10" x14ac:dyDescent="0.2">
      <c r="B51" s="5" t="s">
        <v>55</v>
      </c>
      <c r="G51" s="1">
        <f>SUM(G42:G50)</f>
        <v>21620</v>
      </c>
      <c r="I51" s="1">
        <f>SUM(I42:I50)</f>
        <v>20378</v>
      </c>
      <c r="J51" s="1">
        <f>SUM(J42:J50)</f>
        <v>19915</v>
      </c>
    </row>
    <row r="53" spans="2:10" x14ac:dyDescent="0.2">
      <c r="B53" s="4" t="s">
        <v>4</v>
      </c>
      <c r="G53">
        <f>750+6973</f>
        <v>7723</v>
      </c>
      <c r="I53">
        <f>1551+6174</f>
        <v>7725</v>
      </c>
      <c r="J53">
        <f>1243+6175</f>
        <v>7418</v>
      </c>
    </row>
    <row r="54" spans="2:10" x14ac:dyDescent="0.2">
      <c r="B54" s="4" t="s">
        <v>56</v>
      </c>
      <c r="G54">
        <f>267+1054</f>
        <v>1321</v>
      </c>
      <c r="I54">
        <f>1113+319</f>
        <v>1432</v>
      </c>
      <c r="J54">
        <f>283+1048</f>
        <v>1331</v>
      </c>
    </row>
    <row r="55" spans="2:10" x14ac:dyDescent="0.2">
      <c r="B55" s="4" t="s">
        <v>57</v>
      </c>
      <c r="G55">
        <v>2196</v>
      </c>
      <c r="I55">
        <v>2004</v>
      </c>
      <c r="J55">
        <v>2275</v>
      </c>
    </row>
    <row r="56" spans="2:10" x14ac:dyDescent="0.2">
      <c r="B56" t="s">
        <v>53</v>
      </c>
      <c r="G56">
        <f>253+2408</f>
        <v>2661</v>
      </c>
      <c r="I56">
        <f>812+1814</f>
        <v>2626</v>
      </c>
      <c r="J56">
        <f>790+1777</f>
        <v>2567</v>
      </c>
    </row>
    <row r="57" spans="2:10" x14ac:dyDescent="0.2">
      <c r="B57" s="4" t="s">
        <v>54</v>
      </c>
      <c r="G57">
        <v>387</v>
      </c>
      <c r="I57">
        <v>332</v>
      </c>
      <c r="J57">
        <v>326</v>
      </c>
    </row>
    <row r="58" spans="2:10" x14ac:dyDescent="0.2">
      <c r="B58" s="4" t="s">
        <v>50</v>
      </c>
      <c r="G58">
        <v>936</v>
      </c>
      <c r="I58">
        <v>734</v>
      </c>
      <c r="J58">
        <v>578</v>
      </c>
    </row>
    <row r="59" spans="2:10" s="1" customFormat="1" x14ac:dyDescent="0.2">
      <c r="B59" s="5" t="s">
        <v>58</v>
      </c>
      <c r="G59" s="1">
        <f>SUM(G53:G58)</f>
        <v>15224</v>
      </c>
      <c r="I59" s="1">
        <f>SUM(I53:I58)</f>
        <v>14853</v>
      </c>
      <c r="J59" s="1">
        <f>SUM(J53:J58)</f>
        <v>14495</v>
      </c>
    </row>
    <row r="60" spans="2:10" x14ac:dyDescent="0.2">
      <c r="B60" s="4" t="s">
        <v>59</v>
      </c>
      <c r="G60">
        <v>6396</v>
      </c>
      <c r="I60">
        <v>5525</v>
      </c>
      <c r="J60">
        <v>5420</v>
      </c>
    </row>
    <row r="61" spans="2:10" x14ac:dyDescent="0.2">
      <c r="B61" s="4" t="s">
        <v>60</v>
      </c>
      <c r="G61">
        <f>G60+G59</f>
        <v>21620</v>
      </c>
      <c r="I61">
        <f>I60+I59</f>
        <v>20378</v>
      </c>
      <c r="J61">
        <f>J60+J59</f>
        <v>19915</v>
      </c>
    </row>
    <row r="63" spans="2:10" x14ac:dyDescent="0.2">
      <c r="B63" s="4" t="s">
        <v>64</v>
      </c>
      <c r="G63" s="2">
        <f>G20</f>
        <v>732</v>
      </c>
      <c r="I63" s="2">
        <f>I20</f>
        <v>231</v>
      </c>
      <c r="J63" s="2">
        <f>J20</f>
        <v>641</v>
      </c>
    </row>
    <row r="64" spans="2:10" x14ac:dyDescent="0.2">
      <c r="B64" s="4" t="s">
        <v>76</v>
      </c>
      <c r="I64">
        <v>662</v>
      </c>
      <c r="J64">
        <v>634</v>
      </c>
    </row>
    <row r="65" spans="2:10" x14ac:dyDescent="0.2">
      <c r="B65" s="4" t="s">
        <v>65</v>
      </c>
      <c r="I65">
        <v>3</v>
      </c>
      <c r="J65">
        <v>2</v>
      </c>
    </row>
    <row r="66" spans="2:10" x14ac:dyDescent="0.2">
      <c r="B66" s="4" t="s">
        <v>66</v>
      </c>
      <c r="I66">
        <v>177</v>
      </c>
      <c r="J66">
        <v>89</v>
      </c>
    </row>
    <row r="67" spans="2:10" x14ac:dyDescent="0.2">
      <c r="B67" s="4" t="s">
        <v>67</v>
      </c>
      <c r="I67">
        <v>153</v>
      </c>
      <c r="J67">
        <v>92</v>
      </c>
    </row>
    <row r="68" spans="2:10" x14ac:dyDescent="0.2">
      <c r="B68" s="4" t="s">
        <v>75</v>
      </c>
      <c r="I68">
        <v>300</v>
      </c>
      <c r="J68">
        <v>146</v>
      </c>
    </row>
    <row r="69" spans="2:10" x14ac:dyDescent="0.2">
      <c r="B69" s="4" t="s">
        <v>68</v>
      </c>
      <c r="I69">
        <v>138</v>
      </c>
      <c r="J69">
        <v>-54</v>
      </c>
    </row>
    <row r="70" spans="2:10" x14ac:dyDescent="0.2">
      <c r="B70" s="4" t="s">
        <v>53</v>
      </c>
      <c r="I70">
        <v>-523</v>
      </c>
      <c r="J70">
        <v>-11</v>
      </c>
    </row>
    <row r="71" spans="2:10" x14ac:dyDescent="0.2">
      <c r="B71" s="4" t="s">
        <v>70</v>
      </c>
      <c r="I71">
        <v>25</v>
      </c>
      <c r="J71">
        <v>-145</v>
      </c>
    </row>
    <row r="72" spans="2:10" x14ac:dyDescent="0.2">
      <c r="B72" s="4" t="s">
        <v>69</v>
      </c>
      <c r="I72">
        <v>156</v>
      </c>
      <c r="J72">
        <v>0</v>
      </c>
    </row>
    <row r="73" spans="2:10" x14ac:dyDescent="0.2">
      <c r="B73" s="4" t="s">
        <v>71</v>
      </c>
      <c r="I73">
        <v>-109</v>
      </c>
      <c r="J73">
        <v>2</v>
      </c>
    </row>
    <row r="74" spans="2:10" s="1" customFormat="1" x14ac:dyDescent="0.2">
      <c r="B74" s="5" t="s">
        <v>72</v>
      </c>
      <c r="I74" s="1">
        <f>SUM(I64:I73)</f>
        <v>982</v>
      </c>
      <c r="J74" s="1">
        <f>SUM(J64:J73)</f>
        <v>755</v>
      </c>
    </row>
    <row r="75" spans="2:10" x14ac:dyDescent="0.2">
      <c r="B75" s="4" t="s">
        <v>73</v>
      </c>
      <c r="I75">
        <v>232</v>
      </c>
      <c r="J75">
        <v>109</v>
      </c>
    </row>
    <row r="76" spans="2:10" s="1" customFormat="1" x14ac:dyDescent="0.2">
      <c r="B76" s="5" t="s">
        <v>74</v>
      </c>
      <c r="I76" s="1">
        <f>I74-I75</f>
        <v>750</v>
      </c>
      <c r="J76" s="1">
        <f>J74-J75</f>
        <v>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2025-01-25T02:45:59Z</dcterms:created>
  <dcterms:modified xsi:type="dcterms:W3CDTF">2025-01-30T15:27:57Z</dcterms:modified>
</cp:coreProperties>
</file>