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owong/Library/CloudStorage/OneDrive-Personal/Value Investing/"/>
    </mc:Choice>
  </mc:AlternateContent>
  <xr:revisionPtr revIDLastSave="0" documentId="8_{89B1B55D-52FC-3B4D-83E8-9164ECCC9D9F}" xr6:coauthVersionLast="47" xr6:coauthVersionMax="47" xr10:uidLastSave="{00000000-0000-0000-0000-000000000000}"/>
  <bookViews>
    <workbookView xWindow="24500" yWindow="-33340" windowWidth="35660" windowHeight="31840" xr2:uid="{C108D851-669C-AD4A-80E6-9F63C68D9E8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2" l="1"/>
  <c r="AF7" i="2" s="1"/>
  <c r="AG7" i="2" s="1"/>
  <c r="AH7" i="2" s="1"/>
  <c r="AA7" i="2"/>
  <c r="AB7" i="2" s="1"/>
  <c r="AC7" i="2" s="1"/>
  <c r="AD7" i="2" s="1"/>
  <c r="Z7" i="2"/>
  <c r="Z12" i="2"/>
  <c r="AA12" i="2"/>
  <c r="AB12" i="2"/>
  <c r="AF15" i="2"/>
  <c r="AE15" i="2"/>
  <c r="AD15" i="2"/>
  <c r="AC15" i="2"/>
  <c r="AB15" i="2"/>
  <c r="AA15" i="2"/>
  <c r="AK15" i="2" s="1"/>
  <c r="Z15" i="2"/>
  <c r="AJ15" i="2" s="1"/>
  <c r="AG14" i="2"/>
  <c r="AH14" i="2" s="1"/>
  <c r="AI14" i="2" s="1"/>
  <c r="AJ14" i="2" s="1"/>
  <c r="AK14" i="2" s="1"/>
  <c r="AF14" i="2"/>
  <c r="AA14" i="2"/>
  <c r="AB14" i="2" s="1"/>
  <c r="AC14" i="2" s="1"/>
  <c r="AD14" i="2" s="1"/>
  <c r="AG13" i="2"/>
  <c r="AH13" i="2" s="1"/>
  <c r="AF13" i="2"/>
  <c r="AA13" i="2"/>
  <c r="AB13" i="2" s="1"/>
  <c r="Z13" i="2"/>
  <c r="Z14" i="2"/>
  <c r="Z11" i="2"/>
  <c r="Z63" i="2" s="1"/>
  <c r="AA59" i="2"/>
  <c r="Z59" i="2"/>
  <c r="AG58" i="2"/>
  <c r="AA58" i="2"/>
  <c r="Z58" i="2"/>
  <c r="Z56" i="2"/>
  <c r="L49" i="2"/>
  <c r="L48" i="2"/>
  <c r="L47" i="2"/>
  <c r="L29" i="2"/>
  <c r="L30" i="2" s="1"/>
  <c r="H29" i="2"/>
  <c r="H31" i="2" s="1"/>
  <c r="D29" i="2"/>
  <c r="D30" i="2" s="1"/>
  <c r="H51" i="2"/>
  <c r="H52" i="2"/>
  <c r="L51" i="2"/>
  <c r="L52" i="2"/>
  <c r="L53" i="2"/>
  <c r="H53" i="2"/>
  <c r="X36" i="2"/>
  <c r="X35" i="2"/>
  <c r="V35" i="2"/>
  <c r="Q14" i="2"/>
  <c r="Q59" i="2" s="1"/>
  <c r="P14" i="2"/>
  <c r="Y15" i="2"/>
  <c r="X15" i="2"/>
  <c r="N18" i="2"/>
  <c r="P13" i="2"/>
  <c r="P58" i="2" s="1"/>
  <c r="Q13" i="2"/>
  <c r="R7" i="2"/>
  <c r="R11" i="2" s="1"/>
  <c r="O14" i="2"/>
  <c r="O59" i="2" s="1"/>
  <c r="N14" i="2"/>
  <c r="R14" i="2" s="1"/>
  <c r="O13" i="2"/>
  <c r="O58" i="2" s="1"/>
  <c r="N13" i="2"/>
  <c r="N58" i="2" s="1"/>
  <c r="Q12" i="2"/>
  <c r="Q57" i="2" s="1"/>
  <c r="P12" i="2"/>
  <c r="P57" i="2" s="1"/>
  <c r="O12" i="2"/>
  <c r="O57" i="2" s="1"/>
  <c r="N12" i="2"/>
  <c r="N57" i="2" s="1"/>
  <c r="N11" i="2"/>
  <c r="N63" i="2" s="1"/>
  <c r="W22" i="2"/>
  <c r="W5" i="2"/>
  <c r="W20" i="2"/>
  <c r="W15" i="2"/>
  <c r="W14" i="2"/>
  <c r="W13" i="2"/>
  <c r="W12" i="2"/>
  <c r="W9" i="2"/>
  <c r="W8" i="2"/>
  <c r="W6" i="2"/>
  <c r="V22" i="2"/>
  <c r="V20" i="2"/>
  <c r="V15" i="2"/>
  <c r="V14" i="2"/>
  <c r="V13" i="2"/>
  <c r="V12" i="2"/>
  <c r="V9" i="2"/>
  <c r="V8" i="2"/>
  <c r="V6" i="2"/>
  <c r="V5" i="2"/>
  <c r="H102" i="2"/>
  <c r="L102" i="2"/>
  <c r="L59" i="2"/>
  <c r="K59" i="2"/>
  <c r="J59" i="2"/>
  <c r="I59" i="2"/>
  <c r="H59" i="2"/>
  <c r="G59" i="2"/>
  <c r="L58" i="2"/>
  <c r="K58" i="2"/>
  <c r="J58" i="2"/>
  <c r="I58" i="2"/>
  <c r="H58" i="2"/>
  <c r="G58" i="2"/>
  <c r="L57" i="2"/>
  <c r="K57" i="2"/>
  <c r="J57" i="2"/>
  <c r="I57" i="2"/>
  <c r="H57" i="2"/>
  <c r="G57" i="2"/>
  <c r="M59" i="2"/>
  <c r="M58" i="2"/>
  <c r="M57" i="2"/>
  <c r="D18" i="2"/>
  <c r="D7" i="2"/>
  <c r="D10" i="2"/>
  <c r="D16" i="2"/>
  <c r="C16" i="2"/>
  <c r="C10" i="2"/>
  <c r="C7" i="2"/>
  <c r="E16" i="2"/>
  <c r="E10" i="2"/>
  <c r="E7" i="2"/>
  <c r="F18" i="2"/>
  <c r="F16" i="2"/>
  <c r="F10" i="2"/>
  <c r="F7" i="2"/>
  <c r="J18" i="2"/>
  <c r="J16" i="2"/>
  <c r="J10" i="2"/>
  <c r="J7" i="2"/>
  <c r="D81" i="2"/>
  <c r="D88" i="2" s="1"/>
  <c r="H81" i="2"/>
  <c r="H88" i="2" s="1"/>
  <c r="L81" i="2"/>
  <c r="L79" i="2"/>
  <c r="G18" i="2"/>
  <c r="G16" i="2"/>
  <c r="G10" i="2"/>
  <c r="G7" i="2"/>
  <c r="K18" i="2"/>
  <c r="K16" i="2"/>
  <c r="K10" i="2"/>
  <c r="K7" i="2"/>
  <c r="H18" i="2"/>
  <c r="H16" i="2"/>
  <c r="H10" i="2"/>
  <c r="H7" i="2"/>
  <c r="L18" i="2"/>
  <c r="L16" i="2"/>
  <c r="L10" i="2"/>
  <c r="L7" i="2"/>
  <c r="P7" i="2" s="1"/>
  <c r="P11" i="2" s="1"/>
  <c r="I10" i="2"/>
  <c r="I18" i="2"/>
  <c r="I16" i="2"/>
  <c r="I7" i="2"/>
  <c r="M18" i="2"/>
  <c r="M16" i="2"/>
  <c r="M10" i="2"/>
  <c r="M7" i="2"/>
  <c r="Y4" i="2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J12" i="1"/>
  <c r="J8" i="1"/>
  <c r="J7" i="1"/>
  <c r="J6" i="1"/>
  <c r="J5" i="1"/>
  <c r="AA57" i="2" l="1"/>
  <c r="AC12" i="2"/>
  <c r="AD12" i="2" s="1"/>
  <c r="AE12" i="2" s="1"/>
  <c r="Z57" i="2"/>
  <c r="AB16" i="2"/>
  <c r="AC16" i="2"/>
  <c r="AA56" i="2"/>
  <c r="AA11" i="2"/>
  <c r="AA63" i="2" s="1"/>
  <c r="Z10" i="2"/>
  <c r="Z16" i="2"/>
  <c r="Z17" i="2" s="1"/>
  <c r="AA16" i="2"/>
  <c r="AA17" i="2" s="1"/>
  <c r="AG15" i="2"/>
  <c r="AH15" i="2"/>
  <c r="AI15" i="2"/>
  <c r="AE14" i="2"/>
  <c r="AD59" i="2"/>
  <c r="AI13" i="2"/>
  <c r="AH58" i="2"/>
  <c r="AC13" i="2"/>
  <c r="AB58" i="2"/>
  <c r="AE59" i="2"/>
  <c r="AC59" i="2"/>
  <c r="AB59" i="2"/>
  <c r="AB57" i="2"/>
  <c r="H30" i="2"/>
  <c r="L31" i="2"/>
  <c r="L32" i="2" s="1"/>
  <c r="D31" i="2"/>
  <c r="H32" i="2" s="1"/>
  <c r="V10" i="2"/>
  <c r="L41" i="2"/>
  <c r="H41" i="2"/>
  <c r="L40" i="2"/>
  <c r="H39" i="2"/>
  <c r="H40" i="2"/>
  <c r="L39" i="2"/>
  <c r="D11" i="2"/>
  <c r="D63" i="2" s="1"/>
  <c r="W36" i="2"/>
  <c r="V36" i="2"/>
  <c r="W35" i="2"/>
  <c r="X13" i="2"/>
  <c r="X58" i="2" s="1"/>
  <c r="X14" i="2"/>
  <c r="X59" i="2" s="1"/>
  <c r="M11" i="2"/>
  <c r="M17" i="2" s="1"/>
  <c r="M64" i="2" s="1"/>
  <c r="W10" i="2"/>
  <c r="X12" i="2"/>
  <c r="X7" i="2"/>
  <c r="W57" i="2"/>
  <c r="W58" i="2"/>
  <c r="W59" i="2"/>
  <c r="Y14" i="2"/>
  <c r="R63" i="2"/>
  <c r="R12" i="2"/>
  <c r="R57" i="2" s="1"/>
  <c r="R56" i="2"/>
  <c r="V16" i="2"/>
  <c r="O7" i="2"/>
  <c r="R10" i="2"/>
  <c r="P16" i="2"/>
  <c r="L88" i="2"/>
  <c r="L94" i="2" s="1"/>
  <c r="E11" i="2"/>
  <c r="E63" i="2" s="1"/>
  <c r="N59" i="2"/>
  <c r="P59" i="2"/>
  <c r="P63" i="2"/>
  <c r="P10" i="2"/>
  <c r="P56" i="2"/>
  <c r="K56" i="2"/>
  <c r="Q16" i="2"/>
  <c r="R13" i="2"/>
  <c r="R58" i="2" s="1"/>
  <c r="J56" i="2"/>
  <c r="N16" i="2"/>
  <c r="N17" i="2" s="1"/>
  <c r="N10" i="2"/>
  <c r="X10" i="2" s="1"/>
  <c r="O16" i="2"/>
  <c r="Q7" i="2"/>
  <c r="Q11" i="2" s="1"/>
  <c r="Q58" i="2"/>
  <c r="R59" i="2"/>
  <c r="G56" i="2"/>
  <c r="W18" i="2"/>
  <c r="H56" i="2"/>
  <c r="J11" i="2"/>
  <c r="J63" i="2" s="1"/>
  <c r="V7" i="2"/>
  <c r="V11" i="2" s="1"/>
  <c r="W16" i="2"/>
  <c r="V18" i="2"/>
  <c r="N56" i="2"/>
  <c r="G11" i="2"/>
  <c r="L56" i="2"/>
  <c r="W7" i="2"/>
  <c r="I56" i="2"/>
  <c r="K11" i="2"/>
  <c r="L11" i="2"/>
  <c r="L63" i="2" s="1"/>
  <c r="M56" i="2"/>
  <c r="F11" i="2"/>
  <c r="C11" i="2"/>
  <c r="D94" i="2"/>
  <c r="D90" i="2"/>
  <c r="H94" i="2"/>
  <c r="H90" i="2"/>
  <c r="H11" i="2"/>
  <c r="I11" i="2"/>
  <c r="AA10" i="2" l="1"/>
  <c r="AA64" i="2"/>
  <c r="Z64" i="2"/>
  <c r="AB56" i="2"/>
  <c r="AB11" i="2"/>
  <c r="AB10" i="2" s="1"/>
  <c r="AH59" i="2"/>
  <c r="AJ13" i="2"/>
  <c r="AI58" i="2"/>
  <c r="AD13" i="2"/>
  <c r="AC58" i="2"/>
  <c r="AI59" i="2"/>
  <c r="AG59" i="2"/>
  <c r="AF59" i="2"/>
  <c r="AC57" i="2"/>
  <c r="AD16" i="2"/>
  <c r="X16" i="2"/>
  <c r="Y59" i="2"/>
  <c r="D17" i="2"/>
  <c r="M19" i="2"/>
  <c r="M21" i="2" s="1"/>
  <c r="M23" i="2" s="1"/>
  <c r="X11" i="2"/>
  <c r="X63" i="2" s="1"/>
  <c r="X57" i="2"/>
  <c r="M63" i="2"/>
  <c r="L90" i="2"/>
  <c r="V17" i="2"/>
  <c r="V19" i="2" s="1"/>
  <c r="V21" i="2" s="1"/>
  <c r="V23" i="2" s="1"/>
  <c r="O56" i="2"/>
  <c r="Y7" i="2"/>
  <c r="Y56" i="2" s="1"/>
  <c r="O11" i="2"/>
  <c r="O63" i="2" s="1"/>
  <c r="Y13" i="2"/>
  <c r="Y58" i="2" s="1"/>
  <c r="W11" i="2"/>
  <c r="W56" i="2"/>
  <c r="Y12" i="2"/>
  <c r="X56" i="2"/>
  <c r="L17" i="2"/>
  <c r="L19" i="2" s="1"/>
  <c r="L21" i="2" s="1"/>
  <c r="L23" i="2" s="1"/>
  <c r="E17" i="2"/>
  <c r="E64" i="2" s="1"/>
  <c r="N64" i="2"/>
  <c r="N19" i="2"/>
  <c r="D19" i="2"/>
  <c r="D61" i="2" s="1"/>
  <c r="D64" i="2"/>
  <c r="F17" i="2"/>
  <c r="F63" i="2"/>
  <c r="I17" i="2"/>
  <c r="I63" i="2"/>
  <c r="Q17" i="2"/>
  <c r="K17" i="2"/>
  <c r="K63" i="2"/>
  <c r="J17" i="2"/>
  <c r="Q63" i="2"/>
  <c r="Q56" i="2"/>
  <c r="Q10" i="2"/>
  <c r="H17" i="2"/>
  <c r="H63" i="2"/>
  <c r="R16" i="2"/>
  <c r="R17" i="2" s="1"/>
  <c r="R64" i="2" s="1"/>
  <c r="G17" i="2"/>
  <c r="G63" i="2"/>
  <c r="C17" i="2"/>
  <c r="C63" i="2"/>
  <c r="P17" i="2"/>
  <c r="AB63" i="2" l="1"/>
  <c r="AB17" i="2"/>
  <c r="AC56" i="2"/>
  <c r="AC11" i="2"/>
  <c r="AC10" i="2" s="1"/>
  <c r="AK13" i="2"/>
  <c r="AK58" i="2" s="1"/>
  <c r="AJ58" i="2"/>
  <c r="AE13" i="2"/>
  <c r="AD58" i="2"/>
  <c r="AK59" i="2"/>
  <c r="AJ59" i="2"/>
  <c r="AD57" i="2"/>
  <c r="M61" i="2"/>
  <c r="X17" i="2"/>
  <c r="X64" i="2" s="1"/>
  <c r="O17" i="2"/>
  <c r="O64" i="2" s="1"/>
  <c r="O10" i="2"/>
  <c r="D21" i="2"/>
  <c r="D23" i="2" s="1"/>
  <c r="L64" i="2"/>
  <c r="Y57" i="2"/>
  <c r="Y16" i="2"/>
  <c r="E19" i="2"/>
  <c r="E21" i="2" s="1"/>
  <c r="E23" i="2" s="1"/>
  <c r="Y10" i="2"/>
  <c r="Y11" i="2" s="1"/>
  <c r="W17" i="2"/>
  <c r="W64" i="2" s="1"/>
  <c r="W63" i="2"/>
  <c r="Y63" i="2"/>
  <c r="Y17" i="2"/>
  <c r="Y64" i="2" s="1"/>
  <c r="Q64" i="2"/>
  <c r="L61" i="2"/>
  <c r="I19" i="2"/>
  <c r="I64" i="2"/>
  <c r="H19" i="2"/>
  <c r="H64" i="2"/>
  <c r="C19" i="2"/>
  <c r="C64" i="2"/>
  <c r="G19" i="2"/>
  <c r="G64" i="2"/>
  <c r="J19" i="2"/>
  <c r="J64" i="2"/>
  <c r="N20" i="2"/>
  <c r="K19" i="2"/>
  <c r="K64" i="2"/>
  <c r="F19" i="2"/>
  <c r="F64" i="2"/>
  <c r="P64" i="2"/>
  <c r="AC63" i="2" l="1"/>
  <c r="AC17" i="2"/>
  <c r="AD56" i="2"/>
  <c r="AD11" i="2"/>
  <c r="AD10" i="2" s="1"/>
  <c r="AB64" i="2"/>
  <c r="AF12" i="2"/>
  <c r="AF57" i="2" s="1"/>
  <c r="AE16" i="2"/>
  <c r="AF58" i="2"/>
  <c r="AE58" i="2"/>
  <c r="AE57" i="2"/>
  <c r="E61" i="2"/>
  <c r="X19" i="2"/>
  <c r="N61" i="2"/>
  <c r="X20" i="2"/>
  <c r="X61" i="2" s="1"/>
  <c r="N21" i="2"/>
  <c r="N67" i="2" s="1"/>
  <c r="C21" i="2"/>
  <c r="C23" i="2" s="1"/>
  <c r="C61" i="2"/>
  <c r="F61" i="2"/>
  <c r="F21" i="2"/>
  <c r="F23" i="2" s="1"/>
  <c r="W19" i="2"/>
  <c r="G21" i="2"/>
  <c r="G23" i="2" s="1"/>
  <c r="G61" i="2"/>
  <c r="J21" i="2"/>
  <c r="J23" i="2" s="1"/>
  <c r="J61" i="2"/>
  <c r="H21" i="2"/>
  <c r="H23" i="2" s="1"/>
  <c r="H61" i="2"/>
  <c r="I21" i="2"/>
  <c r="I23" i="2" s="1"/>
  <c r="I61" i="2"/>
  <c r="K21" i="2"/>
  <c r="K23" i="2" s="1"/>
  <c r="K61" i="2"/>
  <c r="AE56" i="2" l="1"/>
  <c r="AE11" i="2"/>
  <c r="AE63" i="2" s="1"/>
  <c r="AC64" i="2"/>
  <c r="AD63" i="2"/>
  <c r="AD17" i="2"/>
  <c r="AG12" i="2"/>
  <c r="AF16" i="2"/>
  <c r="X21" i="2"/>
  <c r="X23" i="2" s="1"/>
  <c r="W21" i="2"/>
  <c r="W23" i="2" s="1"/>
  <c r="W61" i="2"/>
  <c r="O18" i="2"/>
  <c r="O19" i="2" s="1"/>
  <c r="AE10" i="2" l="1"/>
  <c r="AE17" i="2"/>
  <c r="AD64" i="2"/>
  <c r="AF11" i="2"/>
  <c r="AF10" i="2" s="1"/>
  <c r="AF56" i="2"/>
  <c r="AG57" i="2"/>
  <c r="AG16" i="2"/>
  <c r="AH12" i="2"/>
  <c r="O20" i="2"/>
  <c r="O21" i="2" s="1"/>
  <c r="O67" i="2" s="1"/>
  <c r="P18" i="2" s="1"/>
  <c r="P19" i="2" s="1"/>
  <c r="AF63" i="2" l="1"/>
  <c r="AF17" i="2"/>
  <c r="AG11" i="2"/>
  <c r="AG10" i="2" s="1"/>
  <c r="AG56" i="2"/>
  <c r="AE64" i="2"/>
  <c r="AH16" i="2"/>
  <c r="AH57" i="2"/>
  <c r="AI12" i="2"/>
  <c r="O61" i="2"/>
  <c r="P20" i="2"/>
  <c r="P61" i="2" s="1"/>
  <c r="AG63" i="2" l="1"/>
  <c r="AF64" i="2"/>
  <c r="AI7" i="2"/>
  <c r="AH11" i="2"/>
  <c r="AH10" i="2" s="1"/>
  <c r="AH56" i="2"/>
  <c r="AG17" i="2"/>
  <c r="AI16" i="2"/>
  <c r="AI57" i="2"/>
  <c r="AJ12" i="2"/>
  <c r="P21" i="2"/>
  <c r="P67" i="2" s="1"/>
  <c r="Q18" i="2" s="1"/>
  <c r="Q19" i="2" s="1"/>
  <c r="AH63" i="2" l="1"/>
  <c r="AJ7" i="2"/>
  <c r="AI11" i="2"/>
  <c r="AI63" i="2" s="1"/>
  <c r="AI56" i="2"/>
  <c r="AI17" i="2"/>
  <c r="AG64" i="2"/>
  <c r="AH17" i="2"/>
  <c r="AJ16" i="2"/>
  <c r="AJ57" i="2"/>
  <c r="AK12" i="2"/>
  <c r="Q20" i="2"/>
  <c r="Q21" i="2" s="1"/>
  <c r="Q67" i="2" s="1"/>
  <c r="R18" i="2" s="1"/>
  <c r="Y18" i="2" s="1"/>
  <c r="AI10" i="2" l="1"/>
  <c r="AH64" i="2"/>
  <c r="AI64" i="2"/>
  <c r="AK7" i="2"/>
  <c r="AJ11" i="2"/>
  <c r="AJ63" i="2" s="1"/>
  <c r="AJ56" i="2"/>
  <c r="AK57" i="2"/>
  <c r="AK16" i="2"/>
  <c r="Q61" i="2"/>
  <c r="R19" i="2"/>
  <c r="Y19" i="2" s="1"/>
  <c r="AJ10" i="2" l="1"/>
  <c r="AK11" i="2"/>
  <c r="AK63" i="2" s="1"/>
  <c r="AK56" i="2"/>
  <c r="AJ17" i="2"/>
  <c r="AK17" i="2"/>
  <c r="R20" i="2"/>
  <c r="Y20" i="2" s="1"/>
  <c r="AK10" i="2" l="1"/>
  <c r="AJ64" i="2"/>
  <c r="AK64" i="2"/>
  <c r="R61" i="2"/>
  <c r="R21" i="2"/>
  <c r="R67" i="2" s="1"/>
  <c r="Y61" i="2" l="1"/>
  <c r="Y21" i="2"/>
  <c r="Y67" i="2" s="1"/>
  <c r="Z18" i="2" s="1"/>
  <c r="Z19" i="2" s="1"/>
  <c r="Z20" i="2" l="1"/>
  <c r="Z61" i="2" s="1"/>
  <c r="Z21" i="2"/>
  <c r="Z67" i="2" l="1"/>
  <c r="AA18" i="2" s="1"/>
  <c r="AA19" i="2" s="1"/>
  <c r="AA20" i="2" s="1"/>
  <c r="AA61" i="2" l="1"/>
  <c r="AA21" i="2"/>
  <c r="AA67" i="2" s="1"/>
  <c r="AB18" i="2" s="1"/>
  <c r="AB19" i="2" s="1"/>
  <c r="AB20" i="2" s="1"/>
  <c r="AB61" i="2" s="1"/>
  <c r="AB21" i="2" l="1"/>
  <c r="AB67" i="2" l="1"/>
  <c r="AC18" i="2" s="1"/>
  <c r="AC19" i="2" s="1"/>
  <c r="AC20" i="2" s="1"/>
  <c r="AC61" i="2" s="1"/>
  <c r="AC21" i="2" l="1"/>
  <c r="AC67" i="2" s="1"/>
  <c r="AD18" i="2" s="1"/>
  <c r="AD19" i="2" s="1"/>
  <c r="AD20" i="2" s="1"/>
  <c r="AD61" i="2" s="1"/>
  <c r="AD21" i="2" l="1"/>
  <c r="AD67" i="2"/>
  <c r="AE18" i="2" s="1"/>
  <c r="AE19" i="2" s="1"/>
  <c r="AE20" i="2" s="1"/>
  <c r="AE61" i="2" s="1"/>
  <c r="AE21" i="2" l="1"/>
  <c r="AE67" i="2" s="1"/>
  <c r="AF18" i="2" s="1"/>
  <c r="AF19" i="2" s="1"/>
  <c r="AF20" i="2" s="1"/>
  <c r="AF61" i="2" s="1"/>
  <c r="AF21" i="2" l="1"/>
  <c r="AF67" i="2" l="1"/>
  <c r="AG18" i="2" s="1"/>
  <c r="AG19" i="2" s="1"/>
  <c r="AG20" i="2" s="1"/>
  <c r="AG61" i="2" s="1"/>
  <c r="AG21" i="2"/>
  <c r="AG67" i="2" s="1"/>
  <c r="AH18" i="2" s="1"/>
  <c r="AH19" i="2" s="1"/>
  <c r="AH20" i="2" l="1"/>
  <c r="AH61" i="2" s="1"/>
  <c r="AH21" i="2"/>
  <c r="AH67" i="2" s="1"/>
  <c r="AI18" i="2" s="1"/>
  <c r="AI19" i="2" s="1"/>
  <c r="AI20" i="2" l="1"/>
  <c r="AI61" i="2" s="1"/>
  <c r="AI21" i="2"/>
  <c r="AI67" i="2" s="1"/>
  <c r="AJ18" i="2" s="1"/>
  <c r="AJ19" i="2" s="1"/>
  <c r="AJ20" i="2" l="1"/>
  <c r="AJ61" i="2" s="1"/>
  <c r="AJ21" i="2" l="1"/>
  <c r="AJ67" i="2" s="1"/>
  <c r="AK18" i="2" s="1"/>
  <c r="AK19" i="2" s="1"/>
  <c r="AK20" i="2" s="1"/>
  <c r="AK61" i="2" s="1"/>
  <c r="AK21" i="2" l="1"/>
  <c r="AK67" i="2" l="1"/>
  <c r="AL21" i="2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AP70" i="2" s="1"/>
  <c r="AP72" i="2" s="1"/>
  <c r="AP7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N7" authorId="0" shapeId="0" xr:uid="{C4A02CD6-27A9-3246-90C4-634E9D0F8851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guidance 3.812 - 3.845 bn</t>
        </r>
      </text>
    </comment>
    <comment ref="Y7" authorId="0" shapeId="0" xr:uid="{36DCBC0D-1A25-5E49-8DD0-3D45CF24B086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18.16 to 18.34bn guidance, 12-13% growth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for their FY which is shifted by 2
</t>
        </r>
      </text>
    </comment>
    <comment ref="L47" authorId="0" shapeId="0" xr:uid="{681957DC-3B62-874D-8F4A-303422B6A1ED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pain to switch from TT to others is very high. probably $1k to file or 3x revenue until stop. But penetration will be stuck at 25% or lower is likely.</t>
        </r>
      </text>
    </comment>
    <comment ref="D91" authorId="0" shapeId="0" xr:uid="{71A6485F-436C-7547-B32E-8FCF13199263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50bn in acq. mailchimp 12bn, of which 5bn is cash and the rest are intu stock</t>
        </r>
      </text>
    </comment>
    <comment ref="L102" authorId="0" shapeId="0" xr:uid="{AAB95187-1F2B-494F-A4E3-69E5F3177B41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They expect this segment to grow 7-8% FY25</t>
        </r>
      </text>
    </comment>
  </commentList>
</comments>
</file>

<file path=xl/sharedStrings.xml><?xml version="1.0" encoding="utf-8"?>
<sst xmlns="http://schemas.openxmlformats.org/spreadsheetml/2006/main" count="147" uniqueCount="134">
  <si>
    <t>Price</t>
  </si>
  <si>
    <t>Shares</t>
  </si>
  <si>
    <t>MC</t>
  </si>
  <si>
    <t>Cash</t>
  </si>
  <si>
    <t>Debt</t>
  </si>
  <si>
    <t>EV</t>
  </si>
  <si>
    <t>Q324</t>
  </si>
  <si>
    <t>Net Cash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</si>
  <si>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</si>
  <si>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</si>
  <si>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</si>
  <si>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</si>
  <si>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</si>
  <si>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</si>
  <si>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</si>
  <si>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</si>
  <si>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</si>
  <si>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</si>
  <si>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</si>
  <si>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</si>
  <si>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</si>
  <si>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</si>
  <si>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</si>
  <si>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</si>
  <si>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Service</t>
  </si>
  <si>
    <t>Product</t>
  </si>
  <si>
    <t>COGs Service</t>
  </si>
  <si>
    <t>COGS Product</t>
  </si>
  <si>
    <t>COGs</t>
  </si>
  <si>
    <t>Gross Profit</t>
  </si>
  <si>
    <t>S&amp;M</t>
  </si>
  <si>
    <t>R&amp;D</t>
  </si>
  <si>
    <t>G&amp;A</t>
  </si>
  <si>
    <t>Restructure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</si>
  <si>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</si>
  <si>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</si>
  <si>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</si>
  <si>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</si>
  <si>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</si>
  <si>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</si>
  <si>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</si>
  <si>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Model NI</t>
  </si>
  <si>
    <t>Reported NI</t>
  </si>
  <si>
    <t>Depreciation</t>
  </si>
  <si>
    <t>Amortization</t>
  </si>
  <si>
    <t>Non-Cash Lease</t>
  </si>
  <si>
    <t>SBC</t>
  </si>
  <si>
    <t>D/T</t>
  </si>
  <si>
    <t>Other</t>
  </si>
  <si>
    <t>Loans for sale</t>
  </si>
  <si>
    <t>A/R</t>
  </si>
  <si>
    <t>Prepaids</t>
  </si>
  <si>
    <t>A/P</t>
  </si>
  <si>
    <t>Liabilities</t>
  </si>
  <si>
    <t>D/R</t>
  </si>
  <si>
    <t>Lease</t>
  </si>
  <si>
    <t>CFFO</t>
  </si>
  <si>
    <t>7/31/2024 (their Q4)</t>
  </si>
  <si>
    <t>Capex</t>
  </si>
  <si>
    <t>FCF</t>
  </si>
  <si>
    <t>CFFI</t>
  </si>
  <si>
    <t>CFFF</t>
  </si>
  <si>
    <t>Cash Flow</t>
  </si>
  <si>
    <t>Annual</t>
  </si>
  <si>
    <t>Credit Karma</t>
  </si>
  <si>
    <t>Protax</t>
  </si>
  <si>
    <t>2022</t>
  </si>
  <si>
    <t>2023</t>
  </si>
  <si>
    <t>2024</t>
  </si>
  <si>
    <t>Segment Rev Distribution</t>
  </si>
  <si>
    <t>SMB (quickbooks)</t>
  </si>
  <si>
    <t>Consumer (turbotax)</t>
  </si>
  <si>
    <t>Purchase of treasury stock</t>
  </si>
  <si>
    <t>Revenue Growth</t>
  </si>
  <si>
    <t>S&amp;M Growth</t>
  </si>
  <si>
    <t>R&amp;D Growth</t>
  </si>
  <si>
    <t>TurboTax Units (US)</t>
  </si>
  <si>
    <t>STOPPED</t>
  </si>
  <si>
    <t>TurboTax Units (Canada)</t>
  </si>
  <si>
    <t>US TurboTax Growth</t>
  </si>
  <si>
    <t>QBO Growth</t>
  </si>
  <si>
    <t>Online Services Growth (mailchimp, payments, etc)</t>
  </si>
  <si>
    <t>Very acquisitive</t>
  </si>
  <si>
    <t>GM%</t>
  </si>
  <si>
    <t>OM%</t>
  </si>
  <si>
    <t>Volatile in cash flow and revenue</t>
  </si>
  <si>
    <t>But Intuit has strong mgmt so should think ROIC is higher</t>
  </si>
  <si>
    <t>Big 5 pushes</t>
  </si>
  <si>
    <t>Revolutionizing speed to benefit</t>
  </si>
  <si>
    <t>Less churn, higher R&amp;D</t>
  </si>
  <si>
    <t>Connecting people with expert</t>
  </si>
  <si>
    <t>High risk, nothing that personal capital and others haven't tried</t>
  </si>
  <si>
    <t>Unlocking smart money decisions</t>
  </si>
  <si>
    <t>Center of small business growth</t>
  </si>
  <si>
    <t>Xero and many others have basic accounting features. Why INTU?</t>
  </si>
  <si>
    <t>Disrupt small business mid market</t>
  </si>
  <si>
    <t>Mailchimp, more features / R&amp;D</t>
  </si>
  <si>
    <t>Pushing all big 5 means continued growth of G&amp;A and R&amp;D</t>
  </si>
  <si>
    <t>Probably not that profitable</t>
  </si>
  <si>
    <t>Probably slightly more rev growth, but not that much</t>
  </si>
  <si>
    <t>If they can add features to differentiate hard then this can be useful.</t>
  </si>
  <si>
    <t>If they can differentiate between the millions of other less expensive platforms, could be useful</t>
  </si>
  <si>
    <t>Big 5 are mediocre improvements so it should require lots more S&amp;M for rev growth</t>
  </si>
  <si>
    <t>ROIC</t>
  </si>
  <si>
    <t>Maturity</t>
  </si>
  <si>
    <t>Discount Rate</t>
  </si>
  <si>
    <t>NPV</t>
  </si>
  <si>
    <t>Spot</t>
  </si>
  <si>
    <t>Difference</t>
  </si>
  <si>
    <t>TurboTax Revenue</t>
  </si>
  <si>
    <t>TT Growth</t>
  </si>
  <si>
    <t>Credit Karma Revenue</t>
  </si>
  <si>
    <t>CK Growth</t>
  </si>
  <si>
    <t>Quickbooks + Mailchimp</t>
  </si>
  <si>
    <t>Mailchimp growth</t>
  </si>
  <si>
    <t>Payroll offerings grow</t>
  </si>
  <si>
    <t>Payments offerings grow</t>
  </si>
  <si>
    <t>Primary growth</t>
  </si>
  <si>
    <t>QB+MC Growth</t>
  </si>
  <si>
    <t>QB+MC % Rev</t>
  </si>
  <si>
    <t>TT % Rev</t>
  </si>
  <si>
    <t>CK % Rev</t>
  </si>
  <si>
    <t>Max QBO Revenue</t>
  </si>
  <si>
    <t>Max Mailchimp Revenue</t>
  </si>
  <si>
    <t>Max TT Revenue</t>
  </si>
  <si>
    <t>TT Users</t>
  </si>
  <si>
    <t>Max TT Users</t>
  </si>
  <si>
    <t>TT Penetration</t>
  </si>
  <si>
    <t>TT ARPU</t>
  </si>
  <si>
    <t>TT ARPU Growth</t>
  </si>
  <si>
    <t>Rev Growth Contr TT</t>
  </si>
  <si>
    <t>Rev Growth Contr QBO MC</t>
  </si>
  <si>
    <t>Rev Growth Contr CK</t>
  </si>
  <si>
    <t>G&amp;A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</si>
</sst>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2" fontId="0" fillId="0" borderId="0" xfId="0" applyNumberFormat="1"/>
    <xf numFmtId="0" fontId="1" fillId="0" borderId="0" xfId="0" applyFont="1"/>
    <xf numFmtId="9" fontId="0" fillId="0" borderId="0" xfId="0" applyNumberFormat="1"/>
    <xf numFmtId="14" fontId="0" fillId="0" borderId="0" xfId="0" applyNumberFormat="1"/>
    <xf numFmtId="0" fontId="4" fillId="0" borderId="0" xfId="0" applyFont="1"/>
    <xf numFmtId="3" fontId="5" fillId="0" borderId="0" xfId="0" applyNumberFormat="1" applyFont="1"/>
    <xf numFmtId="9" fontId="5" fillId="0" borderId="0" xfId="0" applyNumberFormat="1" applyFon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50800</xdr:rowOff>
    </xdr:from>
    <xdr:to>
      <xdr:col>13</xdr:col>
      <xdr:colOff>63500</xdr:colOff>
      <xdr:row>95</xdr:row>
      <xdr:rowOff>177800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116D11-21E3-2688-150D-706E8E564315}"/>
            </a:ext>
          </a:extLst>
        </xdr:cNvPr>
        <xdr:cNvCxnSpPr/>
      </xdr:nvCxnSpPr>
      <xdr:spPr>
        <a:xfrm>
          <a:off x="10795000" y="50800"/>
          <a:ext cx="0" cy="11099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812800</xdr:colOff>
      <xdr:row>0</xdr:row>
      <xdr:rowOff>114300</xdr:rowOff>
    </xdr:from>
    <xdr:to>
      <xdr:col>23</xdr:col>
      <xdr:colOff>812800</xdr:colOff>
      <xdr:row>93</xdr:row>
      <xdr:rowOff>12700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9D83AC9-5042-B6F8-ADDB-80886EBF3209}"/>
            </a:ext>
          </a:extLst>
        </xdr:cNvPr>
        <xdr:cNvCxnSpPr/>
      </xdr:nvCxnSpPr>
      <xdr:spPr>
        <a:xfrm>
          <a:off x="19799300" y="114300"/>
          <a:ext cx="0" cy="10464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C9031-959D-EA45-91FB-EFF2F9447E3D}" name="Table1" displayName="Table1" ref="B3:E7" totalsRowShown="0">
  <autoFilter ref="B3:E7" xr:uid="{B7BC9031-959D-EA45-91FB-EFF2F9447E3D}"/>
  <tableColumns count="4">
    <tableColumn id="1" xr3:uid="{0CC69EE7-6F4D-7146-A244-B1632D7180FE}" name="Segment Rev Distribution"/>
    <tableColumn id="2" xr3:uid="{0765F1C2-3D5F-2443-8882-76B8515E418E}" name="2022" dataDxfId="2"/>
    <tableColumn id="3" xr3:uid="{B2D98D76-DD8A-5041-9DA8-A20F0567FC68}" name="2023" dataDxfId="1"/>
    <tableColumn id="4" xr3:uid="{E3B795CF-8EFB-1A4A-8F27-1862875946BB}" name="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C17A-D58C-DB40-8EDB-DAD675E0D0F9}">
  <dimension ref="B3:K25"/>
  <sheetViews>
    <sheetView tabSelected="1" workbookViewId="0">
      <selection activeCell="J12" sqref="J12"/>
    </sheetView>
  </sheetViews>
  <sheetFormatPr baseColWidth="10" defaultRowHeight="16" x14ac:dyDescent="0.2"/>
  <cols>
    <col min="2" max="2" width="22.6640625" customWidth="1"/>
  </cols>
  <sheetData>
    <row r="3" spans="2:11" x14ac:dyDescent="0.2">
      <c r="B3" t="s">
        <v>69</v>
      </c>
      <c r="C3" t="s">
        <v>66</v>
      </c>
      <c r="D3" t="s">
        <v>67</v>
      </c>
      <c r="E3" t="s">
        <v>68</v>
      </c>
      <c r="I3" t="s">
        <v>0</v>
      </c>
      <c r="J3" s="2">
        <v>577.52</v>
      </c>
    </row>
    <row r="4" spans="2:11" x14ac:dyDescent="0.2">
      <c r="B4" t="s">
        <v>70</v>
      </c>
      <c r="C4" s="7">
        <v>0.51</v>
      </c>
      <c r="D4" s="7">
        <v>0.56000000000000005</v>
      </c>
      <c r="E4" s="7">
        <v>0.59</v>
      </c>
      <c r="I4" t="s">
        <v>1</v>
      </c>
      <c r="J4" s="2">
        <v>280.03500000000003</v>
      </c>
      <c r="K4" t="s">
        <v>6</v>
      </c>
    </row>
    <row r="5" spans="2:11" x14ac:dyDescent="0.2">
      <c r="B5" t="s">
        <v>71</v>
      </c>
      <c r="C5" s="7">
        <v>0.31</v>
      </c>
      <c r="D5" s="7">
        <v>0.28999999999999998</v>
      </c>
      <c r="E5" s="7">
        <v>0.27</v>
      </c>
      <c r="I5" t="s">
        <v>2</v>
      </c>
      <c r="J5" s="2">
        <f>J3*J4</f>
        <v>161725.8132</v>
      </c>
    </row>
    <row r="6" spans="2:11" x14ac:dyDescent="0.2">
      <c r="B6" t="s">
        <v>64</v>
      </c>
      <c r="C6" s="7">
        <v>0.14000000000000001</v>
      </c>
      <c r="D6" s="7">
        <v>0.11</v>
      </c>
      <c r="E6" s="7">
        <v>0.1</v>
      </c>
      <c r="I6" t="s">
        <v>3</v>
      </c>
      <c r="J6" s="2">
        <f>2872+486+90</f>
        <v>3448</v>
      </c>
      <c r="K6" t="s">
        <v>6</v>
      </c>
    </row>
    <row r="7" spans="2:11" x14ac:dyDescent="0.2">
      <c r="B7" t="s">
        <v>65</v>
      </c>
      <c r="C7" s="7">
        <v>0.04</v>
      </c>
      <c r="D7" s="7">
        <v>0.04</v>
      </c>
      <c r="E7" s="7">
        <v>0.04</v>
      </c>
      <c r="I7" t="s">
        <v>4</v>
      </c>
      <c r="J7" s="2">
        <f>499+5625</f>
        <v>6124</v>
      </c>
      <c r="K7" t="s">
        <v>6</v>
      </c>
    </row>
    <row r="8" spans="2:11" x14ac:dyDescent="0.2">
      <c r="I8" t="s">
        <v>5</v>
      </c>
      <c r="J8" s="2">
        <f>J5-J6+J7</f>
        <v>164401.8132</v>
      </c>
    </row>
    <row r="12" spans="2:11" x14ac:dyDescent="0.2">
      <c r="I12" t="s">
        <v>7</v>
      </c>
      <c r="J12" s="2">
        <f>J6-J7</f>
        <v>-2676</v>
      </c>
    </row>
    <row r="15" spans="2:11" x14ac:dyDescent="0.2">
      <c r="B15" t="s">
        <v>82</v>
      </c>
      <c r="C15" t="s">
        <v>85</v>
      </c>
    </row>
    <row r="16" spans="2:11" x14ac:dyDescent="0.2">
      <c r="C16" t="s">
        <v>86</v>
      </c>
    </row>
    <row r="17" spans="2:4" x14ac:dyDescent="0.2">
      <c r="B17" s="9"/>
    </row>
    <row r="18" spans="2:4" x14ac:dyDescent="0.2">
      <c r="B18" s="9" t="s">
        <v>87</v>
      </c>
    </row>
    <row r="19" spans="2:4" x14ac:dyDescent="0.2">
      <c r="B19" t="s">
        <v>88</v>
      </c>
      <c r="C19" t="s">
        <v>89</v>
      </c>
    </row>
    <row r="20" spans="2:4" x14ac:dyDescent="0.2">
      <c r="B20" t="s">
        <v>90</v>
      </c>
      <c r="C20" t="s">
        <v>91</v>
      </c>
      <c r="D20" t="s">
        <v>98</v>
      </c>
    </row>
    <row r="21" spans="2:4" x14ac:dyDescent="0.2">
      <c r="B21" t="s">
        <v>92</v>
      </c>
      <c r="C21" t="s">
        <v>89</v>
      </c>
      <c r="D21" t="s">
        <v>99</v>
      </c>
    </row>
    <row r="22" spans="2:4" x14ac:dyDescent="0.2">
      <c r="B22" t="s">
        <v>93</v>
      </c>
      <c r="C22" t="s">
        <v>94</v>
      </c>
      <c r="D22" t="s">
        <v>100</v>
      </c>
    </row>
    <row r="23" spans="2:4" x14ac:dyDescent="0.2">
      <c r="B23" t="s">
        <v>95</v>
      </c>
      <c r="C23" t="s">
        <v>96</v>
      </c>
      <c r="D23" t="s">
        <v>101</v>
      </c>
    </row>
    <row r="24" spans="2:4" x14ac:dyDescent="0.2">
      <c r="C24" t="s">
        <v>97</v>
      </c>
    </row>
    <row r="25" spans="2:4" x14ac:dyDescent="0.2">
      <c r="C25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2BE7-349A-9A4D-824E-1134D6332518}">
  <dimension ref="B3:CA102"/>
  <sheetViews>
    <sheetView workbookViewId="0">
      <pane xSplit="2" ySplit="4" topLeftCell="T5" activePane="bottomRight" state="frozen"/>
      <selection pane="topRight" activeCell="C1" sqref="C1"/>
      <selection pane="bottomLeft" activeCell="A5" sqref="A5"/>
      <selection pane="bottomRight" activeCell="Z40" sqref="Z40"/>
    </sheetView>
  </sheetViews>
  <sheetFormatPr baseColWidth="10" defaultRowHeight="16" x14ac:dyDescent="0.2"/>
  <sheetData>
    <row r="3" spans="2:37" x14ac:dyDescent="0.2">
      <c r="C3" s="8">
        <v>44681</v>
      </c>
      <c r="D3" s="8">
        <v>44773</v>
      </c>
      <c r="E3" s="8">
        <v>44865</v>
      </c>
      <c r="F3" s="8">
        <v>44957</v>
      </c>
      <c r="G3" s="8">
        <v>45046</v>
      </c>
      <c r="H3" s="8">
        <v>45138</v>
      </c>
      <c r="I3" s="8">
        <v>45230</v>
      </c>
      <c r="J3" s="8">
        <v>45322</v>
      </c>
      <c r="K3" s="8">
        <v>45412</v>
      </c>
      <c r="L3" t="s">
        <v>57</v>
      </c>
      <c r="M3" s="8">
        <v>45596</v>
      </c>
      <c r="N3" s="8">
        <v>45688</v>
      </c>
    </row>
    <row r="4" spans="2:37" s="3" customFormat="1" x14ac:dyDescent="0.2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6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V4" s="3">
        <v>2022</v>
      </c>
      <c r="W4" s="3">
        <v>2023</v>
      </c>
      <c r="X4" s="3">
        <v>2024</v>
      </c>
      <c r="Y4" s="3">
        <f>+X4+1</f>
        <v>2025</v>
      </c>
      <c r="Z4" s="3">
        <f t="shared" ref="Z4:AK4" si="0">+Y4+1</f>
        <v>2026</v>
      </c>
      <c r="AA4" s="3">
        <f t="shared" si="0"/>
        <v>2027</v>
      </c>
      <c r="AB4" s="3">
        <f t="shared" si="0"/>
        <v>2028</v>
      </c>
      <c r="AC4" s="3">
        <f t="shared" si="0"/>
        <v>2029</v>
      </c>
      <c r="AD4" s="3">
        <f t="shared" si="0"/>
        <v>2030</v>
      </c>
      <c r="AE4" s="3">
        <f t="shared" si="0"/>
        <v>2031</v>
      </c>
      <c r="AF4" s="3">
        <f t="shared" si="0"/>
        <v>2032</v>
      </c>
      <c r="AG4" s="3">
        <f t="shared" si="0"/>
        <v>2033</v>
      </c>
      <c r="AH4" s="3">
        <f t="shared" si="0"/>
        <v>2034</v>
      </c>
      <c r="AI4" s="3">
        <f t="shared" si="0"/>
        <v>2035</v>
      </c>
      <c r="AJ4" s="3">
        <f t="shared" si="0"/>
        <v>2036</v>
      </c>
      <c r="AK4" s="3">
        <f t="shared" si="0"/>
        <v>2037</v>
      </c>
    </row>
    <row r="5" spans="2:37" s="2" customFormat="1" x14ac:dyDescent="0.2">
      <c r="B5" s="2" t="s">
        <v>24</v>
      </c>
      <c r="C5" s="2">
        <v>5078</v>
      </c>
      <c r="D5" s="2">
        <v>2143</v>
      </c>
      <c r="E5" s="2">
        <v>2155</v>
      </c>
      <c r="F5" s="2">
        <v>2418</v>
      </c>
      <c r="G5" s="2">
        <v>5404</v>
      </c>
      <c r="H5" s="2">
        <v>2340</v>
      </c>
      <c r="I5" s="2">
        <v>2450</v>
      </c>
      <c r="J5" s="2">
        <v>2693</v>
      </c>
      <c r="K5" s="2">
        <v>6048</v>
      </c>
      <c r="L5" s="2">
        <v>2670</v>
      </c>
      <c r="M5" s="2">
        <v>2889</v>
      </c>
      <c r="V5" s="2">
        <f>SUM(C5:F5)</f>
        <v>11794</v>
      </c>
      <c r="W5" s="2">
        <f>SUM(G5:J5)</f>
        <v>12887</v>
      </c>
    </row>
    <row r="6" spans="2:37" s="2" customFormat="1" x14ac:dyDescent="0.2">
      <c r="B6" s="2" t="s">
        <v>25</v>
      </c>
      <c r="C6" s="2">
        <v>554</v>
      </c>
      <c r="D6" s="2">
        <v>271</v>
      </c>
      <c r="E6" s="2">
        <v>442</v>
      </c>
      <c r="F6" s="2">
        <v>623</v>
      </c>
      <c r="G6" s="2">
        <v>614</v>
      </c>
      <c r="H6" s="2">
        <v>372</v>
      </c>
      <c r="I6" s="2">
        <v>528</v>
      </c>
      <c r="J6" s="2">
        <v>693</v>
      </c>
      <c r="K6" s="2">
        <v>689</v>
      </c>
      <c r="L6" s="2">
        <v>514</v>
      </c>
      <c r="M6" s="2">
        <v>394</v>
      </c>
      <c r="V6" s="2">
        <f>SUM(C6:F6)</f>
        <v>1890</v>
      </c>
      <c r="W6" s="2">
        <f>SUM(G6:J6)</f>
        <v>2207</v>
      </c>
    </row>
    <row r="7" spans="2:37" s="4" customFormat="1" x14ac:dyDescent="0.2">
      <c r="B7" s="4" t="s">
        <v>8</v>
      </c>
      <c r="C7" s="4">
        <f t="shared" ref="C7:M7" si="1">C6+C5</f>
        <v>5632</v>
      </c>
      <c r="D7" s="4">
        <f t="shared" si="1"/>
        <v>2414</v>
      </c>
      <c r="E7" s="4">
        <f t="shared" si="1"/>
        <v>2597</v>
      </c>
      <c r="F7" s="4">
        <f t="shared" si="1"/>
        <v>3041</v>
      </c>
      <c r="G7" s="4">
        <f t="shared" si="1"/>
        <v>6018</v>
      </c>
      <c r="H7" s="4">
        <f t="shared" si="1"/>
        <v>2712</v>
      </c>
      <c r="I7" s="4">
        <f t="shared" si="1"/>
        <v>2978</v>
      </c>
      <c r="J7" s="4">
        <f t="shared" si="1"/>
        <v>3386</v>
      </c>
      <c r="K7" s="4">
        <f t="shared" si="1"/>
        <v>6737</v>
      </c>
      <c r="L7" s="4">
        <f t="shared" si="1"/>
        <v>3184</v>
      </c>
      <c r="M7" s="4">
        <f t="shared" si="1"/>
        <v>3283</v>
      </c>
      <c r="N7" s="4">
        <v>3800</v>
      </c>
      <c r="O7" s="4">
        <f>18200-N7-M7-L7</f>
        <v>7933</v>
      </c>
      <c r="P7" s="4">
        <f>L7*1.15</f>
        <v>3661.6</v>
      </c>
      <c r="Q7" s="4">
        <f t="shared" ref="Q7:R7" si="2">M7*1.15</f>
        <v>3775.45</v>
      </c>
      <c r="R7" s="4">
        <f t="shared" si="2"/>
        <v>4370</v>
      </c>
      <c r="V7" s="4">
        <f>V6+V5</f>
        <v>13684</v>
      </c>
      <c r="W7" s="4">
        <f>W6+W5</f>
        <v>15094</v>
      </c>
      <c r="X7" s="4">
        <f>SUM(K7:N7)</f>
        <v>17004</v>
      </c>
      <c r="Y7" s="4">
        <f>SUM(O7:R7)</f>
        <v>19740.05</v>
      </c>
      <c r="Z7" s="4">
        <f>Y7*1.15</f>
        <v>22701.057499999999</v>
      </c>
      <c r="AA7" s="4">
        <f t="shared" ref="AA7:AE7" si="3">Z7*1.1</f>
        <v>24971.163250000001</v>
      </c>
      <c r="AB7" s="4">
        <f t="shared" si="3"/>
        <v>27468.279575000004</v>
      </c>
      <c r="AC7" s="4">
        <f t="shared" si="3"/>
        <v>30215.107532500006</v>
      </c>
      <c r="AD7" s="4">
        <f t="shared" si="3"/>
        <v>33236.61828575001</v>
      </c>
      <c r="AE7" s="4">
        <f t="shared" ref="AE7:AK7" si="4">AD7*1.03</f>
        <v>34233.716834322513</v>
      </c>
      <c r="AF7" s="4">
        <f t="shared" si="4"/>
        <v>35260.728339352187</v>
      </c>
      <c r="AG7" s="4">
        <f t="shared" si="4"/>
        <v>36318.550189532754</v>
      </c>
      <c r="AH7" s="4">
        <f t="shared" si="4"/>
        <v>37408.106695218739</v>
      </c>
      <c r="AI7" s="4">
        <f t="shared" si="4"/>
        <v>38530.349896075306</v>
      </c>
      <c r="AJ7" s="4">
        <f t="shared" si="4"/>
        <v>39686.260392957563</v>
      </c>
      <c r="AK7" s="4">
        <f t="shared" si="4"/>
        <v>40876.848204746289</v>
      </c>
    </row>
    <row r="8" spans="2:37" s="2" customFormat="1" x14ac:dyDescent="0.2">
      <c r="B8" s="2" t="s">
        <v>26</v>
      </c>
      <c r="C8" s="2">
        <v>764</v>
      </c>
      <c r="D8" s="2">
        <v>543</v>
      </c>
      <c r="E8" s="2">
        <v>620</v>
      </c>
      <c r="F8" s="2">
        <v>708</v>
      </c>
      <c r="G8" s="2">
        <v>924</v>
      </c>
      <c r="H8" s="2">
        <v>656</v>
      </c>
      <c r="I8" s="2">
        <v>707</v>
      </c>
      <c r="J8" s="2">
        <v>796</v>
      </c>
      <c r="K8" s="2">
        <v>1014</v>
      </c>
      <c r="L8" s="2">
        <v>733</v>
      </c>
      <c r="M8" s="2">
        <v>772</v>
      </c>
      <c r="V8" s="2">
        <f>SUM(C8:F8)</f>
        <v>2635</v>
      </c>
      <c r="W8" s="2">
        <f>SUM(G8:J8)</f>
        <v>3083</v>
      </c>
    </row>
    <row r="9" spans="2:37" s="2" customFormat="1" x14ac:dyDescent="0.2">
      <c r="B9" s="2" t="s">
        <v>27</v>
      </c>
      <c r="C9" s="2">
        <v>18</v>
      </c>
      <c r="D9" s="2">
        <v>16</v>
      </c>
      <c r="E9" s="2">
        <v>15</v>
      </c>
      <c r="F9" s="2">
        <v>24</v>
      </c>
      <c r="G9" s="2">
        <v>17</v>
      </c>
      <c r="H9" s="2">
        <v>16</v>
      </c>
      <c r="I9" s="2">
        <v>15</v>
      </c>
      <c r="J9" s="2">
        <v>23</v>
      </c>
      <c r="K9" s="2">
        <v>17</v>
      </c>
      <c r="L9" s="2">
        <v>14</v>
      </c>
      <c r="M9" s="2">
        <v>14</v>
      </c>
      <c r="V9" s="2">
        <f>SUM(C9:F9)</f>
        <v>73</v>
      </c>
      <c r="W9" s="2">
        <f>SUM(G9:J9)</f>
        <v>71</v>
      </c>
    </row>
    <row r="10" spans="2:37" s="2" customFormat="1" x14ac:dyDescent="0.2">
      <c r="B10" s="2" t="s">
        <v>28</v>
      </c>
      <c r="C10" s="2">
        <f t="shared" ref="C10:M10" si="5">SUM(C8:C9)</f>
        <v>782</v>
      </c>
      <c r="D10" s="2">
        <f t="shared" si="5"/>
        <v>559</v>
      </c>
      <c r="E10" s="2">
        <f t="shared" si="5"/>
        <v>635</v>
      </c>
      <c r="F10" s="2">
        <f t="shared" si="5"/>
        <v>732</v>
      </c>
      <c r="G10" s="2">
        <f t="shared" si="5"/>
        <v>941</v>
      </c>
      <c r="H10" s="2">
        <f t="shared" si="5"/>
        <v>672</v>
      </c>
      <c r="I10" s="2">
        <f t="shared" si="5"/>
        <v>722</v>
      </c>
      <c r="J10" s="2">
        <f t="shared" si="5"/>
        <v>819</v>
      </c>
      <c r="K10" s="2">
        <f t="shared" si="5"/>
        <v>1031</v>
      </c>
      <c r="L10" s="2">
        <f t="shared" si="5"/>
        <v>747</v>
      </c>
      <c r="M10" s="2">
        <f t="shared" si="5"/>
        <v>786</v>
      </c>
      <c r="N10" s="2">
        <f>N7-N11</f>
        <v>950</v>
      </c>
      <c r="O10" s="2">
        <f t="shared" ref="O10:R10" si="6">O7-O11</f>
        <v>1665.9299999999994</v>
      </c>
      <c r="P10" s="2">
        <f t="shared" si="6"/>
        <v>768.93599999999969</v>
      </c>
      <c r="Q10" s="2">
        <f t="shared" si="6"/>
        <v>792.8444999999997</v>
      </c>
      <c r="R10" s="2">
        <f t="shared" si="6"/>
        <v>917.69999999999982</v>
      </c>
      <c r="V10" s="2">
        <f>SUM(V8:V9)</f>
        <v>2708</v>
      </c>
      <c r="W10" s="2">
        <f>SUM(W8:W9)</f>
        <v>3154</v>
      </c>
      <c r="X10" s="10">
        <f>SUM(K10:N10)</f>
        <v>3514</v>
      </c>
      <c r="Y10" s="2">
        <f>SUM(O10:R10)</f>
        <v>4145.4104999999981</v>
      </c>
      <c r="Z10" s="2">
        <f>Z7-Z11</f>
        <v>4540.2114999999976</v>
      </c>
      <c r="AA10" s="2">
        <f t="shared" ref="AA10:AK10" si="7">AA7-AA11</f>
        <v>4994.2326499999981</v>
      </c>
      <c r="AB10" s="2">
        <f t="shared" si="7"/>
        <v>5493.6559149999994</v>
      </c>
      <c r="AC10" s="2">
        <f t="shared" si="7"/>
        <v>6043.0215065000011</v>
      </c>
      <c r="AD10" s="2">
        <f t="shared" si="7"/>
        <v>6647.323657150002</v>
      </c>
      <c r="AE10" s="2">
        <f t="shared" si="7"/>
        <v>6846.7433668645026</v>
      </c>
      <c r="AF10" s="2">
        <f t="shared" ref="AF10" si="8">AF7-AF11</f>
        <v>7052.1456678704344</v>
      </c>
      <c r="AG10" s="2">
        <f t="shared" ref="AG10" si="9">AG7-AG11</f>
        <v>7263.7100379065487</v>
      </c>
      <c r="AH10" s="2">
        <f t="shared" ref="AH10" si="10">AH7-AH11</f>
        <v>7481.6213390437479</v>
      </c>
      <c r="AI10" s="2">
        <f t="shared" si="7"/>
        <v>7706.069979215059</v>
      </c>
      <c r="AJ10" s="2">
        <f t="shared" si="7"/>
        <v>7937.2520785915112</v>
      </c>
      <c r="AK10" s="2">
        <f t="shared" si="7"/>
        <v>8175.369640949255</v>
      </c>
    </row>
    <row r="11" spans="2:37" s="2" customFormat="1" x14ac:dyDescent="0.2">
      <c r="B11" s="2" t="s">
        <v>29</v>
      </c>
      <c r="C11" s="2">
        <f t="shared" ref="C11:M11" si="11">C7-C10</f>
        <v>4850</v>
      </c>
      <c r="D11" s="2">
        <f t="shared" si="11"/>
        <v>1855</v>
      </c>
      <c r="E11" s="2">
        <f t="shared" si="11"/>
        <v>1962</v>
      </c>
      <c r="F11" s="2">
        <f t="shared" si="11"/>
        <v>2309</v>
      </c>
      <c r="G11" s="2">
        <f t="shared" si="11"/>
        <v>5077</v>
      </c>
      <c r="H11" s="2">
        <f t="shared" si="11"/>
        <v>2040</v>
      </c>
      <c r="I11" s="2">
        <f t="shared" si="11"/>
        <v>2256</v>
      </c>
      <c r="J11" s="2">
        <f t="shared" si="11"/>
        <v>2567</v>
      </c>
      <c r="K11" s="2">
        <f t="shared" si="11"/>
        <v>5706</v>
      </c>
      <c r="L11" s="2">
        <f t="shared" si="11"/>
        <v>2437</v>
      </c>
      <c r="M11" s="2">
        <f t="shared" si="11"/>
        <v>2497</v>
      </c>
      <c r="N11" s="2">
        <f>N7*0.75</f>
        <v>2850</v>
      </c>
      <c r="O11" s="2">
        <f>O7*0.79</f>
        <v>6267.0700000000006</v>
      </c>
      <c r="P11" s="2">
        <f t="shared" ref="P11:R11" si="12">P7*0.79</f>
        <v>2892.6640000000002</v>
      </c>
      <c r="Q11" s="2">
        <f t="shared" si="12"/>
        <v>2982.6055000000001</v>
      </c>
      <c r="R11" s="2">
        <f t="shared" si="12"/>
        <v>3452.3</v>
      </c>
      <c r="V11" s="2">
        <f>V7-V10</f>
        <v>10976</v>
      </c>
      <c r="W11" s="2">
        <f>W7-W10</f>
        <v>11940</v>
      </c>
      <c r="X11" s="2">
        <f>X7-X10</f>
        <v>13490</v>
      </c>
      <c r="Y11" s="2">
        <f>Y7-Y10</f>
        <v>15594.639500000001</v>
      </c>
      <c r="Z11" s="2">
        <f>Z7*0.8</f>
        <v>18160.846000000001</v>
      </c>
      <c r="AA11" s="2">
        <f t="shared" ref="AA11:AK11" si="13">AA7*0.8</f>
        <v>19976.930600000003</v>
      </c>
      <c r="AB11" s="2">
        <f t="shared" si="13"/>
        <v>21974.623660000005</v>
      </c>
      <c r="AC11" s="2">
        <f t="shared" si="13"/>
        <v>24172.086026000004</v>
      </c>
      <c r="AD11" s="2">
        <f t="shared" si="13"/>
        <v>26589.294628600008</v>
      </c>
      <c r="AE11" s="2">
        <f t="shared" si="13"/>
        <v>27386.97346745801</v>
      </c>
      <c r="AF11" s="2">
        <f t="shared" si="13"/>
        <v>28208.582671481752</v>
      </c>
      <c r="AG11" s="2">
        <f t="shared" si="13"/>
        <v>29054.840151626206</v>
      </c>
      <c r="AH11" s="2">
        <f t="shared" si="13"/>
        <v>29926.485356174991</v>
      </c>
      <c r="AI11" s="2">
        <f t="shared" si="13"/>
        <v>30824.279916860247</v>
      </c>
      <c r="AJ11" s="2">
        <f t="shared" si="13"/>
        <v>31749.008314366052</v>
      </c>
      <c r="AK11" s="2">
        <f t="shared" si="13"/>
        <v>32701.478563797034</v>
      </c>
    </row>
    <row r="12" spans="2:37" s="2" customFormat="1" x14ac:dyDescent="0.2">
      <c r="B12" s="2" t="s">
        <v>30</v>
      </c>
      <c r="C12" s="2">
        <v>1227</v>
      </c>
      <c r="D12" s="2">
        <v>807</v>
      </c>
      <c r="E12" s="2">
        <v>795</v>
      </c>
      <c r="F12" s="2">
        <v>924</v>
      </c>
      <c r="G12" s="2">
        <v>1203</v>
      </c>
      <c r="H12" s="2">
        <v>840</v>
      </c>
      <c r="I12" s="2">
        <v>769</v>
      </c>
      <c r="J12" s="2">
        <v>1020</v>
      </c>
      <c r="K12" s="2">
        <v>1419</v>
      </c>
      <c r="L12" s="2">
        <v>1104</v>
      </c>
      <c r="M12" s="2">
        <v>962</v>
      </c>
      <c r="N12" s="2">
        <f>J12*1.25</f>
        <v>1275</v>
      </c>
      <c r="O12" s="2">
        <f t="shared" ref="O12:R12" si="14">K12*1.25</f>
        <v>1773.75</v>
      </c>
      <c r="P12" s="2">
        <f t="shared" si="14"/>
        <v>1380</v>
      </c>
      <c r="Q12" s="2">
        <f t="shared" si="14"/>
        <v>1202.5</v>
      </c>
      <c r="R12" s="2">
        <f t="shared" si="14"/>
        <v>1593.75</v>
      </c>
      <c r="V12" s="2">
        <f>SUM(C12:F12)</f>
        <v>3753</v>
      </c>
      <c r="W12" s="2">
        <f>SUM(G12:J12)</f>
        <v>3832</v>
      </c>
      <c r="X12" s="10">
        <f t="shared" ref="X12:X15" si="15">SUM(K12:N12)</f>
        <v>4760</v>
      </c>
      <c r="Y12" s="2">
        <f>SUM(O12:R12)</f>
        <v>5950</v>
      </c>
      <c r="Z12" s="2">
        <f>Y12*1.2</f>
        <v>7140</v>
      </c>
      <c r="AA12" s="2">
        <f t="shared" ref="AA12:AB12" si="16">Z12*1.2</f>
        <v>8568</v>
      </c>
      <c r="AB12" s="2">
        <f t="shared" si="16"/>
        <v>10281.6</v>
      </c>
      <c r="AC12" s="2">
        <f>AB12*1.1</f>
        <v>11309.760000000002</v>
      </c>
      <c r="AD12" s="2">
        <f t="shared" ref="AD12:AE12" si="17">AC12*1.1</f>
        <v>12440.736000000003</v>
      </c>
      <c r="AE12" s="2">
        <f t="shared" si="17"/>
        <v>13684.809600000004</v>
      </c>
      <c r="AF12" s="2">
        <f>AE12*1.03</f>
        <v>14095.353888000005</v>
      </c>
      <c r="AG12" s="2">
        <f t="shared" ref="AG12:AK12" si="18">AF12*1.03</f>
        <v>14518.214504640006</v>
      </c>
      <c r="AH12" s="2">
        <f t="shared" si="18"/>
        <v>14953.760939779206</v>
      </c>
      <c r="AI12" s="2">
        <f t="shared" si="18"/>
        <v>15402.373767972582</v>
      </c>
      <c r="AJ12" s="2">
        <f t="shared" si="18"/>
        <v>15864.44498101176</v>
      </c>
      <c r="AK12" s="2">
        <f t="shared" si="18"/>
        <v>16340.378330442114</v>
      </c>
    </row>
    <row r="13" spans="2:37" s="2" customFormat="1" x14ac:dyDescent="0.2">
      <c r="B13" s="2" t="s">
        <v>31</v>
      </c>
      <c r="C13" s="2">
        <v>600</v>
      </c>
      <c r="D13" s="2">
        <v>627</v>
      </c>
      <c r="E13" s="2">
        <v>625</v>
      </c>
      <c r="F13" s="2">
        <v>630</v>
      </c>
      <c r="G13" s="2">
        <v>604</v>
      </c>
      <c r="H13" s="2">
        <v>680</v>
      </c>
      <c r="I13" s="2">
        <v>680</v>
      </c>
      <c r="J13" s="2">
        <v>678</v>
      </c>
      <c r="K13" s="2">
        <v>671</v>
      </c>
      <c r="L13" s="2">
        <v>725</v>
      </c>
      <c r="M13" s="2">
        <v>704</v>
      </c>
      <c r="N13" s="2">
        <f>J13*1.1</f>
        <v>745.80000000000007</v>
      </c>
      <c r="O13" s="2">
        <f t="shared" ref="O13:R13" si="19">K13*1.1</f>
        <v>738.1</v>
      </c>
      <c r="P13" s="2">
        <f t="shared" si="19"/>
        <v>797.50000000000011</v>
      </c>
      <c r="Q13" s="2">
        <f t="shared" si="19"/>
        <v>774.40000000000009</v>
      </c>
      <c r="R13" s="2">
        <f t="shared" si="19"/>
        <v>820.38000000000011</v>
      </c>
      <c r="V13" s="2">
        <f>SUM(C13:F13)</f>
        <v>2482</v>
      </c>
      <c r="W13" s="2">
        <f>SUM(G13:J13)</f>
        <v>2642</v>
      </c>
      <c r="X13" s="10">
        <f t="shared" si="15"/>
        <v>2845.8</v>
      </c>
      <c r="Y13" s="2">
        <f>SUM(O13:R13)</f>
        <v>3130.38</v>
      </c>
      <c r="Z13" s="2">
        <f>Y13*1.1</f>
        <v>3443.4180000000006</v>
      </c>
      <c r="AA13" s="2">
        <f t="shared" ref="AA13:AE13" si="20">Z13*1.1</f>
        <v>3787.7598000000007</v>
      </c>
      <c r="AB13" s="2">
        <f t="shared" si="20"/>
        <v>4166.5357800000011</v>
      </c>
      <c r="AC13" s="2">
        <f t="shared" si="20"/>
        <v>4583.1893580000014</v>
      </c>
      <c r="AD13" s="2">
        <f t="shared" si="20"/>
        <v>5041.5082938000023</v>
      </c>
      <c r="AE13" s="2">
        <f t="shared" si="20"/>
        <v>5545.659123180003</v>
      </c>
      <c r="AF13" s="2">
        <f>AE13*1.03</f>
        <v>5712.028896875403</v>
      </c>
      <c r="AG13" s="2">
        <f t="shared" ref="AG13:AK13" si="21">AF13*1.03</f>
        <v>5883.3897637816654</v>
      </c>
      <c r="AH13" s="2">
        <f t="shared" si="21"/>
        <v>6059.8914566951153</v>
      </c>
      <c r="AI13" s="2">
        <f t="shared" si="21"/>
        <v>6241.688200395969</v>
      </c>
      <c r="AJ13" s="2">
        <f t="shared" si="21"/>
        <v>6428.9388464078484</v>
      </c>
      <c r="AK13" s="2">
        <f t="shared" si="21"/>
        <v>6621.8070118000842</v>
      </c>
    </row>
    <row r="14" spans="2:37" s="2" customFormat="1" x14ac:dyDescent="0.2">
      <c r="B14" s="2" t="s">
        <v>32</v>
      </c>
      <c r="C14" s="2">
        <v>465</v>
      </c>
      <c r="D14" s="2">
        <v>334</v>
      </c>
      <c r="E14" s="2">
        <v>304</v>
      </c>
      <c r="F14" s="2">
        <v>323</v>
      </c>
      <c r="G14" s="2">
        <v>332</v>
      </c>
      <c r="H14" s="2">
        <v>341</v>
      </c>
      <c r="I14" s="2">
        <v>342</v>
      </c>
      <c r="J14" s="2">
        <v>344</v>
      </c>
      <c r="K14" s="2">
        <v>355</v>
      </c>
      <c r="L14" s="2">
        <v>377</v>
      </c>
      <c r="M14" s="2">
        <v>394</v>
      </c>
      <c r="N14" s="2">
        <f>J14*1.15</f>
        <v>395.59999999999997</v>
      </c>
      <c r="O14" s="2">
        <f t="shared" ref="O14" si="22">K14*1.15</f>
        <v>408.24999999999994</v>
      </c>
      <c r="P14" s="2">
        <f t="shared" ref="P14" si="23">L14*1.15</f>
        <v>433.54999999999995</v>
      </c>
      <c r="Q14" s="2">
        <f t="shared" ref="Q14" si="24">M14*1.15</f>
        <v>453.09999999999997</v>
      </c>
      <c r="R14" s="2">
        <f t="shared" ref="R14" si="25">N14*1.15</f>
        <v>454.93999999999994</v>
      </c>
      <c r="V14" s="2">
        <f>SUM(C14:F14)</f>
        <v>1426</v>
      </c>
      <c r="W14" s="2">
        <f>SUM(G14:J14)</f>
        <v>1359</v>
      </c>
      <c r="X14" s="10">
        <f t="shared" si="15"/>
        <v>1521.6</v>
      </c>
      <c r="Y14" s="2">
        <f>SUM(O14:R14)</f>
        <v>1749.8399999999997</v>
      </c>
      <c r="Z14" s="2">
        <f>Y14*1.15</f>
        <v>2012.3159999999996</v>
      </c>
      <c r="AA14" s="2">
        <f t="shared" ref="AA14:AD14" si="26">Z14*1.05</f>
        <v>2112.9317999999998</v>
      </c>
      <c r="AB14" s="2">
        <f t="shared" si="26"/>
        <v>2218.5783900000001</v>
      </c>
      <c r="AC14" s="2">
        <f t="shared" si="26"/>
        <v>2329.5073095000002</v>
      </c>
      <c r="AD14" s="2">
        <f t="shared" ref="AD14:AK14" si="27">AC14*1.05</f>
        <v>2445.9826749750005</v>
      </c>
      <c r="AE14" s="2">
        <f t="shared" si="27"/>
        <v>2568.2818087237506</v>
      </c>
      <c r="AF14" s="2">
        <f>AE14*0.97</f>
        <v>2491.2333544620378</v>
      </c>
      <c r="AG14" s="2">
        <f t="shared" ref="AG14:AK14" si="28">AF14*0.97</f>
        <v>2416.4963538281768</v>
      </c>
      <c r="AH14" s="2">
        <f t="shared" si="28"/>
        <v>2344.0014632133316</v>
      </c>
      <c r="AI14" s="2">
        <f t="shared" si="28"/>
        <v>2273.6814193169316</v>
      </c>
      <c r="AJ14" s="2">
        <f t="shared" si="28"/>
        <v>2205.4709767374238</v>
      </c>
      <c r="AK14" s="2">
        <f t="shared" si="28"/>
        <v>2139.3068474353013</v>
      </c>
    </row>
    <row r="15" spans="2:37" s="2" customFormat="1" x14ac:dyDescent="0.2">
      <c r="B15" s="2" t="s">
        <v>33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223</v>
      </c>
      <c r="M15" s="2">
        <v>9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V15" s="2">
        <f>SUM(C15:F15)</f>
        <v>0</v>
      </c>
      <c r="W15" s="2">
        <f>SUM(G15:J15)</f>
        <v>0</v>
      </c>
      <c r="X15" s="10">
        <f t="shared" si="15"/>
        <v>232</v>
      </c>
      <c r="Y15" s="2">
        <f>SUM(O15:R15)</f>
        <v>0</v>
      </c>
      <c r="Z15" s="2">
        <f t="shared" ref="Z15:AK15" si="29">SUM(P15:S15)</f>
        <v>0</v>
      </c>
      <c r="AA15" s="2">
        <f t="shared" si="29"/>
        <v>0</v>
      </c>
      <c r="AB15" s="2">
        <f t="shared" si="29"/>
        <v>0</v>
      </c>
      <c r="AC15" s="2">
        <f t="shared" si="29"/>
        <v>0</v>
      </c>
      <c r="AD15" s="2">
        <f t="shared" si="29"/>
        <v>0</v>
      </c>
      <c r="AE15" s="2">
        <f t="shared" si="29"/>
        <v>232</v>
      </c>
      <c r="AF15" s="2">
        <f t="shared" si="29"/>
        <v>232</v>
      </c>
      <c r="AG15" s="2">
        <f t="shared" si="29"/>
        <v>232</v>
      </c>
      <c r="AH15" s="2">
        <f t="shared" si="29"/>
        <v>232</v>
      </c>
      <c r="AI15" s="2">
        <f t="shared" si="29"/>
        <v>0</v>
      </c>
      <c r="AJ15" s="2">
        <f t="shared" si="29"/>
        <v>0</v>
      </c>
      <c r="AK15" s="2">
        <f t="shared" si="29"/>
        <v>0</v>
      </c>
    </row>
    <row r="16" spans="2:37" s="2" customFormat="1" x14ac:dyDescent="0.2">
      <c r="B16" s="2" t="s">
        <v>34</v>
      </c>
      <c r="C16" s="2">
        <f t="shared" ref="C16:M16" si="30">SUM(C12:C15)</f>
        <v>2292</v>
      </c>
      <c r="D16" s="2">
        <f t="shared" si="30"/>
        <v>1768</v>
      </c>
      <c r="E16" s="2">
        <f t="shared" si="30"/>
        <v>1724</v>
      </c>
      <c r="F16" s="2">
        <f t="shared" si="30"/>
        <v>1877</v>
      </c>
      <c r="G16" s="2">
        <f t="shared" si="30"/>
        <v>2139</v>
      </c>
      <c r="H16" s="2">
        <f t="shared" si="30"/>
        <v>1861</v>
      </c>
      <c r="I16" s="2">
        <f t="shared" si="30"/>
        <v>1791</v>
      </c>
      <c r="J16" s="2">
        <f t="shared" si="30"/>
        <v>2042</v>
      </c>
      <c r="K16" s="2">
        <f t="shared" si="30"/>
        <v>2445</v>
      </c>
      <c r="L16" s="2">
        <f t="shared" si="30"/>
        <v>2429</v>
      </c>
      <c r="M16" s="2">
        <f t="shared" si="30"/>
        <v>2069</v>
      </c>
      <c r="N16" s="2">
        <f t="shared" ref="N16" si="31">SUM(N12:N15)</f>
        <v>2416.4</v>
      </c>
      <c r="O16" s="2">
        <f t="shared" ref="O16" si="32">SUM(O12:O15)</f>
        <v>2920.1</v>
      </c>
      <c r="P16" s="2">
        <f t="shared" ref="P16" si="33">SUM(P12:P15)</f>
        <v>2611.0500000000002</v>
      </c>
      <c r="Q16" s="2">
        <f t="shared" ref="Q16" si="34">SUM(Q12:Q15)</f>
        <v>2430</v>
      </c>
      <c r="R16" s="2">
        <f t="shared" ref="R16" si="35">SUM(R12:R15)</f>
        <v>2869.07</v>
      </c>
      <c r="V16" s="2">
        <f>SUM(V12:V15)</f>
        <v>7661</v>
      </c>
      <c r="W16" s="2">
        <f>SUM(W12:W15)</f>
        <v>7833</v>
      </c>
      <c r="X16" s="2">
        <f>SUM(X12:X15)</f>
        <v>9359.4</v>
      </c>
      <c r="Y16" s="2">
        <f>SUM(Y12:Y15)</f>
        <v>10830.220000000001</v>
      </c>
      <c r="Z16" s="2">
        <f t="shared" ref="Z16:AK16" si="36">SUM(Z12:Z15)</f>
        <v>12595.734</v>
      </c>
      <c r="AA16" s="2">
        <f t="shared" si="36"/>
        <v>14468.6916</v>
      </c>
      <c r="AB16" s="2">
        <f t="shared" si="36"/>
        <v>16666.714169999999</v>
      </c>
      <c r="AC16" s="2">
        <f t="shared" si="36"/>
        <v>18222.456667500002</v>
      </c>
      <c r="AD16" s="2">
        <f t="shared" si="36"/>
        <v>19928.226968775005</v>
      </c>
      <c r="AE16" s="2">
        <f t="shared" si="36"/>
        <v>22030.750531903755</v>
      </c>
      <c r="AF16" s="2">
        <f t="shared" si="36"/>
        <v>22530.616139337446</v>
      </c>
      <c r="AG16" s="2">
        <f t="shared" si="36"/>
        <v>23050.100622249847</v>
      </c>
      <c r="AH16" s="2">
        <f t="shared" si="36"/>
        <v>23589.653859687653</v>
      </c>
      <c r="AI16" s="2">
        <f t="shared" si="36"/>
        <v>23917.743387685481</v>
      </c>
      <c r="AJ16" s="2">
        <f t="shared" si="36"/>
        <v>24498.854804157032</v>
      </c>
      <c r="AK16" s="2">
        <f t="shared" si="36"/>
        <v>25101.492189677501</v>
      </c>
    </row>
    <row r="17" spans="2:79" s="2" customFormat="1" x14ac:dyDescent="0.2">
      <c r="B17" s="2" t="s">
        <v>35</v>
      </c>
      <c r="C17" s="2">
        <f t="shared" ref="C17:M17" si="37">C11-C16</f>
        <v>2558</v>
      </c>
      <c r="D17" s="2">
        <f t="shared" si="37"/>
        <v>87</v>
      </c>
      <c r="E17" s="2">
        <f t="shared" si="37"/>
        <v>238</v>
      </c>
      <c r="F17" s="2">
        <f t="shared" si="37"/>
        <v>432</v>
      </c>
      <c r="G17" s="2">
        <f t="shared" si="37"/>
        <v>2938</v>
      </c>
      <c r="H17" s="2">
        <f t="shared" si="37"/>
        <v>179</v>
      </c>
      <c r="I17" s="2">
        <f t="shared" si="37"/>
        <v>465</v>
      </c>
      <c r="J17" s="2">
        <f t="shared" si="37"/>
        <v>525</v>
      </c>
      <c r="K17" s="2">
        <f t="shared" si="37"/>
        <v>3261</v>
      </c>
      <c r="L17" s="2">
        <f t="shared" si="37"/>
        <v>8</v>
      </c>
      <c r="M17" s="2">
        <f t="shared" si="37"/>
        <v>428</v>
      </c>
      <c r="N17" s="2">
        <f t="shared" ref="N17" si="38">N11-N16</f>
        <v>433.59999999999991</v>
      </c>
      <c r="O17" s="2">
        <f t="shared" ref="O17" si="39">O11-O16</f>
        <v>3346.9700000000007</v>
      </c>
      <c r="P17" s="2">
        <f t="shared" ref="P17" si="40">P11-P16</f>
        <v>281.61400000000003</v>
      </c>
      <c r="Q17" s="2">
        <f t="shared" ref="Q17" si="41">Q11-Q16</f>
        <v>552.60550000000012</v>
      </c>
      <c r="R17" s="2">
        <f t="shared" ref="R17" si="42">R11-R16</f>
        <v>583.23</v>
      </c>
      <c r="V17" s="2">
        <f>V11-V16</f>
        <v>3315</v>
      </c>
      <c r="W17" s="2">
        <f>W11-W16</f>
        <v>4107</v>
      </c>
      <c r="X17" s="2">
        <f>X11-X16</f>
        <v>4130.6000000000004</v>
      </c>
      <c r="Y17" s="2">
        <f>Y11-Y16</f>
        <v>4764.4195</v>
      </c>
      <c r="Z17" s="2">
        <f t="shared" ref="Z17:AK17" si="43">Z11-Z16</f>
        <v>5565.112000000001</v>
      </c>
      <c r="AA17" s="2">
        <f t="shared" si="43"/>
        <v>5508.2390000000032</v>
      </c>
      <c r="AB17" s="2">
        <f t="shared" si="43"/>
        <v>5307.9094900000055</v>
      </c>
      <c r="AC17" s="2">
        <f t="shared" si="43"/>
        <v>5949.6293585000021</v>
      </c>
      <c r="AD17" s="2">
        <f t="shared" si="43"/>
        <v>6661.0676598250029</v>
      </c>
      <c r="AE17" s="2">
        <f t="shared" si="43"/>
        <v>5356.2229355542549</v>
      </c>
      <c r="AF17" s="2">
        <f t="shared" si="43"/>
        <v>5677.9665321443063</v>
      </c>
      <c r="AG17" s="2">
        <f t="shared" si="43"/>
        <v>6004.7395293763584</v>
      </c>
      <c r="AH17" s="2">
        <f t="shared" si="43"/>
        <v>6336.8314964873389</v>
      </c>
      <c r="AI17" s="2">
        <f t="shared" si="43"/>
        <v>6906.5365291747657</v>
      </c>
      <c r="AJ17" s="2">
        <f t="shared" si="43"/>
        <v>7250.1535102090202</v>
      </c>
      <c r="AK17" s="2">
        <f t="shared" si="43"/>
        <v>7599.9863741195331</v>
      </c>
    </row>
    <row r="18" spans="2:79" s="2" customFormat="1" x14ac:dyDescent="0.2">
      <c r="B18" s="2" t="s">
        <v>36</v>
      </c>
      <c r="C18" s="2">
        <v>-22</v>
      </c>
      <c r="D18" s="2">
        <f>-32+8</f>
        <v>-24</v>
      </c>
      <c r="E18" s="2">
        <v>24</v>
      </c>
      <c r="F18" s="2">
        <f>-65+23</f>
        <v>-42</v>
      </c>
      <c r="G18" s="2">
        <f>-66+22</f>
        <v>-44</v>
      </c>
      <c r="H18" s="2">
        <f>-68+46</f>
        <v>-22</v>
      </c>
      <c r="I18" s="2">
        <f>-65+22</f>
        <v>-43</v>
      </c>
      <c r="J18" s="2">
        <f>-57+42</f>
        <v>-15</v>
      </c>
      <c r="K18" s="2">
        <f>-60+27</f>
        <v>-33</v>
      </c>
      <c r="L18" s="2">
        <f>-60+71</f>
        <v>11</v>
      </c>
      <c r="M18" s="2">
        <f>-60+2</f>
        <v>-58</v>
      </c>
      <c r="N18" s="2">
        <f>M67*($AP$67/4)</f>
        <v>-33.450000000000003</v>
      </c>
      <c r="O18" s="2">
        <f t="shared" ref="O18:R18" si="44">N67*($AP$67/4)</f>
        <v>-29.448500000000003</v>
      </c>
      <c r="P18" s="2">
        <f t="shared" si="44"/>
        <v>3.7267150000000075</v>
      </c>
      <c r="Q18" s="2">
        <f t="shared" si="44"/>
        <v>6.5801221500000082</v>
      </c>
      <c r="R18" s="2">
        <f t="shared" si="44"/>
        <v>12.17197837150001</v>
      </c>
      <c r="V18" s="2">
        <f>SUM(C18:F18)</f>
        <v>-64</v>
      </c>
      <c r="W18" s="2">
        <f>SUM(D18:G18)</f>
        <v>-86</v>
      </c>
      <c r="Y18" s="2">
        <f>SUM(O18:R18)</f>
        <v>-6.9696844784999783</v>
      </c>
      <c r="Z18" s="2">
        <f>Y67*$AP$67</f>
        <v>72.747992620860074</v>
      </c>
      <c r="AA18" s="2">
        <f t="shared" ref="AA18:AK18" si="45">Z67*$AP$67</f>
        <v>298.26239232569452</v>
      </c>
      <c r="AB18" s="2">
        <f t="shared" si="45"/>
        <v>530.52244801872246</v>
      </c>
      <c r="AC18" s="2">
        <f t="shared" si="45"/>
        <v>764.05972553947151</v>
      </c>
      <c r="AD18" s="2">
        <f t="shared" si="45"/>
        <v>1032.6072889010504</v>
      </c>
      <c r="AE18" s="2">
        <f t="shared" si="45"/>
        <v>1340.3542868500926</v>
      </c>
      <c r="AF18" s="2">
        <f t="shared" si="45"/>
        <v>1608.2173757462665</v>
      </c>
      <c r="AG18" s="2">
        <f t="shared" si="45"/>
        <v>1899.6647320618895</v>
      </c>
      <c r="AH18" s="2">
        <f t="shared" si="45"/>
        <v>2215.8409025194192</v>
      </c>
      <c r="AI18" s="2">
        <f t="shared" si="45"/>
        <v>2557.9477984796899</v>
      </c>
      <c r="AJ18" s="2">
        <f t="shared" si="45"/>
        <v>2936.527171585868</v>
      </c>
      <c r="AK18" s="2">
        <f t="shared" si="45"/>
        <v>3343.9943988576633</v>
      </c>
    </row>
    <row r="19" spans="2:79" s="2" customFormat="1" x14ac:dyDescent="0.2">
      <c r="B19" s="2" t="s">
        <v>37</v>
      </c>
      <c r="C19" s="2">
        <f t="shared" ref="C19:M19" si="46">+C17+C18</f>
        <v>2536</v>
      </c>
      <c r="D19" s="2">
        <f t="shared" si="46"/>
        <v>63</v>
      </c>
      <c r="E19" s="2">
        <f t="shared" si="46"/>
        <v>262</v>
      </c>
      <c r="F19" s="2">
        <f t="shared" si="46"/>
        <v>390</v>
      </c>
      <c r="G19" s="2">
        <f t="shared" si="46"/>
        <v>2894</v>
      </c>
      <c r="H19" s="2">
        <f t="shared" si="46"/>
        <v>157</v>
      </c>
      <c r="I19" s="2">
        <f t="shared" si="46"/>
        <v>422</v>
      </c>
      <c r="J19" s="2">
        <f t="shared" si="46"/>
        <v>510</v>
      </c>
      <c r="K19" s="2">
        <f t="shared" si="46"/>
        <v>3228</v>
      </c>
      <c r="L19" s="2">
        <f t="shared" si="46"/>
        <v>19</v>
      </c>
      <c r="M19" s="2">
        <f t="shared" si="46"/>
        <v>370</v>
      </c>
      <c r="N19" s="2">
        <f t="shared" ref="N19" si="47">+N17+N18</f>
        <v>400.14999999999992</v>
      </c>
      <c r="O19" s="2">
        <f t="shared" ref="O19" si="48">+O17+O18</f>
        <v>3317.5215000000007</v>
      </c>
      <c r="P19" s="2">
        <f t="shared" ref="P19" si="49">+P17+P18</f>
        <v>285.34071500000005</v>
      </c>
      <c r="Q19" s="2">
        <f t="shared" ref="Q19" si="50">+Q17+Q18</f>
        <v>559.18562215000009</v>
      </c>
      <c r="R19" s="2">
        <f t="shared" ref="R19" si="51">+R17+R18</f>
        <v>595.40197837150004</v>
      </c>
      <c r="V19" s="2">
        <f>+V17+V18</f>
        <v>3251</v>
      </c>
      <c r="W19" s="2">
        <f>SUM(G19:J19)</f>
        <v>3983</v>
      </c>
      <c r="X19" s="2">
        <f>SUM(H19:K19)</f>
        <v>4317</v>
      </c>
      <c r="Y19" s="2">
        <f>SUM(O19:R19)</f>
        <v>4757.4498155215015</v>
      </c>
      <c r="Z19" s="2">
        <f>Z17+Z18</f>
        <v>5637.8599926208608</v>
      </c>
      <c r="AA19" s="2">
        <f t="shared" ref="AA19:AK19" si="52">AA17+AA18</f>
        <v>5806.5013923256975</v>
      </c>
      <c r="AB19" s="2">
        <f t="shared" si="52"/>
        <v>5838.431938018728</v>
      </c>
      <c r="AC19" s="2">
        <f t="shared" si="52"/>
        <v>6713.6890840394735</v>
      </c>
      <c r="AD19" s="2">
        <f t="shared" si="52"/>
        <v>7693.6749487260531</v>
      </c>
      <c r="AE19" s="2">
        <f t="shared" si="52"/>
        <v>6696.5772224043476</v>
      </c>
      <c r="AF19" s="2">
        <f t="shared" si="52"/>
        <v>7286.1839078905723</v>
      </c>
      <c r="AG19" s="2">
        <f t="shared" si="52"/>
        <v>7904.4042614382479</v>
      </c>
      <c r="AH19" s="2">
        <f t="shared" si="52"/>
        <v>8552.6723990067585</v>
      </c>
      <c r="AI19" s="2">
        <f t="shared" si="52"/>
        <v>9464.4843276544561</v>
      </c>
      <c r="AJ19" s="2">
        <f t="shared" si="52"/>
        <v>10186.680681794889</v>
      </c>
      <c r="AK19" s="2">
        <f t="shared" si="52"/>
        <v>10943.980772977196</v>
      </c>
    </row>
    <row r="20" spans="2:79" s="2" customFormat="1" x14ac:dyDescent="0.2">
      <c r="B20" s="2" t="s">
        <v>38</v>
      </c>
      <c r="C20" s="2">
        <v>579</v>
      </c>
      <c r="D20" s="2">
        <v>-43</v>
      </c>
      <c r="E20" s="2">
        <v>-8</v>
      </c>
      <c r="F20" s="2">
        <v>60</v>
      </c>
      <c r="G20" s="2">
        <v>647</v>
      </c>
      <c r="H20" s="2">
        <v>-94</v>
      </c>
      <c r="I20" s="2">
        <v>23</v>
      </c>
      <c r="J20" s="2">
        <v>1</v>
      </c>
      <c r="K20" s="2">
        <v>683</v>
      </c>
      <c r="L20" s="2">
        <v>-120</v>
      </c>
      <c r="M20" s="2">
        <v>16</v>
      </c>
      <c r="N20" s="2">
        <f>N19*0.2</f>
        <v>80.029999999999987</v>
      </c>
      <c r="O20" s="2">
        <f t="shared" ref="O20:R20" si="53">O19*0.2</f>
        <v>663.50430000000017</v>
      </c>
      <c r="P20" s="2">
        <f t="shared" si="53"/>
        <v>57.068143000000013</v>
      </c>
      <c r="Q20" s="2">
        <f t="shared" si="53"/>
        <v>111.83712443000002</v>
      </c>
      <c r="R20" s="2">
        <f t="shared" si="53"/>
        <v>119.08039567430001</v>
      </c>
      <c r="V20" s="2">
        <f>SUM(C20:F20)</f>
        <v>588</v>
      </c>
      <c r="W20" s="2">
        <f>SUM(G20:J20)</f>
        <v>577</v>
      </c>
      <c r="X20" s="10">
        <f t="shared" ref="X20" si="54">SUM(K20:N20)</f>
        <v>659.03</v>
      </c>
      <c r="Y20" s="2">
        <f>SUM(O20:R20)</f>
        <v>951.48996310430016</v>
      </c>
      <c r="Z20" s="2">
        <f>Z19*0.2</f>
        <v>1127.5719985241722</v>
      </c>
      <c r="AA20" s="2">
        <f t="shared" ref="AA20:AK20" si="55">AA19*0.2</f>
        <v>1161.3002784651396</v>
      </c>
      <c r="AB20" s="2">
        <f t="shared" si="55"/>
        <v>1167.6863876037457</v>
      </c>
      <c r="AC20" s="2">
        <f t="shared" si="55"/>
        <v>1342.7378168078949</v>
      </c>
      <c r="AD20" s="2">
        <f t="shared" si="55"/>
        <v>1538.7349897452107</v>
      </c>
      <c r="AE20" s="2">
        <f t="shared" si="55"/>
        <v>1339.3154444808697</v>
      </c>
      <c r="AF20" s="2">
        <f t="shared" si="55"/>
        <v>1457.2367815781145</v>
      </c>
      <c r="AG20" s="2">
        <f t="shared" si="55"/>
        <v>1580.8808522876498</v>
      </c>
      <c r="AH20" s="2">
        <f t="shared" si="55"/>
        <v>1710.5344798013518</v>
      </c>
      <c r="AI20" s="2">
        <f t="shared" si="55"/>
        <v>1892.8968655308913</v>
      </c>
      <c r="AJ20" s="2">
        <f t="shared" si="55"/>
        <v>2037.3361363589779</v>
      </c>
      <c r="AK20" s="2">
        <f t="shared" si="55"/>
        <v>2188.7961545954395</v>
      </c>
    </row>
    <row r="21" spans="2:79" s="2" customFormat="1" x14ac:dyDescent="0.2">
      <c r="B21" s="2" t="s">
        <v>39</v>
      </c>
      <c r="C21" s="2">
        <f t="shared" ref="C21:M21" si="56">C19-C20</f>
        <v>1957</v>
      </c>
      <c r="D21" s="2">
        <f t="shared" si="56"/>
        <v>106</v>
      </c>
      <c r="E21" s="2">
        <f t="shared" si="56"/>
        <v>270</v>
      </c>
      <c r="F21" s="2">
        <f t="shared" si="56"/>
        <v>330</v>
      </c>
      <c r="G21" s="2">
        <f t="shared" si="56"/>
        <v>2247</v>
      </c>
      <c r="H21" s="2">
        <f t="shared" si="56"/>
        <v>251</v>
      </c>
      <c r="I21" s="2">
        <f t="shared" si="56"/>
        <v>399</v>
      </c>
      <c r="J21" s="2">
        <f t="shared" si="56"/>
        <v>509</v>
      </c>
      <c r="K21" s="2">
        <f t="shared" si="56"/>
        <v>2545</v>
      </c>
      <c r="L21" s="2">
        <f t="shared" si="56"/>
        <v>139</v>
      </c>
      <c r="M21" s="2">
        <f t="shared" si="56"/>
        <v>354</v>
      </c>
      <c r="N21" s="2">
        <f t="shared" ref="N21" si="57">N19-N20</f>
        <v>320.11999999999995</v>
      </c>
      <c r="O21" s="2">
        <f t="shared" ref="O21" si="58">O19-O20</f>
        <v>2654.0172000000007</v>
      </c>
      <c r="P21" s="2">
        <f t="shared" ref="P21" si="59">P19-P20</f>
        <v>228.27257200000003</v>
      </c>
      <c r="Q21" s="2">
        <f t="shared" ref="Q21:R21" si="60">Q19-Q20</f>
        <v>447.34849772000007</v>
      </c>
      <c r="R21" s="2">
        <f t="shared" si="60"/>
        <v>476.32158269720003</v>
      </c>
      <c r="V21" s="2">
        <f>V19-V20</f>
        <v>2663</v>
      </c>
      <c r="W21" s="2">
        <f>W19-W20</f>
        <v>3406</v>
      </c>
      <c r="X21" s="2">
        <f>X19-X20</f>
        <v>3657.9700000000003</v>
      </c>
      <c r="Y21" s="2">
        <f>Y19-Y20</f>
        <v>3805.9598524172015</v>
      </c>
      <c r="Z21" s="2">
        <f t="shared" ref="Z21:AK21" si="61">Z19-Z20</f>
        <v>4510.2879940966886</v>
      </c>
      <c r="AA21" s="2">
        <f t="shared" si="61"/>
        <v>4645.2011138605576</v>
      </c>
      <c r="AB21" s="2">
        <f t="shared" si="61"/>
        <v>4670.7455504149821</v>
      </c>
      <c r="AC21" s="2">
        <f t="shared" si="61"/>
        <v>5370.9512672315786</v>
      </c>
      <c r="AD21" s="2">
        <f t="shared" si="61"/>
        <v>6154.9399589808427</v>
      </c>
      <c r="AE21" s="2">
        <f t="shared" si="61"/>
        <v>5357.2617779234779</v>
      </c>
      <c r="AF21" s="2">
        <f t="shared" si="61"/>
        <v>5828.9471263124578</v>
      </c>
      <c r="AG21" s="2">
        <f t="shared" si="61"/>
        <v>6323.5234091505981</v>
      </c>
      <c r="AH21" s="2">
        <f t="shared" si="61"/>
        <v>6842.1379192054064</v>
      </c>
      <c r="AI21" s="2">
        <f t="shared" si="61"/>
        <v>7571.5874621235653</v>
      </c>
      <c r="AJ21" s="2">
        <f t="shared" si="61"/>
        <v>8149.3445454359116</v>
      </c>
      <c r="AK21" s="2">
        <f t="shared" si="61"/>
        <v>8755.1846183817579</v>
      </c>
      <c r="AL21" s="2">
        <f>AK21*(1+$AP$68)</f>
        <v>8580.0809260141232</v>
      </c>
      <c r="AM21" s="2">
        <f t="shared" ref="AM21:CA21" si="62">AL21*(1+$AP$68)</f>
        <v>8408.4793074938407</v>
      </c>
      <c r="AN21" s="2">
        <f t="shared" si="62"/>
        <v>8240.3097213439632</v>
      </c>
      <c r="AO21" s="2">
        <f t="shared" si="62"/>
        <v>8075.5035269170839</v>
      </c>
      <c r="AP21" s="2">
        <f t="shared" si="62"/>
        <v>7913.9934563787419</v>
      </c>
      <c r="AQ21" s="2">
        <f t="shared" si="62"/>
        <v>7755.7135872511672</v>
      </c>
      <c r="AR21" s="2">
        <f t="shared" si="62"/>
        <v>7600.5993155061433</v>
      </c>
      <c r="AS21" s="2">
        <f t="shared" si="62"/>
        <v>7448.5873291960206</v>
      </c>
      <c r="AT21" s="2">
        <f t="shared" si="62"/>
        <v>7299.6155826121003</v>
      </c>
      <c r="AU21" s="2">
        <f t="shared" si="62"/>
        <v>7153.623270959858</v>
      </c>
      <c r="AV21" s="2">
        <f t="shared" si="62"/>
        <v>7010.5508055406608</v>
      </c>
      <c r="AW21" s="2">
        <f t="shared" si="62"/>
        <v>6870.3397894298478</v>
      </c>
      <c r="AX21" s="2">
        <f t="shared" si="62"/>
        <v>6732.9329936412505</v>
      </c>
      <c r="AY21" s="2">
        <f t="shared" si="62"/>
        <v>6598.2743337684251</v>
      </c>
      <c r="AZ21" s="2">
        <f t="shared" si="62"/>
        <v>6466.3088470930561</v>
      </c>
      <c r="BA21" s="2">
        <f t="shared" si="62"/>
        <v>6336.9826701511947</v>
      </c>
      <c r="BB21" s="2">
        <f t="shared" si="62"/>
        <v>6210.2430167481707</v>
      </c>
      <c r="BC21" s="2">
        <f t="shared" si="62"/>
        <v>6086.0381564132076</v>
      </c>
      <c r="BD21" s="2">
        <f t="shared" si="62"/>
        <v>5964.3173932849431</v>
      </c>
      <c r="BE21" s="2">
        <f t="shared" si="62"/>
        <v>5845.031045419244</v>
      </c>
      <c r="BF21" s="2">
        <f t="shared" si="62"/>
        <v>5728.1304245108595</v>
      </c>
      <c r="BG21" s="2">
        <f t="shared" si="62"/>
        <v>5613.5678160206426</v>
      </c>
      <c r="BH21" s="2">
        <f t="shared" si="62"/>
        <v>5501.2964597002292</v>
      </c>
      <c r="BI21" s="2">
        <f t="shared" si="62"/>
        <v>5391.2705305062245</v>
      </c>
      <c r="BJ21" s="2">
        <f t="shared" si="62"/>
        <v>5283.4451198960996</v>
      </c>
      <c r="BK21" s="2">
        <f t="shared" si="62"/>
        <v>5177.7762174981772</v>
      </c>
      <c r="BL21" s="2">
        <f t="shared" si="62"/>
        <v>5074.2206931482133</v>
      </c>
      <c r="BM21" s="2">
        <f t="shared" si="62"/>
        <v>4972.7362792852491</v>
      </c>
      <c r="BN21" s="2">
        <f t="shared" si="62"/>
        <v>4873.281553699544</v>
      </c>
      <c r="BO21" s="2">
        <f t="shared" si="62"/>
        <v>4775.815922625553</v>
      </c>
      <c r="BP21" s="2">
        <f t="shared" si="62"/>
        <v>4680.2996041730421</v>
      </c>
      <c r="BQ21" s="2">
        <f t="shared" si="62"/>
        <v>4586.6936120895816</v>
      </c>
      <c r="BR21" s="2">
        <f t="shared" si="62"/>
        <v>4494.9597398477899</v>
      </c>
      <c r="BS21" s="2">
        <f t="shared" si="62"/>
        <v>4405.0605450508338</v>
      </c>
      <c r="BT21" s="2">
        <f t="shared" si="62"/>
        <v>4316.9593341498166</v>
      </c>
      <c r="BU21" s="2">
        <f t="shared" si="62"/>
        <v>4230.6201474668205</v>
      </c>
      <c r="BV21" s="2">
        <f t="shared" si="62"/>
        <v>4146.0077445174838</v>
      </c>
      <c r="BW21" s="2">
        <f t="shared" si="62"/>
        <v>4063.0875896271341</v>
      </c>
      <c r="BX21" s="2">
        <f t="shared" si="62"/>
        <v>3981.8258378345913</v>
      </c>
      <c r="BY21" s="2">
        <f t="shared" si="62"/>
        <v>3902.1893210778994</v>
      </c>
      <c r="BZ21" s="2">
        <f t="shared" si="62"/>
        <v>3824.1455346563412</v>
      </c>
      <c r="CA21" s="2">
        <f t="shared" si="62"/>
        <v>3747.6626239632142</v>
      </c>
    </row>
    <row r="22" spans="2:79" x14ac:dyDescent="0.2">
      <c r="B22" s="2" t="s">
        <v>1</v>
      </c>
      <c r="C22">
        <v>284</v>
      </c>
      <c r="D22">
        <v>282</v>
      </c>
      <c r="E22">
        <v>284</v>
      </c>
      <c r="F22">
        <v>282</v>
      </c>
      <c r="G22">
        <v>281</v>
      </c>
      <c r="H22">
        <v>280</v>
      </c>
      <c r="I22">
        <v>283</v>
      </c>
      <c r="J22">
        <v>284</v>
      </c>
      <c r="K22">
        <v>284</v>
      </c>
      <c r="L22">
        <v>280</v>
      </c>
      <c r="M22">
        <v>283</v>
      </c>
      <c r="N22">
        <v>283</v>
      </c>
      <c r="V22">
        <f>AVERAGE(C22:F22)</f>
        <v>283</v>
      </c>
      <c r="W22" s="2">
        <f>AVERAGE(G22:J22)</f>
        <v>282</v>
      </c>
      <c r="X22">
        <v>283</v>
      </c>
    </row>
    <row r="23" spans="2:79" s="5" customFormat="1" x14ac:dyDescent="0.2">
      <c r="B23" s="5" t="s">
        <v>40</v>
      </c>
      <c r="C23" s="5">
        <f t="shared" ref="C23:M23" si="63">C21/C22</f>
        <v>6.890845070422535</v>
      </c>
      <c r="D23" s="5">
        <f t="shared" si="63"/>
        <v>0.37588652482269502</v>
      </c>
      <c r="E23" s="5">
        <f t="shared" si="63"/>
        <v>0.95070422535211263</v>
      </c>
      <c r="F23" s="5">
        <f t="shared" si="63"/>
        <v>1.1702127659574468</v>
      </c>
      <c r="G23" s="5">
        <f t="shared" si="63"/>
        <v>7.9964412811387904</v>
      </c>
      <c r="H23" s="5">
        <f t="shared" si="63"/>
        <v>0.89642857142857146</v>
      </c>
      <c r="I23" s="5">
        <f t="shared" si="63"/>
        <v>1.4098939929328622</v>
      </c>
      <c r="J23" s="5">
        <f t="shared" si="63"/>
        <v>1.7922535211267605</v>
      </c>
      <c r="K23" s="5">
        <f t="shared" si="63"/>
        <v>8.9612676056338021</v>
      </c>
      <c r="L23" s="5">
        <f t="shared" si="63"/>
        <v>0.49642857142857144</v>
      </c>
      <c r="M23" s="5">
        <f t="shared" si="63"/>
        <v>1.2508833922261484</v>
      </c>
      <c r="V23" s="5">
        <f>V21/V22</f>
        <v>9.4098939929328616</v>
      </c>
      <c r="W23" s="5">
        <f>W21/W22</f>
        <v>12.078014184397164</v>
      </c>
      <c r="X23" s="5">
        <f>X21/X22</f>
        <v>12.925689045936396</v>
      </c>
    </row>
    <row r="26" spans="2:79" x14ac:dyDescent="0.2">
      <c r="B26" t="s">
        <v>122</v>
      </c>
    </row>
    <row r="27" spans="2:79" x14ac:dyDescent="0.2">
      <c r="B27" t="s">
        <v>123</v>
      </c>
    </row>
    <row r="28" spans="2:79" x14ac:dyDescent="0.2">
      <c r="B28" t="s">
        <v>126</v>
      </c>
      <c r="D28">
        <v>159.26</v>
      </c>
      <c r="H28">
        <v>171.9</v>
      </c>
      <c r="L28">
        <v>161.5</v>
      </c>
    </row>
    <row r="29" spans="2:79" x14ac:dyDescent="0.2">
      <c r="B29" t="s">
        <v>125</v>
      </c>
      <c r="D29">
        <f>D97</f>
        <v>42.7</v>
      </c>
      <c r="H29">
        <f>H97</f>
        <v>40.5</v>
      </c>
      <c r="L29">
        <f>L97</f>
        <v>39.9</v>
      </c>
    </row>
    <row r="30" spans="2:79" s="7" customFormat="1" x14ac:dyDescent="0.2">
      <c r="B30" s="7" t="s">
        <v>127</v>
      </c>
      <c r="D30" s="7">
        <f>D29/D28</f>
        <v>0.26811503202310688</v>
      </c>
      <c r="H30" s="7">
        <f>H29/H28</f>
        <v>0.2356020942408377</v>
      </c>
      <c r="L30" s="7">
        <f>L29/L28</f>
        <v>0.24705882352941175</v>
      </c>
    </row>
    <row r="31" spans="2:79" s="7" customFormat="1" x14ac:dyDescent="0.2">
      <c r="B31" s="7" t="s">
        <v>128</v>
      </c>
      <c r="D31" s="1">
        <f>D36/D29</f>
        <v>91.686182669789218</v>
      </c>
      <c r="H31" s="1">
        <f>H36/H29</f>
        <v>102.09876543209876</v>
      </c>
      <c r="L31" s="1">
        <f>L36/L29</f>
        <v>111.40350877192982</v>
      </c>
    </row>
    <row r="32" spans="2:79" s="7" customFormat="1" x14ac:dyDescent="0.2">
      <c r="B32" s="7" t="s">
        <v>129</v>
      </c>
      <c r="H32" s="7">
        <f>H31/D31-1</f>
        <v>0.11356763319300578</v>
      </c>
      <c r="L32" s="7">
        <f>L31/H31-1</f>
        <v>9.1134729205116782E-2</v>
      </c>
    </row>
    <row r="33" spans="2:24" s="7" customFormat="1" x14ac:dyDescent="0.2"/>
    <row r="34" spans="2:24" x14ac:dyDescent="0.2">
      <c r="B34" t="s">
        <v>124</v>
      </c>
    </row>
    <row r="35" spans="2:24" x14ac:dyDescent="0.2">
      <c r="B35" t="s">
        <v>113</v>
      </c>
      <c r="D35">
        <v>6460</v>
      </c>
      <c r="H35">
        <v>8038</v>
      </c>
      <c r="L35">
        <v>9533</v>
      </c>
      <c r="V35" s="2">
        <f>SUM(C35:F35)</f>
        <v>6460</v>
      </c>
      <c r="W35" s="2">
        <f>SUM(G35:J35)</f>
        <v>8038</v>
      </c>
      <c r="X35" s="10">
        <f t="shared" ref="X35:X36" si="64">SUM(K35:N35)</f>
        <v>9533</v>
      </c>
    </row>
    <row r="36" spans="2:24" x14ac:dyDescent="0.2">
      <c r="B36" t="s">
        <v>109</v>
      </c>
      <c r="D36">
        <v>3915</v>
      </c>
      <c r="H36">
        <v>4135</v>
      </c>
      <c r="L36">
        <v>4445</v>
      </c>
      <c r="V36" s="2">
        <f>SUM(C36:F36)</f>
        <v>3915</v>
      </c>
      <c r="W36" s="2">
        <f>SUM(G36:J36)</f>
        <v>4135</v>
      </c>
      <c r="X36" s="10">
        <f t="shared" si="64"/>
        <v>4445</v>
      </c>
    </row>
    <row r="37" spans="2:24" x14ac:dyDescent="0.2">
      <c r="B37" t="s">
        <v>111</v>
      </c>
      <c r="D37">
        <v>1805</v>
      </c>
      <c r="H37">
        <v>1634</v>
      </c>
      <c r="L37">
        <v>1708</v>
      </c>
      <c r="V37" s="2"/>
      <c r="W37" s="2"/>
      <c r="X37" s="10"/>
    </row>
    <row r="38" spans="2:24" x14ac:dyDescent="0.2">
      <c r="V38" s="2"/>
      <c r="W38" s="2"/>
      <c r="X38" s="10"/>
    </row>
    <row r="39" spans="2:24" s="7" customFormat="1" x14ac:dyDescent="0.2">
      <c r="B39" s="7" t="s">
        <v>119</v>
      </c>
      <c r="H39" s="7">
        <f>H35/SUM($E$7:$H$7)</f>
        <v>0.55943763919821832</v>
      </c>
      <c r="L39" s="7">
        <f>L35/SUM($I$7:$L$7)</f>
        <v>0.58538532391771569</v>
      </c>
      <c r="X39" s="11"/>
    </row>
    <row r="40" spans="2:24" s="7" customFormat="1" x14ac:dyDescent="0.2">
      <c r="B40" s="7" t="s">
        <v>120</v>
      </c>
      <c r="H40" s="7">
        <f>H36/SUM($E$7:$H$7)</f>
        <v>0.28779231625835189</v>
      </c>
      <c r="L40" s="7">
        <f>L36/SUM($I$7:$L$7)</f>
        <v>0.27295056800736872</v>
      </c>
      <c r="X40" s="11"/>
    </row>
    <row r="41" spans="2:24" s="7" customFormat="1" x14ac:dyDescent="0.2">
      <c r="B41" s="7" t="s">
        <v>121</v>
      </c>
      <c r="H41" s="7">
        <f>H37/SUM($E$7:$H$7)</f>
        <v>0.1137249443207127</v>
      </c>
      <c r="L41" s="7">
        <f>L37/SUM($I$7:$L$7)</f>
        <v>0.10488179306109917</v>
      </c>
      <c r="X41" s="11"/>
    </row>
    <row r="42" spans="2:24" x14ac:dyDescent="0.2">
      <c r="V42" s="2"/>
      <c r="W42" s="2"/>
      <c r="X42" s="10"/>
    </row>
    <row r="43" spans="2:24" x14ac:dyDescent="0.2">
      <c r="B43" t="s">
        <v>114</v>
      </c>
      <c r="H43" t="s">
        <v>117</v>
      </c>
      <c r="L43">
        <v>125</v>
      </c>
      <c r="V43" s="2"/>
      <c r="W43" s="2"/>
      <c r="X43" s="10"/>
    </row>
    <row r="44" spans="2:24" x14ac:dyDescent="0.2">
      <c r="B44" t="s">
        <v>116</v>
      </c>
      <c r="L44">
        <v>203</v>
      </c>
      <c r="V44" s="2"/>
      <c r="W44" s="2"/>
      <c r="X44" s="10"/>
    </row>
    <row r="45" spans="2:24" x14ac:dyDescent="0.2">
      <c r="B45" t="s">
        <v>115</v>
      </c>
      <c r="L45">
        <v>211</v>
      </c>
      <c r="V45" s="2"/>
      <c r="W45" s="2"/>
      <c r="X45" s="10"/>
    </row>
    <row r="46" spans="2:24" x14ac:dyDescent="0.2">
      <c r="V46" s="2"/>
      <c r="W46" s="2"/>
      <c r="X46" s="10"/>
    </row>
    <row r="47" spans="2:24" x14ac:dyDescent="0.2">
      <c r="B47" t="s">
        <v>130</v>
      </c>
      <c r="L47" s="7">
        <f>0.3*0.05</f>
        <v>1.4999999999999999E-2</v>
      </c>
      <c r="V47" s="2"/>
      <c r="W47" s="2"/>
      <c r="X47" s="10"/>
    </row>
    <row r="48" spans="2:24" x14ac:dyDescent="0.2">
      <c r="B48" t="s">
        <v>131</v>
      </c>
      <c r="L48" s="7">
        <f>0.15*0.6</f>
        <v>0.09</v>
      </c>
      <c r="V48" s="2"/>
      <c r="W48" s="2"/>
      <c r="X48" s="10"/>
    </row>
    <row r="49" spans="2:37" x14ac:dyDescent="0.2">
      <c r="B49" t="s">
        <v>132</v>
      </c>
      <c r="L49" s="7">
        <f>0.05*0.1</f>
        <v>5.000000000000001E-3</v>
      </c>
      <c r="V49" s="2"/>
      <c r="W49" s="2"/>
      <c r="X49" s="10"/>
    </row>
    <row r="50" spans="2:37" x14ac:dyDescent="0.2">
      <c r="V50" s="2"/>
      <c r="W50" s="2"/>
      <c r="X50" s="10"/>
    </row>
    <row r="51" spans="2:37" x14ac:dyDescent="0.2">
      <c r="B51" t="s">
        <v>118</v>
      </c>
      <c r="H51" s="7">
        <f>H35/D35-1</f>
        <v>0.2442724458204335</v>
      </c>
      <c r="L51" s="7">
        <f>L35/H35-1</f>
        <v>0.18599154018412545</v>
      </c>
      <c r="V51" s="2"/>
      <c r="W51" s="2"/>
      <c r="X51" s="10"/>
    </row>
    <row r="52" spans="2:37" x14ac:dyDescent="0.2">
      <c r="B52" t="s">
        <v>110</v>
      </c>
      <c r="D52" s="7"/>
      <c r="H52" s="7">
        <f>H36/D36-1</f>
        <v>5.6194125159642505E-2</v>
      </c>
      <c r="L52" s="7">
        <f>L36/H36-1</f>
        <v>7.4969770253929813E-2</v>
      </c>
      <c r="V52" s="2"/>
      <c r="W52" s="2"/>
      <c r="X52" s="10"/>
    </row>
    <row r="53" spans="2:37" s="7" customFormat="1" x14ac:dyDescent="0.2">
      <c r="B53" s="7" t="s">
        <v>112</v>
      </c>
      <c r="H53" s="7">
        <f>H37/D37-1</f>
        <v>-9.4736842105263119E-2</v>
      </c>
      <c r="L53" s="7">
        <f>L37/H37-1</f>
        <v>4.5287637698898431E-2</v>
      </c>
      <c r="X53" s="11"/>
    </row>
    <row r="54" spans="2:37" x14ac:dyDescent="0.2">
      <c r="W54" s="7"/>
      <c r="X54" s="7"/>
    </row>
    <row r="56" spans="2:37" s="7" customFormat="1" x14ac:dyDescent="0.2">
      <c r="B56" s="7" t="s">
        <v>73</v>
      </c>
      <c r="G56" s="7">
        <f t="shared" ref="G56:L56" si="65">G7/C7-1</f>
        <v>6.8536931818181879E-2</v>
      </c>
      <c r="H56" s="7">
        <f t="shared" si="65"/>
        <v>0.12344656172328095</v>
      </c>
      <c r="I56" s="7">
        <f t="shared" si="65"/>
        <v>0.14670773969965345</v>
      </c>
      <c r="J56" s="7">
        <f t="shared" si="65"/>
        <v>0.11344952318316337</v>
      </c>
      <c r="K56" s="7">
        <f t="shared" si="65"/>
        <v>0.11947490860751087</v>
      </c>
      <c r="L56" s="7">
        <f t="shared" si="65"/>
        <v>0.17404129793510315</v>
      </c>
      <c r="M56" s="7">
        <f>M7/I7-1</f>
        <v>0.10241773002014765</v>
      </c>
      <c r="N56" s="7">
        <f>N7/J7-1</f>
        <v>0.12226816302421728</v>
      </c>
      <c r="O56" s="7">
        <f t="shared" ref="O56:R56" si="66">O7/K7-1</f>
        <v>0.17752708920884674</v>
      </c>
      <c r="P56" s="7">
        <f t="shared" si="66"/>
        <v>0.14999999999999991</v>
      </c>
      <c r="Q56" s="7">
        <f t="shared" si="66"/>
        <v>0.14999999999999991</v>
      </c>
      <c r="R56" s="7">
        <f t="shared" si="66"/>
        <v>0.14999999999999991</v>
      </c>
      <c r="W56" s="7">
        <f>W7/V7-1</f>
        <v>0.10304004676995038</v>
      </c>
      <c r="X56" s="7">
        <f>X7/W7-1</f>
        <v>0.12654034715781104</v>
      </c>
      <c r="Y56" s="7">
        <f>Y7/X7-1</f>
        <v>0.16090625735121145</v>
      </c>
      <c r="Z56" s="7">
        <f t="shared" ref="Z56:AK56" si="67">Z7/Y7-1</f>
        <v>0.14999999999999991</v>
      </c>
      <c r="AA56" s="7">
        <f t="shared" si="67"/>
        <v>0.10000000000000009</v>
      </c>
      <c r="AB56" s="7">
        <f t="shared" si="67"/>
        <v>0.10000000000000009</v>
      </c>
      <c r="AC56" s="7">
        <f t="shared" si="67"/>
        <v>0.10000000000000009</v>
      </c>
      <c r="AD56" s="7">
        <f t="shared" si="67"/>
        <v>0.10000000000000009</v>
      </c>
      <c r="AE56" s="7">
        <f t="shared" si="67"/>
        <v>3.0000000000000027E-2</v>
      </c>
      <c r="AF56" s="7">
        <f t="shared" si="67"/>
        <v>3.0000000000000027E-2</v>
      </c>
      <c r="AG56" s="7">
        <f t="shared" si="67"/>
        <v>3.0000000000000027E-2</v>
      </c>
      <c r="AH56" s="7">
        <f t="shared" si="67"/>
        <v>3.0000000000000027E-2</v>
      </c>
      <c r="AI56" s="7">
        <f t="shared" si="67"/>
        <v>3.0000000000000027E-2</v>
      </c>
      <c r="AJ56" s="7">
        <f t="shared" si="67"/>
        <v>3.0000000000000027E-2</v>
      </c>
      <c r="AK56" s="7">
        <f t="shared" si="67"/>
        <v>3.0000000000000027E-2</v>
      </c>
    </row>
    <row r="57" spans="2:37" s="7" customFormat="1" x14ac:dyDescent="0.2">
      <c r="B57" s="7" t="s">
        <v>74</v>
      </c>
      <c r="G57" s="7">
        <f>G12/C12-1</f>
        <v>-1.9559902200488977E-2</v>
      </c>
      <c r="H57" s="7">
        <f>H12/D12-1</f>
        <v>4.0892193308550207E-2</v>
      </c>
      <c r="I57" s="7">
        <f>I12/E12-1</f>
        <v>-3.2704402515723263E-2</v>
      </c>
      <c r="J57" s="7">
        <f>J12/F12-1</f>
        <v>0.10389610389610393</v>
      </c>
      <c r="K57" s="7">
        <f>K12/G12-1</f>
        <v>0.17955112219451363</v>
      </c>
      <c r="L57" s="7">
        <f>L12/H12-1</f>
        <v>0.31428571428571428</v>
      </c>
      <c r="M57" s="7">
        <f>M12/I12-1</f>
        <v>0.2509752925877764</v>
      </c>
      <c r="N57" s="7">
        <f>N12/J12-1</f>
        <v>0.25</v>
      </c>
      <c r="O57" s="7">
        <f>O12/K12-1</f>
        <v>0.25</v>
      </c>
      <c r="P57" s="7">
        <f>P12/L12-1</f>
        <v>0.25</v>
      </c>
      <c r="Q57" s="7">
        <f>Q12/M12-1</f>
        <v>0.25</v>
      </c>
      <c r="R57" s="7">
        <f>R12/N12-1</f>
        <v>0.25</v>
      </c>
      <c r="W57" s="7">
        <f>W12/V12-1</f>
        <v>2.1049826805222382E-2</v>
      </c>
      <c r="X57" s="7">
        <f>X12/W12-1</f>
        <v>0.24217118997912324</v>
      </c>
      <c r="Y57" s="7">
        <f>Y12/X12-1</f>
        <v>0.25</v>
      </c>
      <c r="Z57" s="7">
        <f t="shared" ref="Z57:AK57" si="68">Z12/Y12-1</f>
        <v>0.19999999999999996</v>
      </c>
      <c r="AA57" s="7">
        <f t="shared" si="68"/>
        <v>0.19999999999999996</v>
      </c>
      <c r="AB57" s="7">
        <f t="shared" si="68"/>
        <v>0.19999999999999996</v>
      </c>
      <c r="AC57" s="7">
        <f t="shared" si="68"/>
        <v>0.10000000000000009</v>
      </c>
      <c r="AD57" s="7">
        <f t="shared" si="68"/>
        <v>0.10000000000000009</v>
      </c>
      <c r="AE57" s="7">
        <f t="shared" si="68"/>
        <v>0.10000000000000009</v>
      </c>
      <c r="AF57" s="7">
        <f t="shared" si="68"/>
        <v>3.0000000000000027E-2</v>
      </c>
      <c r="AG57" s="7">
        <f t="shared" si="68"/>
        <v>3.0000000000000027E-2</v>
      </c>
      <c r="AH57" s="7">
        <f t="shared" si="68"/>
        <v>3.0000000000000027E-2</v>
      </c>
      <c r="AI57" s="7">
        <f t="shared" si="68"/>
        <v>3.0000000000000027E-2</v>
      </c>
      <c r="AJ57" s="7">
        <f t="shared" si="68"/>
        <v>3.0000000000000027E-2</v>
      </c>
      <c r="AK57" s="7">
        <f t="shared" si="68"/>
        <v>3.0000000000000027E-2</v>
      </c>
    </row>
    <row r="58" spans="2:37" s="7" customFormat="1" x14ac:dyDescent="0.2">
      <c r="B58" s="7" t="s">
        <v>75</v>
      </c>
      <c r="G58" s="7">
        <f>G13/C13-1</f>
        <v>6.6666666666665986E-3</v>
      </c>
      <c r="H58" s="7">
        <f>H13/D13-1</f>
        <v>8.4529505582137121E-2</v>
      </c>
      <c r="I58" s="7">
        <f>I13/E13-1</f>
        <v>8.8000000000000078E-2</v>
      </c>
      <c r="J58" s="7">
        <f>J13/F13-1</f>
        <v>7.6190476190476142E-2</v>
      </c>
      <c r="K58" s="7">
        <f>K13/G13-1</f>
        <v>0.11092715231788075</v>
      </c>
      <c r="L58" s="7">
        <f>L13/H13-1</f>
        <v>6.6176470588235281E-2</v>
      </c>
      <c r="M58" s="7">
        <f>M13/I13-1</f>
        <v>3.529411764705892E-2</v>
      </c>
      <c r="N58" s="7">
        <f>N13/J13-1</f>
        <v>0.10000000000000009</v>
      </c>
      <c r="O58" s="7">
        <f>O13/K13-1</f>
        <v>0.10000000000000009</v>
      </c>
      <c r="P58" s="7">
        <f>P13/L13-1</f>
        <v>0.10000000000000009</v>
      </c>
      <c r="Q58" s="7">
        <f>Q13/M13-1</f>
        <v>0.10000000000000009</v>
      </c>
      <c r="R58" s="7">
        <f>R13/N13-1</f>
        <v>0.10000000000000009</v>
      </c>
      <c r="W58" s="7">
        <f>W13/V13-1</f>
        <v>6.4464141821112042E-2</v>
      </c>
      <c r="X58" s="7">
        <f>X13/W13-1</f>
        <v>7.7138531415594347E-2</v>
      </c>
      <c r="Y58" s="7">
        <f>Y13/X13-1</f>
        <v>9.9999999999999867E-2</v>
      </c>
      <c r="Z58" s="7">
        <f t="shared" ref="Z58:AK58" si="69">Z13/Y13-1</f>
        <v>0.10000000000000009</v>
      </c>
      <c r="AA58" s="7">
        <f t="shared" si="69"/>
        <v>0.10000000000000009</v>
      </c>
      <c r="AB58" s="7">
        <f t="shared" si="69"/>
        <v>0.10000000000000009</v>
      </c>
      <c r="AC58" s="7">
        <f t="shared" si="69"/>
        <v>0.10000000000000009</v>
      </c>
      <c r="AD58" s="7">
        <f t="shared" si="69"/>
        <v>0.10000000000000009</v>
      </c>
      <c r="AE58" s="7">
        <f t="shared" si="69"/>
        <v>0.10000000000000009</v>
      </c>
      <c r="AF58" s="7">
        <f t="shared" si="69"/>
        <v>3.0000000000000027E-2</v>
      </c>
      <c r="AG58" s="7">
        <f t="shared" si="69"/>
        <v>3.0000000000000027E-2</v>
      </c>
      <c r="AH58" s="7">
        <f t="shared" si="69"/>
        <v>3.0000000000000027E-2</v>
      </c>
      <c r="AI58" s="7">
        <f t="shared" si="69"/>
        <v>3.0000000000000027E-2</v>
      </c>
      <c r="AJ58" s="7">
        <f t="shared" si="69"/>
        <v>3.0000000000000027E-2</v>
      </c>
      <c r="AK58" s="7">
        <f t="shared" si="69"/>
        <v>3.0000000000000027E-2</v>
      </c>
    </row>
    <row r="59" spans="2:37" s="7" customFormat="1" x14ac:dyDescent="0.2">
      <c r="B59" s="7" t="s">
        <v>133</v>
      </c>
      <c r="G59" s="7">
        <f>G14/C14-1</f>
        <v>-0.28602150537634408</v>
      </c>
      <c r="H59" s="7">
        <f>H14/D14-1</f>
        <v>2.0958083832335328E-2</v>
      </c>
      <c r="I59" s="7">
        <f>I14/E14-1</f>
        <v>0.125</v>
      </c>
      <c r="J59" s="7">
        <f>J14/F14-1</f>
        <v>6.5015479876161075E-2</v>
      </c>
      <c r="K59" s="7">
        <f>K14/G14-1</f>
        <v>6.9277108433734913E-2</v>
      </c>
      <c r="L59" s="7">
        <f>L14/H14-1</f>
        <v>0.10557184750733128</v>
      </c>
      <c r="M59" s="7">
        <f>M14/I14-1</f>
        <v>0.1520467836257311</v>
      </c>
      <c r="N59" s="7">
        <f>N14/J14-1</f>
        <v>0.14999999999999991</v>
      </c>
      <c r="O59" s="7">
        <f>O14/K14-1</f>
        <v>0.14999999999999991</v>
      </c>
      <c r="P59" s="7">
        <f>P14/L14-1</f>
        <v>0.14999999999999991</v>
      </c>
      <c r="Q59" s="7">
        <f>Q14/M14-1</f>
        <v>0.14999999999999991</v>
      </c>
      <c r="R59" s="7">
        <f>R14/N14-1</f>
        <v>0.14999999999999991</v>
      </c>
      <c r="W59" s="7">
        <f>W14/V14-1</f>
        <v>-4.6984572230014066E-2</v>
      </c>
      <c r="X59" s="7">
        <f>X14/W14-1</f>
        <v>0.11964679911699783</v>
      </c>
      <c r="Y59" s="7">
        <f>Y14/X14-1</f>
        <v>0.14999999999999991</v>
      </c>
      <c r="Z59" s="7">
        <f t="shared" ref="Z59:AK59" si="70">Z14/Y14-1</f>
        <v>0.14999999999999991</v>
      </c>
      <c r="AA59" s="7">
        <f t="shared" si="70"/>
        <v>5.0000000000000044E-2</v>
      </c>
      <c r="AB59" s="7">
        <f t="shared" si="70"/>
        <v>5.0000000000000044E-2</v>
      </c>
      <c r="AC59" s="7">
        <f t="shared" si="70"/>
        <v>5.0000000000000044E-2</v>
      </c>
      <c r="AD59" s="7">
        <f t="shared" si="70"/>
        <v>5.0000000000000044E-2</v>
      </c>
      <c r="AE59" s="7">
        <f t="shared" si="70"/>
        <v>5.0000000000000044E-2</v>
      </c>
      <c r="AF59" s="7">
        <f t="shared" si="70"/>
        <v>-3.0000000000000138E-2</v>
      </c>
      <c r="AG59" s="7">
        <f t="shared" si="70"/>
        <v>-2.9999999999999916E-2</v>
      </c>
      <c r="AH59" s="7">
        <f t="shared" si="70"/>
        <v>-2.9999999999999916E-2</v>
      </c>
      <c r="AI59" s="7">
        <f t="shared" si="70"/>
        <v>-3.0000000000000027E-2</v>
      </c>
      <c r="AJ59" s="7">
        <f t="shared" si="70"/>
        <v>-2.9999999999999916E-2</v>
      </c>
      <c r="AK59" s="7">
        <f t="shared" si="70"/>
        <v>-2.9999999999999916E-2</v>
      </c>
    </row>
    <row r="61" spans="2:37" s="7" customFormat="1" x14ac:dyDescent="0.2">
      <c r="B61" s="7" t="s">
        <v>38</v>
      </c>
      <c r="C61" s="7">
        <f t="shared" ref="C61:L61" si="71">C20/C19</f>
        <v>0.22831230283911672</v>
      </c>
      <c r="D61" s="7">
        <f t="shared" si="71"/>
        <v>-0.68253968253968256</v>
      </c>
      <c r="E61" s="7">
        <f t="shared" si="71"/>
        <v>-3.0534351145038167E-2</v>
      </c>
      <c r="F61" s="7">
        <f t="shared" si="71"/>
        <v>0.15384615384615385</v>
      </c>
      <c r="G61" s="7">
        <f t="shared" si="71"/>
        <v>0.22356599861783</v>
      </c>
      <c r="H61" s="7">
        <f t="shared" si="71"/>
        <v>-0.59872611464968151</v>
      </c>
      <c r="I61" s="7">
        <f t="shared" si="71"/>
        <v>5.4502369668246446E-2</v>
      </c>
      <c r="J61" s="7">
        <f t="shared" si="71"/>
        <v>1.9607843137254902E-3</v>
      </c>
      <c r="K61" s="7">
        <f t="shared" si="71"/>
        <v>0.21158612143742256</v>
      </c>
      <c r="L61" s="7">
        <f t="shared" si="71"/>
        <v>-6.3157894736842106</v>
      </c>
      <c r="M61" s="7">
        <f>M20/M19</f>
        <v>4.3243243243243246E-2</v>
      </c>
      <c r="N61" s="7">
        <f>N20/N19</f>
        <v>0.2</v>
      </c>
      <c r="O61" s="7">
        <f t="shared" ref="O61:R61" si="72">O20/O19</f>
        <v>0.2</v>
      </c>
      <c r="P61" s="7">
        <f t="shared" si="72"/>
        <v>0.2</v>
      </c>
      <c r="Q61" s="7">
        <f t="shared" si="72"/>
        <v>0.2</v>
      </c>
      <c r="R61" s="7">
        <f t="shared" si="72"/>
        <v>0.2</v>
      </c>
      <c r="W61" s="7">
        <f t="shared" ref="W61" si="73">W20/W19</f>
        <v>0.14486567913632939</v>
      </c>
      <c r="X61" s="7">
        <f t="shared" ref="X61:Y61" si="74">X20/X19</f>
        <v>0.1526592541116516</v>
      </c>
      <c r="Y61" s="7">
        <f t="shared" si="74"/>
        <v>0.19999999999999998</v>
      </c>
      <c r="Z61" s="7">
        <f t="shared" ref="Z61:AK61" si="75">Z20/Z19</f>
        <v>0.2</v>
      </c>
      <c r="AA61" s="7">
        <f t="shared" si="75"/>
        <v>0.2</v>
      </c>
      <c r="AB61" s="7">
        <f t="shared" si="75"/>
        <v>0.2</v>
      </c>
      <c r="AC61" s="7">
        <f t="shared" si="75"/>
        <v>0.20000000000000004</v>
      </c>
      <c r="AD61" s="7">
        <f t="shared" si="75"/>
        <v>0.2</v>
      </c>
      <c r="AE61" s="7">
        <f t="shared" si="75"/>
        <v>0.20000000000000004</v>
      </c>
      <c r="AF61" s="7">
        <f t="shared" si="75"/>
        <v>0.2</v>
      </c>
      <c r="AG61" s="7">
        <f t="shared" si="75"/>
        <v>0.2</v>
      </c>
      <c r="AH61" s="7">
        <f t="shared" si="75"/>
        <v>0.2</v>
      </c>
      <c r="AI61" s="7">
        <f t="shared" si="75"/>
        <v>0.2</v>
      </c>
      <c r="AJ61" s="7">
        <f t="shared" si="75"/>
        <v>0.2</v>
      </c>
      <c r="AK61" s="7">
        <f t="shared" si="75"/>
        <v>0.2</v>
      </c>
    </row>
    <row r="62" spans="2:37" x14ac:dyDescent="0.2">
      <c r="B62" s="7"/>
    </row>
    <row r="63" spans="2:37" s="7" customFormat="1" x14ac:dyDescent="0.2">
      <c r="B63" s="7" t="s">
        <v>83</v>
      </c>
      <c r="C63" s="7">
        <f t="shared" ref="C63:M63" si="76">C11/C7</f>
        <v>0.86115056818181823</v>
      </c>
      <c r="D63" s="7">
        <f t="shared" si="76"/>
        <v>0.76843413421706708</v>
      </c>
      <c r="E63" s="7">
        <f t="shared" si="76"/>
        <v>0.75548710050057755</v>
      </c>
      <c r="F63" s="7">
        <f t="shared" si="76"/>
        <v>0.75928970733311407</v>
      </c>
      <c r="G63" s="7">
        <f t="shared" si="76"/>
        <v>0.84363575938850122</v>
      </c>
      <c r="H63" s="7">
        <f t="shared" si="76"/>
        <v>0.75221238938053092</v>
      </c>
      <c r="I63" s="7">
        <f t="shared" si="76"/>
        <v>0.7575554063129617</v>
      </c>
      <c r="J63" s="7">
        <f t="shared" si="76"/>
        <v>0.75812167749557002</v>
      </c>
      <c r="K63" s="7">
        <f t="shared" si="76"/>
        <v>0.8469645242689624</v>
      </c>
      <c r="L63" s="7">
        <f t="shared" si="76"/>
        <v>0.76538944723618085</v>
      </c>
      <c r="M63" s="7">
        <f>M11/M7</f>
        <v>0.76058483094730434</v>
      </c>
      <c r="N63" s="7">
        <f>N11/N7</f>
        <v>0.75</v>
      </c>
      <c r="O63" s="7">
        <f t="shared" ref="O63:R63" si="77">O11/O7</f>
        <v>0.79</v>
      </c>
      <c r="P63" s="7">
        <f t="shared" si="77"/>
        <v>0.79</v>
      </c>
      <c r="Q63" s="7">
        <f t="shared" si="77"/>
        <v>0.79</v>
      </c>
      <c r="R63" s="7">
        <f t="shared" si="77"/>
        <v>0.79</v>
      </c>
      <c r="W63" s="7">
        <f t="shared" ref="W63" si="78">W11/W7</f>
        <v>0.79104279846296544</v>
      </c>
      <c r="X63" s="7">
        <f t="shared" ref="X63:Y63" si="79">X11/X7</f>
        <v>0.79334274288402729</v>
      </c>
      <c r="Y63" s="7">
        <f t="shared" si="79"/>
        <v>0.79</v>
      </c>
      <c r="Z63" s="7">
        <f t="shared" ref="Z63:AK63" si="80">Z11/Z7</f>
        <v>0.8</v>
      </c>
      <c r="AA63" s="7">
        <f t="shared" si="80"/>
        <v>0.8</v>
      </c>
      <c r="AB63" s="7">
        <f t="shared" si="80"/>
        <v>0.8</v>
      </c>
      <c r="AC63" s="7">
        <f t="shared" si="80"/>
        <v>0.8</v>
      </c>
      <c r="AD63" s="7">
        <f t="shared" si="80"/>
        <v>0.8</v>
      </c>
      <c r="AE63" s="7">
        <f t="shared" si="80"/>
        <v>0.8</v>
      </c>
      <c r="AF63" s="7">
        <f t="shared" si="80"/>
        <v>0.8</v>
      </c>
      <c r="AG63" s="7">
        <f t="shared" si="80"/>
        <v>0.8</v>
      </c>
      <c r="AH63" s="7">
        <f t="shared" si="80"/>
        <v>0.8</v>
      </c>
      <c r="AI63" s="7">
        <f t="shared" si="80"/>
        <v>0.8</v>
      </c>
      <c r="AJ63" s="7">
        <f t="shared" si="80"/>
        <v>0.8</v>
      </c>
      <c r="AK63" s="7">
        <f t="shared" si="80"/>
        <v>0.8</v>
      </c>
    </row>
    <row r="64" spans="2:37" s="7" customFormat="1" x14ac:dyDescent="0.2">
      <c r="B64" s="7" t="s">
        <v>84</v>
      </c>
      <c r="C64" s="7">
        <f t="shared" ref="C64:M64" si="81">C17/C7</f>
        <v>0.45419034090909088</v>
      </c>
      <c r="D64" s="7">
        <f t="shared" si="81"/>
        <v>3.6039768019884011E-2</v>
      </c>
      <c r="E64" s="7">
        <f t="shared" si="81"/>
        <v>9.1644204851752023E-2</v>
      </c>
      <c r="F64" s="7">
        <f t="shared" si="81"/>
        <v>0.14205853337717855</v>
      </c>
      <c r="G64" s="7">
        <f t="shared" si="81"/>
        <v>0.48820206048521103</v>
      </c>
      <c r="H64" s="7">
        <f t="shared" si="81"/>
        <v>6.6002949852507375E-2</v>
      </c>
      <c r="I64" s="7">
        <f t="shared" si="81"/>
        <v>0.15614506380120888</v>
      </c>
      <c r="J64" s="7">
        <f t="shared" si="81"/>
        <v>0.15505020673360898</v>
      </c>
      <c r="K64" s="7">
        <f t="shared" si="81"/>
        <v>0.48404334273415467</v>
      </c>
      <c r="L64" s="7">
        <f t="shared" si="81"/>
        <v>2.5125628140703518E-3</v>
      </c>
      <c r="M64" s="7">
        <f>M17/M7</f>
        <v>0.13036856533658239</v>
      </c>
      <c r="N64" s="7">
        <f>N17/N7</f>
        <v>0.11410526315789471</v>
      </c>
      <c r="O64" s="7">
        <f t="shared" ref="O64:R64" si="82">O17/O7</f>
        <v>0.42190470187823026</v>
      </c>
      <c r="P64" s="7">
        <f t="shared" si="82"/>
        <v>7.6910093948000885E-2</v>
      </c>
      <c r="Q64" s="7">
        <f t="shared" si="82"/>
        <v>0.14636811505913205</v>
      </c>
      <c r="R64" s="7">
        <f t="shared" si="82"/>
        <v>0.13346224256292907</v>
      </c>
      <c r="W64" s="7">
        <f t="shared" ref="W64" si="83">W17/W7</f>
        <v>0.27209487213462302</v>
      </c>
      <c r="X64" s="7">
        <f t="shared" ref="X64:Y64" si="84">X17/X7</f>
        <v>0.24291931310279935</v>
      </c>
      <c r="Y64" s="7">
        <f t="shared" si="84"/>
        <v>0.24135802594218353</v>
      </c>
      <c r="Z64" s="7">
        <f t="shared" ref="Z64:AK64" si="85">Z17/Z7</f>
        <v>0.24514769851580709</v>
      </c>
      <c r="AA64" s="7">
        <f t="shared" si="85"/>
        <v>0.22058399702304629</v>
      </c>
      <c r="AB64" s="7">
        <f t="shared" si="85"/>
        <v>0.19323778453277973</v>
      </c>
      <c r="AC64" s="7">
        <f t="shared" si="85"/>
        <v>0.19690909099365128</v>
      </c>
      <c r="AD64" s="7">
        <f t="shared" si="85"/>
        <v>0.2004135198881197</v>
      </c>
      <c r="AE64" s="7">
        <f t="shared" si="85"/>
        <v>0.15646045568105357</v>
      </c>
      <c r="AF64" s="7">
        <f t="shared" si="85"/>
        <v>0.16102805584442509</v>
      </c>
      <c r="AG64" s="7">
        <f t="shared" si="85"/>
        <v>0.16533533134004241</v>
      </c>
      <c r="AH64" s="7">
        <f t="shared" si="85"/>
        <v>0.16939727926132309</v>
      </c>
      <c r="AI64" s="7">
        <f t="shared" si="85"/>
        <v>0.17924925540004671</v>
      </c>
      <c r="AJ64" s="7">
        <f t="shared" si="85"/>
        <v>0.18268673940101396</v>
      </c>
      <c r="AK64" s="7">
        <f t="shared" si="85"/>
        <v>0.18592398161551713</v>
      </c>
    </row>
    <row r="65" spans="2:42" x14ac:dyDescent="0.2">
      <c r="B65" s="7"/>
    </row>
    <row r="66" spans="2:42" x14ac:dyDescent="0.2">
      <c r="B66" s="7"/>
    </row>
    <row r="67" spans="2:42" x14ac:dyDescent="0.2">
      <c r="B67" s="7" t="s">
        <v>7</v>
      </c>
      <c r="M67" s="2">
        <v>-2676</v>
      </c>
      <c r="N67" s="2">
        <f>M67+N21</f>
        <v>-2355.88</v>
      </c>
      <c r="O67" s="2">
        <f t="shared" ref="O67:R67" si="86">N67+O21</f>
        <v>298.13720000000058</v>
      </c>
      <c r="P67" s="2">
        <f t="shared" si="86"/>
        <v>526.40977200000066</v>
      </c>
      <c r="Q67" s="2">
        <f t="shared" si="86"/>
        <v>973.75826972000073</v>
      </c>
      <c r="R67" s="2">
        <f t="shared" si="86"/>
        <v>1450.0798524172008</v>
      </c>
      <c r="X67">
        <v>-2351</v>
      </c>
      <c r="Y67" s="2">
        <f>X67+Y21</f>
        <v>1454.9598524172015</v>
      </c>
      <c r="Z67" s="2">
        <f t="shared" ref="Z67:AK67" si="87">Y67+Z21</f>
        <v>5965.2478465138902</v>
      </c>
      <c r="AA67" s="2">
        <f t="shared" si="87"/>
        <v>10610.448960374448</v>
      </c>
      <c r="AB67" s="2">
        <f t="shared" si="87"/>
        <v>15281.19451078943</v>
      </c>
      <c r="AC67" s="2">
        <f t="shared" si="87"/>
        <v>20652.145778021008</v>
      </c>
      <c r="AD67" s="2">
        <f t="shared" si="87"/>
        <v>26807.085737001849</v>
      </c>
      <c r="AE67" s="2">
        <f t="shared" si="87"/>
        <v>32164.347514925328</v>
      </c>
      <c r="AF67" s="2">
        <f t="shared" si="87"/>
        <v>37993.294641237786</v>
      </c>
      <c r="AG67" s="2">
        <f t="shared" si="87"/>
        <v>44316.818050388385</v>
      </c>
      <c r="AH67" s="2">
        <f t="shared" si="87"/>
        <v>51158.955969593793</v>
      </c>
      <c r="AI67" s="2">
        <f t="shared" si="87"/>
        <v>58730.543431717357</v>
      </c>
      <c r="AJ67" s="2">
        <f t="shared" si="87"/>
        <v>66879.887977153267</v>
      </c>
      <c r="AK67" s="2">
        <f t="shared" si="87"/>
        <v>75635.072595535021</v>
      </c>
      <c r="AO67" t="s">
        <v>103</v>
      </c>
      <c r="AP67" s="7">
        <v>0.05</v>
      </c>
    </row>
    <row r="68" spans="2:42" x14ac:dyDescent="0.2">
      <c r="B68" s="7"/>
      <c r="AO68" t="s">
        <v>104</v>
      </c>
      <c r="AP68" s="7">
        <v>-0.02</v>
      </c>
    </row>
    <row r="69" spans="2:42" x14ac:dyDescent="0.2">
      <c r="B69" s="7"/>
      <c r="AO69" t="s">
        <v>105</v>
      </c>
      <c r="AP69" s="7">
        <v>0.08</v>
      </c>
    </row>
    <row r="70" spans="2:42" x14ac:dyDescent="0.2">
      <c r="D70" t="s">
        <v>63</v>
      </c>
      <c r="H70" t="s">
        <v>63</v>
      </c>
      <c r="L70" t="s">
        <v>63</v>
      </c>
      <c r="AO70" t="s">
        <v>106</v>
      </c>
      <c r="AP70" s="2">
        <f>NPV(AP69,Y21:CA21)</f>
        <v>75371.886011299313</v>
      </c>
    </row>
    <row r="71" spans="2:42" x14ac:dyDescent="0.2">
      <c r="B71" t="s">
        <v>41</v>
      </c>
      <c r="H71" s="2"/>
      <c r="I71" s="2"/>
      <c r="J71" s="2"/>
      <c r="K71" s="2"/>
      <c r="L71" s="2"/>
      <c r="M71" s="2"/>
      <c r="X71" s="2"/>
      <c r="AO71" t="s">
        <v>1</v>
      </c>
      <c r="AP71" s="2">
        <v>280.03500000000003</v>
      </c>
    </row>
    <row r="72" spans="2:42" x14ac:dyDescent="0.2">
      <c r="B72" t="s">
        <v>42</v>
      </c>
      <c r="D72">
        <v>2066</v>
      </c>
      <c r="H72">
        <v>2384</v>
      </c>
      <c r="L72">
        <v>2963</v>
      </c>
      <c r="AO72" t="s">
        <v>0</v>
      </c>
      <c r="AP72" s="5">
        <f>AP70/AP71</f>
        <v>269.15166322530865</v>
      </c>
    </row>
    <row r="73" spans="2:42" x14ac:dyDescent="0.2">
      <c r="B73" t="s">
        <v>43</v>
      </c>
      <c r="D73">
        <v>187</v>
      </c>
      <c r="H73">
        <v>160</v>
      </c>
      <c r="L73">
        <v>159</v>
      </c>
      <c r="AO73" t="s">
        <v>107</v>
      </c>
      <c r="AP73" s="2">
        <v>577.52</v>
      </c>
    </row>
    <row r="74" spans="2:42" x14ac:dyDescent="0.2">
      <c r="B74" t="s">
        <v>44</v>
      </c>
      <c r="D74">
        <v>559</v>
      </c>
      <c r="H74">
        <v>646</v>
      </c>
      <c r="L74">
        <v>630</v>
      </c>
      <c r="AO74" t="s">
        <v>108</v>
      </c>
      <c r="AP74" s="7">
        <f>AP72/AP73-1</f>
        <v>-0.53395265406339409</v>
      </c>
    </row>
    <row r="75" spans="2:42" x14ac:dyDescent="0.2">
      <c r="B75" t="s">
        <v>45</v>
      </c>
      <c r="D75">
        <v>83</v>
      </c>
      <c r="H75">
        <v>90</v>
      </c>
      <c r="L75">
        <v>81</v>
      </c>
    </row>
    <row r="76" spans="2:42" x14ac:dyDescent="0.2">
      <c r="B76" t="s">
        <v>46</v>
      </c>
      <c r="D76">
        <v>1308</v>
      </c>
      <c r="H76">
        <v>1712</v>
      </c>
      <c r="L76">
        <v>1940</v>
      </c>
    </row>
    <row r="77" spans="2:42" x14ac:dyDescent="0.2">
      <c r="B77" t="s">
        <v>47</v>
      </c>
      <c r="D77">
        <v>120</v>
      </c>
      <c r="H77">
        <v>-628</v>
      </c>
      <c r="L77">
        <v>-554</v>
      </c>
    </row>
    <row r="78" spans="2:42" x14ac:dyDescent="0.2">
      <c r="B78" t="s">
        <v>48</v>
      </c>
      <c r="D78">
        <v>2</v>
      </c>
      <c r="H78">
        <v>81</v>
      </c>
      <c r="L78">
        <v>92</v>
      </c>
    </row>
    <row r="79" spans="2:42" x14ac:dyDescent="0.2">
      <c r="B79" t="s">
        <v>49</v>
      </c>
      <c r="D79">
        <v>0</v>
      </c>
      <c r="H79">
        <v>0</v>
      </c>
      <c r="L79">
        <f>-96+98</f>
        <v>2</v>
      </c>
    </row>
    <row r="80" spans="2:42" x14ac:dyDescent="0.2">
      <c r="B80" t="s">
        <v>50</v>
      </c>
      <c r="D80">
        <v>-31</v>
      </c>
      <c r="H80">
        <v>42</v>
      </c>
      <c r="L80">
        <v>-52</v>
      </c>
    </row>
    <row r="81" spans="2:12" x14ac:dyDescent="0.2">
      <c r="B81" t="s">
        <v>38</v>
      </c>
      <c r="D81">
        <f>29+6</f>
        <v>35</v>
      </c>
      <c r="H81">
        <f>64+690</f>
        <v>754</v>
      </c>
      <c r="L81">
        <f>-48-691</f>
        <v>-739</v>
      </c>
    </row>
    <row r="82" spans="2:12" x14ac:dyDescent="0.2">
      <c r="B82" t="s">
        <v>51</v>
      </c>
      <c r="D82">
        <v>-121</v>
      </c>
      <c r="H82">
        <v>-75</v>
      </c>
      <c r="L82">
        <v>-30</v>
      </c>
    </row>
    <row r="83" spans="2:12" x14ac:dyDescent="0.2">
      <c r="B83" t="s">
        <v>52</v>
      </c>
      <c r="D83">
        <v>-95</v>
      </c>
      <c r="H83">
        <v>-97</v>
      </c>
      <c r="L83">
        <v>133</v>
      </c>
    </row>
    <row r="84" spans="2:12" x14ac:dyDescent="0.2">
      <c r="B84" t="s">
        <v>53</v>
      </c>
      <c r="D84">
        <v>-357</v>
      </c>
      <c r="H84">
        <v>88</v>
      </c>
      <c r="L84">
        <v>257</v>
      </c>
    </row>
    <row r="85" spans="2:12" x14ac:dyDescent="0.2">
      <c r="B85" t="s">
        <v>54</v>
      </c>
      <c r="D85">
        <v>71</v>
      </c>
      <c r="H85">
        <v>111</v>
      </c>
      <c r="L85">
        <v>-49</v>
      </c>
    </row>
    <row r="86" spans="2:12" x14ac:dyDescent="0.2">
      <c r="B86" t="s">
        <v>55</v>
      </c>
      <c r="D86">
        <v>-83</v>
      </c>
      <c r="H86">
        <v>-81</v>
      </c>
      <c r="L86">
        <v>-71</v>
      </c>
    </row>
    <row r="87" spans="2:12" x14ac:dyDescent="0.2">
      <c r="B87" t="s">
        <v>48</v>
      </c>
      <c r="D87">
        <v>145</v>
      </c>
      <c r="H87">
        <v>-141</v>
      </c>
      <c r="L87">
        <v>122</v>
      </c>
    </row>
    <row r="88" spans="2:12" x14ac:dyDescent="0.2">
      <c r="B88" t="s">
        <v>56</v>
      </c>
      <c r="D88">
        <f>SUM(D72:D87)</f>
        <v>3889</v>
      </c>
      <c r="H88">
        <f>SUM(H72:H87)</f>
        <v>5046</v>
      </c>
      <c r="L88">
        <f>SUM(L72:L87)</f>
        <v>4884</v>
      </c>
    </row>
    <row r="89" spans="2:12" x14ac:dyDescent="0.2">
      <c r="B89" t="s">
        <v>58</v>
      </c>
      <c r="D89">
        <v>157</v>
      </c>
      <c r="H89">
        <v>210</v>
      </c>
      <c r="L89">
        <v>191</v>
      </c>
    </row>
    <row r="90" spans="2:12" s="6" customFormat="1" x14ac:dyDescent="0.2">
      <c r="B90" s="6" t="s">
        <v>59</v>
      </c>
      <c r="D90" s="6">
        <f>+D88+D89</f>
        <v>4046</v>
      </c>
      <c r="H90" s="6">
        <f>+H88+H89</f>
        <v>5256</v>
      </c>
      <c r="L90" s="6">
        <f>+L88+L89</f>
        <v>5075</v>
      </c>
    </row>
    <row r="91" spans="2:12" x14ac:dyDescent="0.2">
      <c r="B91" t="s">
        <v>60</v>
      </c>
      <c r="D91">
        <v>-5421</v>
      </c>
      <c r="H91">
        <v>-922</v>
      </c>
      <c r="L91">
        <v>-227</v>
      </c>
    </row>
    <row r="92" spans="2:12" x14ac:dyDescent="0.2">
      <c r="B92" t="s">
        <v>61</v>
      </c>
      <c r="D92">
        <v>1732</v>
      </c>
      <c r="H92">
        <v>-4269</v>
      </c>
      <c r="L92">
        <v>-397</v>
      </c>
    </row>
    <row r="93" spans="2:12" x14ac:dyDescent="0.2">
      <c r="B93" t="s">
        <v>72</v>
      </c>
      <c r="D93">
        <v>1967</v>
      </c>
      <c r="H93">
        <v>1967</v>
      </c>
      <c r="L93">
        <v>1988</v>
      </c>
    </row>
    <row r="94" spans="2:12" s="6" customFormat="1" x14ac:dyDescent="0.2">
      <c r="B94" s="6" t="s">
        <v>62</v>
      </c>
      <c r="D94" s="6">
        <f>+D92+D91+D88</f>
        <v>200</v>
      </c>
      <c r="H94" s="6">
        <f>+H92+H91+H88</f>
        <v>-145</v>
      </c>
      <c r="L94" s="6">
        <f>+L92+L91+L88</f>
        <v>4260</v>
      </c>
    </row>
    <row r="96" spans="2:12" x14ac:dyDescent="0.2">
      <c r="B96" t="s">
        <v>78</v>
      </c>
      <c r="D96">
        <v>3.5</v>
      </c>
      <c r="H96">
        <v>3.7</v>
      </c>
      <c r="L96" t="s">
        <v>77</v>
      </c>
    </row>
    <row r="97" spans="2:12" x14ac:dyDescent="0.2">
      <c r="B97" t="s">
        <v>76</v>
      </c>
      <c r="D97">
        <v>42.7</v>
      </c>
      <c r="H97">
        <v>40.5</v>
      </c>
      <c r="L97">
        <v>39.9</v>
      </c>
    </row>
    <row r="98" spans="2:12" s="7" customFormat="1" x14ac:dyDescent="0.2">
      <c r="D98" s="1"/>
      <c r="H98" s="1"/>
      <c r="I98" s="1"/>
    </row>
    <row r="100" spans="2:12" x14ac:dyDescent="0.2">
      <c r="B100" t="s">
        <v>80</v>
      </c>
      <c r="L100" s="7">
        <v>0.19</v>
      </c>
    </row>
    <row r="101" spans="2:12" x14ac:dyDescent="0.2">
      <c r="B101" t="s">
        <v>81</v>
      </c>
      <c r="L101" s="7">
        <v>0.19</v>
      </c>
    </row>
    <row r="102" spans="2:12" s="7" customFormat="1" x14ac:dyDescent="0.2">
      <c r="B102" s="7" t="s">
        <v>79</v>
      </c>
      <c r="H102" s="7">
        <f>H97/D97-1</f>
        <v>-5.1522248243559776E-2</v>
      </c>
      <c r="L102" s="7">
        <f>L97/H97-1</f>
        <v>-1.4814814814814836E-2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2025-02-18T20:13:02Z</dcterms:created>
  <dcterms:modified xsi:type="dcterms:W3CDTF">2025-02-21T15:15:01Z</dcterms:modified>
</cp:coreProperties>
</file>