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441" documentId="8_{8D2CED23-9EAD-3A42-9CEE-A5CE9BEDA01F}" xr6:coauthVersionLast="47" xr6:coauthVersionMax="47" xr10:uidLastSave="{909DAEBF-D29B-6148-BCC8-B77511D10279}"/>
  <bookViews>
    <workbookView xWindow="0" yWindow="760" windowWidth="30240" windowHeight="17400" activeTab="1" xr2:uid="{AA9B82C4-52CF-3949-A830-CD0C628FACAF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8" i="2" l="1"/>
  <c r="AN18" i="2" s="1"/>
  <c r="AO18" i="2" s="1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C11" i="2"/>
  <c r="X1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Y10" i="2"/>
  <c r="X8" i="2"/>
  <c r="Y8" i="2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W8" i="2"/>
  <c r="AA10" i="2"/>
  <c r="Y12" i="2"/>
  <c r="Z12" i="2" s="1"/>
  <c r="AA12" i="2" s="1"/>
  <c r="Y11" i="2"/>
  <c r="Z11" i="2" s="1"/>
  <c r="AA11" i="2" s="1"/>
  <c r="Z10" i="2"/>
  <c r="X12" i="2"/>
  <c r="X10" i="2"/>
  <c r="X11" i="2"/>
  <c r="W12" i="2"/>
  <c r="W11" i="2"/>
  <c r="W13" i="2"/>
  <c r="W10" i="2"/>
  <c r="AA7" i="2"/>
  <c r="Z7" i="2"/>
  <c r="Y7" i="2"/>
  <c r="X7" i="2"/>
  <c r="W7" i="2"/>
  <c r="Y4" i="2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X4" i="2"/>
  <c r="W4" i="2"/>
  <c r="Y5" i="2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X5" i="2"/>
  <c r="W5" i="2"/>
  <c r="J29" i="2"/>
  <c r="J30" i="2"/>
  <c r="G37" i="2"/>
  <c r="V5" i="2"/>
  <c r="K4" i="2"/>
  <c r="V4" i="2"/>
  <c r="G40" i="2"/>
  <c r="G38" i="2"/>
  <c r="G39" i="2"/>
  <c r="J5" i="2"/>
  <c r="F4" i="2"/>
  <c r="U17" i="2"/>
  <c r="K12" i="2"/>
  <c r="L12" i="2" s="1"/>
  <c r="M12" i="2" s="1"/>
  <c r="N12" i="2" s="1"/>
  <c r="K11" i="2"/>
  <c r="L11" i="2" s="1"/>
  <c r="M11" i="2" s="1"/>
  <c r="N11" i="2" s="1"/>
  <c r="K10" i="2"/>
  <c r="L10" i="2" s="1"/>
  <c r="M10" i="2" s="1"/>
  <c r="N10" i="2" s="1"/>
  <c r="K8" i="2"/>
  <c r="L8" i="2" s="1"/>
  <c r="M8" i="2" s="1"/>
  <c r="N8" i="2" s="1"/>
  <c r="K7" i="2"/>
  <c r="K9" i="2" s="1"/>
  <c r="V19" i="2"/>
  <c r="U19" i="2"/>
  <c r="U15" i="2"/>
  <c r="U12" i="2"/>
  <c r="U11" i="2"/>
  <c r="U10" i="2"/>
  <c r="U13" i="2" s="1"/>
  <c r="U8" i="2"/>
  <c r="U7" i="2"/>
  <c r="C13" i="2"/>
  <c r="C9" i="2"/>
  <c r="C23" i="2" s="1"/>
  <c r="G19" i="2"/>
  <c r="G17" i="2"/>
  <c r="G15" i="2"/>
  <c r="G12" i="2"/>
  <c r="V12" i="2" s="1"/>
  <c r="G11" i="2"/>
  <c r="V11" i="2" s="1"/>
  <c r="G10" i="2"/>
  <c r="G13" i="2" s="1"/>
  <c r="G8" i="2"/>
  <c r="V8" i="2" s="1"/>
  <c r="G7" i="2"/>
  <c r="G27" i="2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D13" i="2"/>
  <c r="D9" i="2"/>
  <c r="D23" i="2" s="1"/>
  <c r="H13" i="2"/>
  <c r="H9" i="2"/>
  <c r="H28" i="2"/>
  <c r="H27" i="2"/>
  <c r="I28" i="2"/>
  <c r="I27" i="2"/>
  <c r="E13" i="2"/>
  <c r="E9" i="2"/>
  <c r="E14" i="2" s="1"/>
  <c r="E16" i="2" s="1"/>
  <c r="E18" i="2" s="1"/>
  <c r="E20" i="2" s="1"/>
  <c r="I13" i="2"/>
  <c r="I9" i="2"/>
  <c r="I23" i="2" s="1"/>
  <c r="J9" i="2"/>
  <c r="J23" i="2" s="1"/>
  <c r="J13" i="2"/>
  <c r="J14" i="2" s="1"/>
  <c r="J16" i="2" s="1"/>
  <c r="J28" i="2"/>
  <c r="J27" i="2"/>
  <c r="F13" i="2"/>
  <c r="F9" i="2"/>
  <c r="AP18" i="2" l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AL7" i="2"/>
  <c r="AI7" i="2"/>
  <c r="AJ7" i="2"/>
  <c r="AK7" i="2"/>
  <c r="AB7" i="2"/>
  <c r="AC7" i="2"/>
  <c r="AD7" i="2"/>
  <c r="AE7" i="2"/>
  <c r="AF7" i="2"/>
  <c r="AB10" i="2"/>
  <c r="AC10" i="2" s="1"/>
  <c r="AD10" i="2" s="1"/>
  <c r="AE10" i="2" s="1"/>
  <c r="AF10" i="2" s="1"/>
  <c r="AG7" i="2"/>
  <c r="AB11" i="2"/>
  <c r="AD11" i="2" s="1"/>
  <c r="AE11" i="2" s="1"/>
  <c r="AF11" i="2" s="1"/>
  <c r="AG11" i="2" s="1"/>
  <c r="AH7" i="2"/>
  <c r="AB12" i="2"/>
  <c r="AC12" i="2" s="1"/>
  <c r="AD12" i="2" s="1"/>
  <c r="AE12" i="2" s="1"/>
  <c r="AF12" i="2" s="1"/>
  <c r="AG12" i="2" s="1"/>
  <c r="AH12" i="2" s="1"/>
  <c r="AI12" i="2" s="1"/>
  <c r="AJ12" i="2" s="1"/>
  <c r="F5" i="2"/>
  <c r="L4" i="2"/>
  <c r="M4" i="2" s="1"/>
  <c r="N4" i="2" s="1"/>
  <c r="H14" i="2"/>
  <c r="H16" i="2" s="1"/>
  <c r="H18" i="2" s="1"/>
  <c r="H20" i="2" s="1"/>
  <c r="J24" i="2"/>
  <c r="J18" i="2"/>
  <c r="J20" i="2" s="1"/>
  <c r="F14" i="2"/>
  <c r="F16" i="2" s="1"/>
  <c r="F24" i="2" s="1"/>
  <c r="U9" i="2"/>
  <c r="N13" i="2"/>
  <c r="U14" i="2"/>
  <c r="U16" i="2" s="1"/>
  <c r="U18" i="2" s="1"/>
  <c r="U20" i="2" s="1"/>
  <c r="C14" i="2"/>
  <c r="C16" i="2" s="1"/>
  <c r="K13" i="2"/>
  <c r="K14" i="2" s="1"/>
  <c r="K16" i="2" s="1"/>
  <c r="L7" i="2"/>
  <c r="L13" i="2"/>
  <c r="V10" i="2"/>
  <c r="M13" i="2"/>
  <c r="G28" i="2"/>
  <c r="V7" i="2"/>
  <c r="G9" i="2"/>
  <c r="G14" i="2" s="1"/>
  <c r="G16" i="2" s="1"/>
  <c r="G18" i="2" s="1"/>
  <c r="G20" i="2" s="1"/>
  <c r="F23" i="2"/>
  <c r="E23" i="2"/>
  <c r="H23" i="2"/>
  <c r="E24" i="2"/>
  <c r="H24" i="2"/>
  <c r="D14" i="2"/>
  <c r="D16" i="2" s="1"/>
  <c r="I14" i="2"/>
  <c r="I16" i="2" s="1"/>
  <c r="AO25" i="2" l="1"/>
  <c r="AO26" i="2" s="1"/>
  <c r="AO30" i="2" s="1"/>
  <c r="AK12" i="2"/>
  <c r="AL12" i="2" s="1"/>
  <c r="AG10" i="2"/>
  <c r="AH11" i="2"/>
  <c r="AI11" i="2" s="1"/>
  <c r="AJ11" i="2" s="1"/>
  <c r="AK11" i="2" s="1"/>
  <c r="AL11" i="2" s="1"/>
  <c r="AH10" i="2"/>
  <c r="AI10" i="2" s="1"/>
  <c r="AJ10" i="2" s="1"/>
  <c r="AK10" i="2" s="1"/>
  <c r="AL10" i="2" s="1"/>
  <c r="F18" i="2"/>
  <c r="F20" i="2" s="1"/>
  <c r="K17" i="2"/>
  <c r="K18" i="2" s="1"/>
  <c r="V9" i="2"/>
  <c r="V27" i="2"/>
  <c r="V13" i="2"/>
  <c r="M7" i="2"/>
  <c r="L9" i="2"/>
  <c r="L14" i="2" s="1"/>
  <c r="L16" i="2" s="1"/>
  <c r="C24" i="2"/>
  <c r="C18" i="2"/>
  <c r="C20" i="2" s="1"/>
  <c r="I18" i="2"/>
  <c r="I20" i="2" s="1"/>
  <c r="I24" i="2"/>
  <c r="D18" i="2"/>
  <c r="D20" i="2" s="1"/>
  <c r="D24" i="2"/>
  <c r="L17" i="2" l="1"/>
  <c r="L18" i="2" s="1"/>
  <c r="N7" i="2"/>
  <c r="N9" i="2" s="1"/>
  <c r="N14" i="2" s="1"/>
  <c r="N16" i="2" s="1"/>
  <c r="M9" i="2"/>
  <c r="M14" i="2" s="1"/>
  <c r="M16" i="2" s="1"/>
  <c r="V14" i="2"/>
  <c r="V16" i="2" s="1"/>
  <c r="V17" i="2" l="1"/>
  <c r="V18" i="2" s="1"/>
  <c r="V20" i="2" s="1"/>
  <c r="M17" i="2"/>
  <c r="M18" i="2" s="1"/>
  <c r="N17" i="2"/>
  <c r="N18" i="2"/>
  <c r="Y13" i="2" l="1"/>
  <c r="Z13" i="2" l="1"/>
  <c r="AA13" i="2" l="1"/>
  <c r="AB13" i="2" l="1"/>
  <c r="AC13" i="2" l="1"/>
  <c r="AD13" i="2" l="1"/>
  <c r="AE13" i="2" l="1"/>
  <c r="AF13" i="2" l="1"/>
  <c r="AG13" i="2" l="1"/>
  <c r="AH13" i="2" l="1"/>
  <c r="AI13" i="2" l="1"/>
  <c r="AJ13" i="2" l="1"/>
  <c r="AL13" i="2" l="1"/>
  <c r="AK13" i="2"/>
  <c r="V8" i="1" l="1"/>
  <c r="V6" i="1"/>
  <c r="V5" i="1"/>
  <c r="W9" i="2" l="1"/>
  <c r="W14" i="2"/>
  <c r="W16" i="2" s="1"/>
  <c r="X9" i="2" l="1"/>
  <c r="X14" i="2" s="1"/>
  <c r="X16" i="2" s="1"/>
  <c r="W17" i="2"/>
  <c r="W18" i="2" s="1"/>
  <c r="Y9" i="2" l="1"/>
  <c r="Y14" i="2" s="1"/>
  <c r="Y16" i="2" s="1"/>
  <c r="X17" i="2"/>
  <c r="X18" i="2" s="1"/>
  <c r="Y17" i="2" l="1"/>
  <c r="Y18" i="2" s="1"/>
  <c r="Z9" i="2"/>
  <c r="Z14" i="2" s="1"/>
  <c r="Z16" i="2" s="1"/>
  <c r="Z17" i="2" l="1"/>
  <c r="Z18" i="2" s="1"/>
  <c r="AA9" i="2"/>
  <c r="AA14" i="2" s="1"/>
  <c r="AA16" i="2" s="1"/>
  <c r="AB9" i="2" l="1"/>
  <c r="AB14" i="2" s="1"/>
  <c r="AB16" i="2" s="1"/>
  <c r="AA17" i="2"/>
  <c r="AA18" i="2" s="1"/>
  <c r="AB17" i="2" l="1"/>
  <c r="AB18" i="2" s="1"/>
  <c r="AC9" i="2"/>
  <c r="AC14" i="2" s="1"/>
  <c r="AC16" i="2" s="1"/>
  <c r="AC17" i="2" l="1"/>
  <c r="AC18" i="2" s="1"/>
  <c r="AD9" i="2"/>
  <c r="AD14" i="2" s="1"/>
  <c r="AD16" i="2" s="1"/>
  <c r="AD17" i="2" l="1"/>
  <c r="AD18" i="2" s="1"/>
  <c r="AE9" i="2"/>
  <c r="AE14" i="2" s="1"/>
  <c r="AE16" i="2" s="1"/>
  <c r="AE17" i="2" l="1"/>
  <c r="AE18" i="2" s="1"/>
  <c r="AF9" i="2"/>
  <c r="AF14" i="2" l="1"/>
  <c r="AF16" i="2" s="1"/>
  <c r="AF17" i="2" s="1"/>
  <c r="AF18" i="2" s="1"/>
  <c r="AG9" i="2"/>
  <c r="AG14" i="2" s="1"/>
  <c r="AG16" i="2" s="1"/>
  <c r="AH9" i="2" l="1"/>
  <c r="AH14" i="2" s="1"/>
  <c r="AH16" i="2" s="1"/>
  <c r="AG17" i="2"/>
  <c r="AG18" i="2" s="1"/>
  <c r="AI9" i="2" l="1"/>
  <c r="AI14" i="2" s="1"/>
  <c r="AI16" i="2" s="1"/>
  <c r="AH17" i="2"/>
  <c r="AH18" i="2" s="1"/>
  <c r="AJ9" i="2" l="1"/>
  <c r="AJ14" i="2" s="1"/>
  <c r="AJ16" i="2" s="1"/>
  <c r="AI17" i="2"/>
  <c r="AI18" i="2" s="1"/>
  <c r="AJ17" i="2" l="1"/>
  <c r="AJ18" i="2" s="1"/>
  <c r="AK9" i="2"/>
  <c r="AK14" i="2" s="1"/>
  <c r="AK16" i="2" s="1"/>
  <c r="AL9" i="2"/>
  <c r="AL14" i="2" s="1"/>
  <c r="AL16" i="2" s="1"/>
  <c r="AL17" i="2" l="1"/>
  <c r="AL18" i="2"/>
  <c r="AK17" i="2"/>
  <c r="AK18" i="2" s="1"/>
</calcChain>
</file>

<file path=xl/sharedStrings.xml><?xml version="1.0" encoding="utf-8"?>
<sst xmlns="http://schemas.openxmlformats.org/spreadsheetml/2006/main" count="55" uniqueCount="51">
  <si>
    <t>Price</t>
  </si>
  <si>
    <t>Shares</t>
  </si>
  <si>
    <t>MC</t>
  </si>
  <si>
    <t>Cash</t>
  </si>
  <si>
    <t>Debt</t>
  </si>
  <si>
    <t>EV</t>
  </si>
  <si>
    <t>Q334</t>
  </si>
  <si>
    <t>Revenue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</si>
  <si>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</si>
  <si>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</si>
  <si>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</si>
  <si>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</si>
  <si>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</si>
  <si>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</si>
  <si>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</si>
  <si>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</si>
  <si>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</si>
  <si>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Cogs</t>
  </si>
  <si>
    <t>R&amp;D</t>
  </si>
  <si>
    <t>M&amp;S</t>
  </si>
  <si>
    <t>G&amp;A</t>
  </si>
  <si>
    <t>Operating Expenses</t>
  </si>
  <si>
    <t>Gross Profit</t>
  </si>
  <si>
    <t>Operating Income</t>
  </si>
  <si>
    <t>Pretax Income</t>
  </si>
  <si>
    <t>Taxes</t>
  </si>
  <si>
    <t>Net Income</t>
  </si>
  <si>
    <t>EPS</t>
  </si>
  <si>
    <t>Revenue Y/Y</t>
  </si>
  <si>
    <t>R&amp;D Y/Y</t>
  </si>
  <si>
    <t>Interest Income</t>
  </si>
  <si>
    <t>Tax rate</t>
  </si>
  <si>
    <t>GM %</t>
  </si>
  <si>
    <t>Q422</t>
  </si>
  <si>
    <t>Q3 to Q3</t>
  </si>
  <si>
    <t>Q225</t>
  </si>
  <si>
    <t>Q325</t>
  </si>
  <si>
    <t>DAP</t>
  </si>
  <si>
    <t>Value</t>
  </si>
  <si>
    <t>FB</t>
  </si>
  <si>
    <t>Cable</t>
  </si>
  <si>
    <t>Cell</t>
  </si>
  <si>
    <t>ARPU</t>
  </si>
  <si>
    <t>ARPU Growth Y/Y</t>
  </si>
  <si>
    <t>NF</t>
  </si>
  <si>
    <t>User Growth</t>
  </si>
  <si>
    <t>Maturity</t>
  </si>
  <si>
    <t>Discount</t>
  </si>
  <si>
    <t>NPV</t>
  </si>
  <si>
    <t>Share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</si>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</sst>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3" fontId="1" fillId="0" borderId="0" xfId="0" applyNumberFormat="1" applyFont="1"/>
    <xf numFmtId="2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4" fontId="0" fillId="0" borderId="0" xfId="0" applyNumberFormat="1"/>
    <xf numFmtId="0" fontId="2" fillId="0" borderId="0" xfId="0" applyFon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38100</xdr:rowOff>
    </xdr:from>
    <xdr:to>
      <xdr:col>22</xdr:col>
      <xdr:colOff>0</xdr:colOff>
      <xdr:row>49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97455E2-25C9-7761-9EB1-246A3E077E94}"/>
            </a:ext>
          </a:extLst>
        </xdr:cNvPr>
        <xdr:cNvCxnSpPr/>
      </xdr:nvCxnSpPr>
      <xdr:spPr>
        <a:xfrm>
          <a:off x="17856200" y="38100"/>
          <a:ext cx="0" cy="9309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9EBB-3B09-ED45-B4E3-030AAF3F794F}">
  <dimension ref="U1:W16"/>
  <sheetViews>
    <sheetView workbookViewId="0">
      <selection activeCell="V10" sqref="V10"/>
    </sheetView>
  </sheetViews>
  <sheetFormatPr baseColWidth="10" defaultRowHeight="16" x14ac:dyDescent="0.2"/>
  <cols>
    <col min="22" max="22" width="10.83203125" style="2"/>
  </cols>
  <sheetData>
    <row r="1" spans="21:23" x14ac:dyDescent="0.2">
      <c r="V1"/>
    </row>
    <row r="2" spans="21:23" x14ac:dyDescent="0.2">
      <c r="W2" s="2"/>
    </row>
    <row r="3" spans="21:23" x14ac:dyDescent="0.2">
      <c r="U3" s="1" t="s">
        <v>0</v>
      </c>
      <c r="V3" s="2">
        <v>617</v>
      </c>
      <c r="W3" s="2"/>
    </row>
    <row r="4" spans="21:23" x14ac:dyDescent="0.2">
      <c r="U4" s="1" t="s">
        <v>1</v>
      </c>
      <c r="V4" s="2">
        <v>2180</v>
      </c>
      <c r="W4" s="2" t="s">
        <v>6</v>
      </c>
    </row>
    <row r="5" spans="21:23" x14ac:dyDescent="0.2">
      <c r="U5" s="1" t="s">
        <v>2</v>
      </c>
      <c r="V5" s="2">
        <f>V4*V3</f>
        <v>1345060</v>
      </c>
      <c r="W5" s="2"/>
    </row>
    <row r="6" spans="21:23" x14ac:dyDescent="0.2">
      <c r="U6" s="1" t="s">
        <v>3</v>
      </c>
      <c r="V6" s="2">
        <f>43852+27048</f>
        <v>70900</v>
      </c>
      <c r="W6" s="2" t="s">
        <v>6</v>
      </c>
    </row>
    <row r="7" spans="21:23" x14ac:dyDescent="0.2">
      <c r="U7" s="1" t="s">
        <v>4</v>
      </c>
      <c r="V7" s="2">
        <v>28823</v>
      </c>
      <c r="W7" s="2" t="s">
        <v>6</v>
      </c>
    </row>
    <row r="8" spans="21:23" x14ac:dyDescent="0.2">
      <c r="U8" s="1" t="s">
        <v>5</v>
      </c>
      <c r="V8" s="2">
        <f>V5-V6+V7</f>
        <v>1302983</v>
      </c>
      <c r="W8" s="2"/>
    </row>
    <row r="9" spans="21:23" x14ac:dyDescent="0.2">
      <c r="W9" s="2"/>
    </row>
    <row r="10" spans="21:23" x14ac:dyDescent="0.2">
      <c r="W10" s="2"/>
    </row>
    <row r="11" spans="21:23" x14ac:dyDescent="0.2">
      <c r="W11" s="2"/>
    </row>
    <row r="12" spans="21:23" x14ac:dyDescent="0.2">
      <c r="W12" s="2"/>
    </row>
    <row r="13" spans="21:23" x14ac:dyDescent="0.2">
      <c r="W13" s="2"/>
    </row>
    <row r="14" spans="21:23" x14ac:dyDescent="0.2">
      <c r="W14" s="2"/>
    </row>
    <row r="15" spans="21:23" x14ac:dyDescent="0.2">
      <c r="W15" s="2"/>
    </row>
    <row r="16" spans="21:23" x14ac:dyDescent="0.2">
      <c r="W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14DE-2A23-3A41-B478-B57CB2607994}">
  <dimension ref="A2:CS40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J22" sqref="AJ22"/>
    </sheetView>
  </sheetViews>
  <sheetFormatPr baseColWidth="10" defaultRowHeight="16" x14ac:dyDescent="0.2"/>
  <cols>
    <col min="2" max="2" width="17.6640625" bestFit="1" customWidth="1"/>
    <col min="3" max="3" width="13" customWidth="1"/>
    <col min="41" max="41" width="13.5" customWidth="1"/>
  </cols>
  <sheetData>
    <row r="2" spans="1:38" x14ac:dyDescent="0.2">
      <c r="U2" t="s">
        <v>34</v>
      </c>
      <c r="V2" t="s">
        <v>34</v>
      </c>
    </row>
    <row r="3" spans="1:38" x14ac:dyDescent="0.2">
      <c r="C3" t="s">
        <v>33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35</v>
      </c>
      <c r="N3" t="s">
        <v>36</v>
      </c>
      <c r="U3">
        <v>2023</v>
      </c>
      <c r="V3">
        <f>U3+1</f>
        <v>2024</v>
      </c>
      <c r="W3">
        <f t="shared" ref="W3:AL3" si="0">+V3+1</f>
        <v>2025</v>
      </c>
      <c r="X3">
        <f t="shared" si="0"/>
        <v>2026</v>
      </c>
      <c r="Y3">
        <f t="shared" si="0"/>
        <v>2027</v>
      </c>
      <c r="Z3">
        <f t="shared" si="0"/>
        <v>2028</v>
      </c>
      <c r="AA3">
        <f t="shared" si="0"/>
        <v>2029</v>
      </c>
      <c r="AB3">
        <f t="shared" si="0"/>
        <v>2030</v>
      </c>
      <c r="AC3">
        <f t="shared" si="0"/>
        <v>2031</v>
      </c>
      <c r="AD3">
        <f t="shared" si="0"/>
        <v>2032</v>
      </c>
      <c r="AE3">
        <f t="shared" si="0"/>
        <v>2033</v>
      </c>
      <c r="AF3">
        <f t="shared" si="0"/>
        <v>2034</v>
      </c>
      <c r="AG3">
        <f t="shared" si="0"/>
        <v>2035</v>
      </c>
      <c r="AH3">
        <f t="shared" si="0"/>
        <v>2036</v>
      </c>
      <c r="AI3">
        <f t="shared" si="0"/>
        <v>2037</v>
      </c>
      <c r="AJ3">
        <f t="shared" si="0"/>
        <v>2038</v>
      </c>
      <c r="AK3">
        <f t="shared" si="0"/>
        <v>2039</v>
      </c>
      <c r="AL3">
        <f t="shared" si="0"/>
        <v>2040</v>
      </c>
    </row>
    <row r="4" spans="1:38" s="2" customFormat="1" x14ac:dyDescent="0.2">
      <c r="B4" s="2" t="s">
        <v>37</v>
      </c>
      <c r="F4" s="2">
        <f>J4/1.05</f>
        <v>3133.333333333333</v>
      </c>
      <c r="J4" s="2">
        <v>3290</v>
      </c>
      <c r="K4" s="2">
        <f>J4*1.01</f>
        <v>3322.9</v>
      </c>
      <c r="L4" s="2">
        <f t="shared" ref="L4:N4" si="1">K4*1.01</f>
        <v>3356.1289999999999</v>
      </c>
      <c r="M4" s="2">
        <f t="shared" si="1"/>
        <v>3389.69029</v>
      </c>
      <c r="N4" s="2">
        <f t="shared" si="1"/>
        <v>3423.5871929</v>
      </c>
      <c r="V4" s="2">
        <f>J4</f>
        <v>3290</v>
      </c>
      <c r="W4" s="2">
        <f>V4*(1+W30)</f>
        <v>3388.7000000000003</v>
      </c>
      <c r="X4" s="2">
        <f t="shared" ref="X4:AL4" si="2">W4*(1+X30)</f>
        <v>3490.3610000000003</v>
      </c>
      <c r="Y4" s="2">
        <f t="shared" si="2"/>
        <v>3595.0718300000003</v>
      </c>
      <c r="Z4" s="2">
        <f t="shared" si="2"/>
        <v>3702.9239849000005</v>
      </c>
      <c r="AA4" s="2">
        <f t="shared" si="2"/>
        <v>3814.0117044470007</v>
      </c>
      <c r="AB4" s="2">
        <f t="shared" si="2"/>
        <v>3814.0117044470007</v>
      </c>
      <c r="AC4" s="2">
        <f t="shared" si="2"/>
        <v>3814.0117044470007</v>
      </c>
      <c r="AD4" s="2">
        <f t="shared" si="2"/>
        <v>3814.0117044470007</v>
      </c>
      <c r="AE4" s="2">
        <f t="shared" si="2"/>
        <v>3814.0117044470007</v>
      </c>
      <c r="AF4" s="2">
        <f t="shared" si="2"/>
        <v>3814.0117044470007</v>
      </c>
      <c r="AG4" s="2">
        <f t="shared" si="2"/>
        <v>3814.0117044470007</v>
      </c>
      <c r="AH4" s="2">
        <f t="shared" si="2"/>
        <v>3814.0117044470007</v>
      </c>
      <c r="AI4" s="2">
        <f t="shared" si="2"/>
        <v>3814.0117044470007</v>
      </c>
      <c r="AJ4" s="2">
        <f t="shared" si="2"/>
        <v>3814.0117044470007</v>
      </c>
      <c r="AK4" s="2">
        <f t="shared" si="2"/>
        <v>3814.0117044470007</v>
      </c>
      <c r="AL4" s="2">
        <f t="shared" si="2"/>
        <v>3814.0117044470007</v>
      </c>
    </row>
    <row r="5" spans="1:38" s="9" customFormat="1" x14ac:dyDescent="0.2">
      <c r="B5" s="9" t="s">
        <v>42</v>
      </c>
      <c r="F5" s="9">
        <f>F7/F4</f>
        <v>10.897659574468086</v>
      </c>
      <c r="J5" s="9">
        <f>J7/J4</f>
        <v>12.337082066869302</v>
      </c>
      <c r="V5" s="9">
        <f>J5*4</f>
        <v>49.348328267477207</v>
      </c>
      <c r="W5" s="9">
        <f>+V5*(1+W29)</f>
        <v>54.28316109422493</v>
      </c>
      <c r="X5" s="9">
        <f t="shared" ref="X5:AL5" si="3">+W5*(1+X29)</f>
        <v>59.711477203647426</v>
      </c>
      <c r="Y5" s="9">
        <f t="shared" si="3"/>
        <v>65.682624924012174</v>
      </c>
      <c r="Z5" s="9">
        <f t="shared" si="3"/>
        <v>72.250887416413391</v>
      </c>
      <c r="AA5" s="9">
        <f t="shared" si="3"/>
        <v>79.475976158054735</v>
      </c>
      <c r="AB5" s="9">
        <f t="shared" si="3"/>
        <v>75.502177350151996</v>
      </c>
      <c r="AC5" s="9">
        <f t="shared" si="3"/>
        <v>71.727068482644398</v>
      </c>
      <c r="AD5" s="9">
        <f t="shared" si="3"/>
        <v>68.140715058512171</v>
      </c>
      <c r="AE5" s="9">
        <f t="shared" si="3"/>
        <v>64.733679305586563</v>
      </c>
      <c r="AF5" s="9">
        <f t="shared" si="3"/>
        <v>61.49699534030723</v>
      </c>
      <c r="AG5" s="9">
        <f t="shared" si="3"/>
        <v>58.422145573291864</v>
      </c>
      <c r="AH5" s="9">
        <f t="shared" si="3"/>
        <v>55.501038294627271</v>
      </c>
      <c r="AI5" s="9">
        <f t="shared" si="3"/>
        <v>52.725986379895907</v>
      </c>
      <c r="AJ5" s="9">
        <f t="shared" si="3"/>
        <v>50.089687060901113</v>
      </c>
      <c r="AK5" s="9">
        <f t="shared" si="3"/>
        <v>47.585202707856055</v>
      </c>
      <c r="AL5" s="9">
        <f t="shared" si="3"/>
        <v>45.20594257246325</v>
      </c>
    </row>
    <row r="7" spans="1:38" s="3" customFormat="1" x14ac:dyDescent="0.2">
      <c r="A7" s="4"/>
      <c r="B7" s="4" t="s">
        <v>7</v>
      </c>
      <c r="C7" s="4">
        <v>32165</v>
      </c>
      <c r="D7" s="4">
        <v>28645</v>
      </c>
      <c r="E7" s="4">
        <v>31999</v>
      </c>
      <c r="F7" s="4">
        <v>34146</v>
      </c>
      <c r="G7" s="4">
        <f>134902-F7-E7-D7</f>
        <v>40112</v>
      </c>
      <c r="H7" s="4">
        <v>36455</v>
      </c>
      <c r="I7" s="4">
        <v>39071</v>
      </c>
      <c r="J7" s="4">
        <v>40589</v>
      </c>
      <c r="K7" s="4">
        <f>J7*1.2</f>
        <v>48706.799999999996</v>
      </c>
      <c r="L7" s="4">
        <f t="shared" ref="L7:N7" si="4">K7*1.2</f>
        <v>58448.159999999996</v>
      </c>
      <c r="M7" s="4">
        <f t="shared" si="4"/>
        <v>70137.791999999987</v>
      </c>
      <c r="N7" s="4">
        <f t="shared" si="4"/>
        <v>84165.350399999981</v>
      </c>
      <c r="U7" s="4">
        <f>SUM(C7:F7)</f>
        <v>126955</v>
      </c>
      <c r="V7" s="4">
        <f>SUM(G7:J7)</f>
        <v>156227</v>
      </c>
      <c r="W7" s="4">
        <f>W5*W4</f>
        <v>183949.34800000003</v>
      </c>
      <c r="X7" s="4">
        <f t="shared" ref="X7:AL7" si="5">X5*X4</f>
        <v>208414.61128400004</v>
      </c>
      <c r="Y7" s="4">
        <f t="shared" si="5"/>
        <v>236133.75458477208</v>
      </c>
      <c r="Z7" s="4">
        <f t="shared" si="5"/>
        <v>267539.54394454678</v>
      </c>
      <c r="AA7" s="4">
        <f t="shared" si="5"/>
        <v>303122.30328917154</v>
      </c>
      <c r="AB7" s="4">
        <f t="shared" si="5"/>
        <v>287966.18812471296</v>
      </c>
      <c r="AC7" s="4">
        <f t="shared" si="5"/>
        <v>273567.87871847732</v>
      </c>
      <c r="AD7" s="4">
        <f t="shared" si="5"/>
        <v>259889.48478255342</v>
      </c>
      <c r="AE7" s="4">
        <f t="shared" si="5"/>
        <v>246895.01054342574</v>
      </c>
      <c r="AF7" s="4">
        <f t="shared" si="5"/>
        <v>234550.26001625444</v>
      </c>
      <c r="AG7" s="4">
        <f t="shared" si="5"/>
        <v>222822.74701544171</v>
      </c>
      <c r="AH7" s="4">
        <f t="shared" si="5"/>
        <v>211681.60966466961</v>
      </c>
      <c r="AI7" s="4">
        <f t="shared" si="5"/>
        <v>201097.52918143614</v>
      </c>
      <c r="AJ7" s="4">
        <f t="shared" si="5"/>
        <v>191042.65272236432</v>
      </c>
      <c r="AK7" s="4">
        <f t="shared" si="5"/>
        <v>181490.52008624611</v>
      </c>
      <c r="AL7" s="4">
        <f t="shared" si="5"/>
        <v>172415.99408193381</v>
      </c>
    </row>
    <row r="8" spans="1:38" s="3" customFormat="1" x14ac:dyDescent="0.2">
      <c r="A8" s="4"/>
      <c r="B8" s="4" t="s">
        <v>17</v>
      </c>
      <c r="C8" s="4">
        <v>8336</v>
      </c>
      <c r="D8" s="4">
        <v>6108</v>
      </c>
      <c r="E8" s="4">
        <v>5945</v>
      </c>
      <c r="F8" s="4">
        <v>6210</v>
      </c>
      <c r="G8" s="4">
        <f>25959-F8-E8-D8</f>
        <v>7696</v>
      </c>
      <c r="H8" s="4">
        <v>6640</v>
      </c>
      <c r="I8" s="4">
        <v>7308</v>
      </c>
      <c r="J8" s="4">
        <v>7375</v>
      </c>
      <c r="K8" s="4">
        <f>J8*1.2</f>
        <v>8850</v>
      </c>
      <c r="L8" s="4">
        <f t="shared" ref="L8:N8" si="6">K8*1.2</f>
        <v>10620</v>
      </c>
      <c r="M8" s="4">
        <f t="shared" si="6"/>
        <v>12744</v>
      </c>
      <c r="N8" s="4">
        <f t="shared" si="6"/>
        <v>15292.8</v>
      </c>
      <c r="U8" s="4">
        <f>SUM(C8:F8)</f>
        <v>26599</v>
      </c>
      <c r="V8" s="4">
        <f>SUM(G8:J8)</f>
        <v>29019</v>
      </c>
      <c r="W8" s="4">
        <f>V8*(W$7/V$7)</f>
        <v>34168.396817528344</v>
      </c>
      <c r="X8" s="4">
        <f>W8*(X$7/W$7)</f>
        <v>38712.793594259616</v>
      </c>
      <c r="Y8" s="4">
        <f t="shared" ref="X8:AL8" si="7">X8*(Y$7/X$7)</f>
        <v>43861.595142296152</v>
      </c>
      <c r="Z8" s="4">
        <f t="shared" si="7"/>
        <v>49695.187296221542</v>
      </c>
      <c r="AA8" s="4">
        <f t="shared" si="7"/>
        <v>56304.647206619018</v>
      </c>
      <c r="AB8" s="4">
        <f t="shared" si="7"/>
        <v>53489.414846288062</v>
      </c>
      <c r="AC8" s="4">
        <f t="shared" si="7"/>
        <v>50814.944103973663</v>
      </c>
      <c r="AD8" s="4">
        <f t="shared" si="7"/>
        <v>48274.196898774971</v>
      </c>
      <c r="AE8" s="4">
        <f t="shared" si="7"/>
        <v>45860.487053836223</v>
      </c>
      <c r="AF8" s="4">
        <f t="shared" si="7"/>
        <v>43567.46270114441</v>
      </c>
      <c r="AG8" s="4">
        <f t="shared" si="7"/>
        <v>41389.08956608719</v>
      </c>
      <c r="AH8" s="4">
        <f t="shared" si="7"/>
        <v>39319.63508778283</v>
      </c>
      <c r="AI8" s="4">
        <f t="shared" si="7"/>
        <v>37353.65333339369</v>
      </c>
      <c r="AJ8" s="4">
        <f t="shared" si="7"/>
        <v>35485.970666724003</v>
      </c>
      <c r="AK8" s="4">
        <f t="shared" si="7"/>
        <v>33711.672133387801</v>
      </c>
      <c r="AL8" s="4">
        <f t="shared" si="7"/>
        <v>32026.088526718413</v>
      </c>
    </row>
    <row r="9" spans="1:38" s="1" customFormat="1" x14ac:dyDescent="0.2">
      <c r="A9" s="5"/>
      <c r="B9" s="5" t="s">
        <v>22</v>
      </c>
      <c r="C9" s="5">
        <f>C7-C8</f>
        <v>23829</v>
      </c>
      <c r="D9" s="5">
        <f>D7-D8</f>
        <v>22537</v>
      </c>
      <c r="E9" s="5">
        <f>E7-E8</f>
        <v>26054</v>
      </c>
      <c r="F9" s="5">
        <f>F7-F8</f>
        <v>27936</v>
      </c>
      <c r="G9" s="5">
        <f>G7-G8</f>
        <v>32416</v>
      </c>
      <c r="H9" s="5">
        <f>H7-H8</f>
        <v>29815</v>
      </c>
      <c r="I9" s="5">
        <f>I7-I8</f>
        <v>31763</v>
      </c>
      <c r="J9" s="5">
        <f>J7-J8</f>
        <v>33214</v>
      </c>
      <c r="K9" s="5">
        <f t="shared" ref="K9:N9" si="8">K7-K8</f>
        <v>39856.799999999996</v>
      </c>
      <c r="L9" s="5">
        <f t="shared" si="8"/>
        <v>47828.159999999996</v>
      </c>
      <c r="M9" s="5">
        <f t="shared" si="8"/>
        <v>57393.791999999987</v>
      </c>
      <c r="N9" s="5">
        <f t="shared" si="8"/>
        <v>68872.550399999978</v>
      </c>
      <c r="U9" s="5">
        <f>U7-U8</f>
        <v>100356</v>
      </c>
      <c r="V9" s="5">
        <f>V7-V8</f>
        <v>127208</v>
      </c>
      <c r="W9" s="5">
        <f t="shared" ref="W9:AL9" si="9">W7-W8</f>
        <v>149780.95118247168</v>
      </c>
      <c r="X9" s="5">
        <f t="shared" si="9"/>
        <v>169701.81768974042</v>
      </c>
      <c r="Y9" s="5">
        <f t="shared" si="9"/>
        <v>192272.15944247594</v>
      </c>
      <c r="Z9" s="5">
        <f t="shared" si="9"/>
        <v>217844.35664832522</v>
      </c>
      <c r="AA9" s="5">
        <f t="shared" si="9"/>
        <v>246817.65608255251</v>
      </c>
      <c r="AB9" s="5">
        <f t="shared" si="9"/>
        <v>234476.77327842489</v>
      </c>
      <c r="AC9" s="5">
        <f t="shared" si="9"/>
        <v>222752.93461450367</v>
      </c>
      <c r="AD9" s="5">
        <f t="shared" si="9"/>
        <v>211615.28788377845</v>
      </c>
      <c r="AE9" s="5">
        <f t="shared" si="9"/>
        <v>201034.52348958951</v>
      </c>
      <c r="AF9" s="5">
        <f t="shared" si="9"/>
        <v>190982.79731511005</v>
      </c>
      <c r="AG9" s="5">
        <f t="shared" si="9"/>
        <v>181433.65744935453</v>
      </c>
      <c r="AH9" s="5">
        <f t="shared" si="9"/>
        <v>172361.97457688677</v>
      </c>
      <c r="AI9" s="5">
        <f t="shared" si="9"/>
        <v>163743.87584804246</v>
      </c>
      <c r="AJ9" s="5">
        <f t="shared" si="9"/>
        <v>155556.68205564033</v>
      </c>
      <c r="AK9" s="5">
        <f t="shared" si="9"/>
        <v>147778.84795285831</v>
      </c>
      <c r="AL9" s="5">
        <f t="shared" si="9"/>
        <v>140389.9055552154</v>
      </c>
    </row>
    <row r="10" spans="1:38" x14ac:dyDescent="0.2">
      <c r="A10" s="2"/>
      <c r="B10" s="2" t="s">
        <v>18</v>
      </c>
      <c r="C10" s="2">
        <v>9771</v>
      </c>
      <c r="D10" s="2">
        <v>9381</v>
      </c>
      <c r="E10" s="2">
        <v>9344</v>
      </c>
      <c r="F10" s="2">
        <v>9241</v>
      </c>
      <c r="G10" s="2">
        <f>38483-F10-E10-D10</f>
        <v>10517</v>
      </c>
      <c r="H10" s="2">
        <v>9978</v>
      </c>
      <c r="I10" s="2">
        <v>10537</v>
      </c>
      <c r="J10" s="2">
        <v>11177</v>
      </c>
      <c r="K10" s="2">
        <f>J10*1.2</f>
        <v>13412.4</v>
      </c>
      <c r="L10" s="2">
        <f t="shared" ref="L10:N10" si="10">K10*1.2</f>
        <v>16094.88</v>
      </c>
      <c r="M10" s="2">
        <f t="shared" si="10"/>
        <v>19313.856</v>
      </c>
      <c r="N10" s="2">
        <f t="shared" si="10"/>
        <v>23176.627199999999</v>
      </c>
      <c r="U10" s="4">
        <f>SUM(C10:F10)</f>
        <v>37737</v>
      </c>
      <c r="V10" s="4">
        <f t="shared" ref="V10:V12" si="11">SUM(G10:J10)</f>
        <v>42209</v>
      </c>
      <c r="W10" s="4">
        <f>V10*(W$7/V$7)</f>
        <v>49698.951075883175</v>
      </c>
      <c r="X10" s="4">
        <f>W10*(X$7/W$7)</f>
        <v>56308.911568975636</v>
      </c>
      <c r="Y10" s="4">
        <f>X10*(Y$7/X$7)</f>
        <v>63797.996807649411</v>
      </c>
      <c r="Z10" s="4">
        <f t="shared" ref="Y10:AL10" si="12">Y10*(Z$7/Y$7)</f>
        <v>72283.130383066789</v>
      </c>
      <c r="AA10" s="4">
        <f>Z10*(AA$7/Z$7)</f>
        <v>81896.786724014688</v>
      </c>
      <c r="AB10" s="4">
        <f t="shared" si="12"/>
        <v>77801.947387813954</v>
      </c>
      <c r="AC10" s="4">
        <f t="shared" si="12"/>
        <v>73911.850018423269</v>
      </c>
      <c r="AD10" s="4">
        <f t="shared" si="12"/>
        <v>70216.25751750209</v>
      </c>
      <c r="AE10" s="4">
        <f t="shared" si="12"/>
        <v>66705.444641626978</v>
      </c>
      <c r="AF10" s="4">
        <f t="shared" si="12"/>
        <v>63370.172409545623</v>
      </c>
      <c r="AG10" s="4">
        <f t="shared" si="12"/>
        <v>60201.663789068341</v>
      </c>
      <c r="AH10" s="4">
        <f t="shared" si="12"/>
        <v>57191.580599614921</v>
      </c>
      <c r="AI10" s="4">
        <f t="shared" si="12"/>
        <v>54332.00156963418</v>
      </c>
      <c r="AJ10" s="4">
        <f t="shared" si="12"/>
        <v>51615.401491152472</v>
      </c>
      <c r="AK10" s="4">
        <f t="shared" si="12"/>
        <v>49034.631416594842</v>
      </c>
      <c r="AL10" s="4">
        <f t="shared" si="12"/>
        <v>46582.899845765103</v>
      </c>
    </row>
    <row r="11" spans="1:38" x14ac:dyDescent="0.2">
      <c r="A11" s="2"/>
      <c r="B11" s="2" t="s">
        <v>19</v>
      </c>
      <c r="C11" s="2">
        <v>4574</v>
      </c>
      <c r="D11" s="2">
        <v>3044</v>
      </c>
      <c r="E11" s="2">
        <v>3154</v>
      </c>
      <c r="F11" s="2">
        <v>2877</v>
      </c>
      <c r="G11" s="2">
        <f>12301-F11-E11-D11</f>
        <v>3226</v>
      </c>
      <c r="H11" s="2">
        <v>2564</v>
      </c>
      <c r="I11" s="2">
        <v>2721</v>
      </c>
      <c r="J11" s="2">
        <v>2822</v>
      </c>
      <c r="K11" s="2">
        <f t="shared" ref="K11:N12" si="13">J11*1.2</f>
        <v>3386.4</v>
      </c>
      <c r="L11" s="2">
        <f t="shared" si="13"/>
        <v>4063.68</v>
      </c>
      <c r="M11" s="2">
        <f t="shared" si="13"/>
        <v>4876.4159999999993</v>
      </c>
      <c r="N11" s="2">
        <f t="shared" si="13"/>
        <v>5851.6991999999991</v>
      </c>
      <c r="U11" s="4">
        <f>SUM(C11:F11)</f>
        <v>13649</v>
      </c>
      <c r="V11" s="4">
        <f t="shared" si="11"/>
        <v>11333</v>
      </c>
      <c r="W11" s="4">
        <f t="shared" ref="W11:X12" si="14">V11*(W$7/V$7)</f>
        <v>13344.031191048924</v>
      </c>
      <c r="X11" s="4">
        <f t="shared" si="14"/>
        <v>15118.787339458431</v>
      </c>
      <c r="Y11" s="4">
        <f t="shared" ref="Y11:AL11" si="15">X11*(Y$7/X$7)</f>
        <v>17129.586055606407</v>
      </c>
      <c r="Z11" s="4">
        <f t="shared" si="15"/>
        <v>19407.821001002059</v>
      </c>
      <c r="AA11" s="4">
        <f t="shared" si="15"/>
        <v>21989.061194135338</v>
      </c>
      <c r="AB11" s="4">
        <f t="shared" si="15"/>
        <v>20889.60813442857</v>
      </c>
      <c r="AC11" s="4">
        <f>AB11*(AC$7/AB$7)</f>
        <v>19845.127727707142</v>
      </c>
      <c r="AD11" s="4">
        <f t="shared" si="15"/>
        <v>18852.871341321781</v>
      </c>
      <c r="AE11" s="4">
        <f t="shared" si="15"/>
        <v>17910.227774255691</v>
      </c>
      <c r="AF11" s="4">
        <f t="shared" si="15"/>
        <v>17014.716385542906</v>
      </c>
      <c r="AG11" s="4">
        <f t="shared" si="15"/>
        <v>16163.98056626576</v>
      </c>
      <c r="AH11" s="4">
        <f t="shared" si="15"/>
        <v>15355.781537952471</v>
      </c>
      <c r="AI11" s="4">
        <f t="shared" si="15"/>
        <v>14587.992461054848</v>
      </c>
      <c r="AJ11" s="4">
        <f t="shared" si="15"/>
        <v>13858.592838002105</v>
      </c>
      <c r="AK11" s="4">
        <f t="shared" si="15"/>
        <v>13165.663196101999</v>
      </c>
      <c r="AL11" s="4">
        <f t="shared" si="15"/>
        <v>12507.3800362969</v>
      </c>
    </row>
    <row r="12" spans="1:38" x14ac:dyDescent="0.2">
      <c r="A12" s="2"/>
      <c r="B12" s="2" t="s">
        <v>20</v>
      </c>
      <c r="C12" s="2">
        <v>3082</v>
      </c>
      <c r="D12" s="2">
        <v>2885</v>
      </c>
      <c r="E12" s="2">
        <v>4164</v>
      </c>
      <c r="F12" s="2">
        <v>2070</v>
      </c>
      <c r="G12" s="2">
        <f>11408-F12-E12-D12</f>
        <v>2289</v>
      </c>
      <c r="H12" s="2">
        <v>3455</v>
      </c>
      <c r="I12" s="2">
        <v>3658</v>
      </c>
      <c r="J12" s="2">
        <v>1865</v>
      </c>
      <c r="K12" s="2">
        <f t="shared" si="13"/>
        <v>2238</v>
      </c>
      <c r="L12" s="2">
        <f t="shared" si="13"/>
        <v>2685.6</v>
      </c>
      <c r="M12" s="2">
        <f t="shared" si="13"/>
        <v>3222.72</v>
      </c>
      <c r="N12" s="2">
        <f t="shared" si="13"/>
        <v>3867.2639999999997</v>
      </c>
      <c r="U12" s="4">
        <f>SUM(C12:F12)</f>
        <v>12201</v>
      </c>
      <c r="V12" s="4">
        <f t="shared" si="11"/>
        <v>11267</v>
      </c>
      <c r="W12" s="4">
        <f t="shared" si="14"/>
        <v>13266.319547299763</v>
      </c>
      <c r="X12" s="4">
        <f>W12*(X$7/W$7)</f>
        <v>15030.740047090632</v>
      </c>
      <c r="Y12" s="4">
        <f t="shared" ref="Y12:AL12" si="16">X12*(Y$7/X$7)</f>
        <v>17029.828473353689</v>
      </c>
      <c r="Z12" s="4">
        <f t="shared" si="16"/>
        <v>19294.79566030973</v>
      </c>
      <c r="AA12" s="4">
        <f t="shared" si="16"/>
        <v>21861.003483130928</v>
      </c>
      <c r="AB12" s="4">
        <f t="shared" si="16"/>
        <v>20767.953308974382</v>
      </c>
      <c r="AC12" s="4">
        <f t="shared" si="16"/>
        <v>19729.555643525666</v>
      </c>
      <c r="AD12" s="4">
        <f t="shared" si="16"/>
        <v>18743.077861349379</v>
      </c>
      <c r="AE12" s="4">
        <f t="shared" si="16"/>
        <v>17805.92396828191</v>
      </c>
      <c r="AF12" s="4">
        <f t="shared" si="16"/>
        <v>16915.627769867813</v>
      </c>
      <c r="AG12" s="4">
        <f t="shared" si="16"/>
        <v>16069.846381374422</v>
      </c>
      <c r="AH12" s="4">
        <f t="shared" si="16"/>
        <v>15266.3540623057</v>
      </c>
      <c r="AI12" s="4">
        <f t="shared" si="16"/>
        <v>14503.036359190415</v>
      </c>
      <c r="AJ12" s="4">
        <f t="shared" si="16"/>
        <v>13777.884541230893</v>
      </c>
      <c r="AK12" s="4">
        <f t="shared" si="16"/>
        <v>13088.990314169348</v>
      </c>
      <c r="AL12" s="4">
        <f t="shared" si="16"/>
        <v>12434.540798460883</v>
      </c>
    </row>
    <row r="13" spans="1:38" x14ac:dyDescent="0.2">
      <c r="A13" s="2"/>
      <c r="B13" s="5" t="s">
        <v>21</v>
      </c>
      <c r="C13" s="2">
        <f>SUM(C10:C12)</f>
        <v>17427</v>
      </c>
      <c r="D13" s="2">
        <f>SUM(D10:D12)</f>
        <v>15310</v>
      </c>
      <c r="E13" s="2">
        <f>SUM(E10:E12)</f>
        <v>16662</v>
      </c>
      <c r="F13" s="2">
        <f>SUM(F10:F12)</f>
        <v>14188</v>
      </c>
      <c r="G13" s="2">
        <f>SUM(G10:G12)</f>
        <v>16032</v>
      </c>
      <c r="H13" s="2">
        <f>SUM(H10:H12)</f>
        <v>15997</v>
      </c>
      <c r="I13" s="2">
        <f>SUM(I10:I12)</f>
        <v>16916</v>
      </c>
      <c r="J13" s="2">
        <f>SUM(J10:J12)</f>
        <v>15864</v>
      </c>
      <c r="K13" s="2">
        <f t="shared" ref="K13:N13" si="17">SUM(K10:K12)</f>
        <v>19036.8</v>
      </c>
      <c r="L13" s="2">
        <f t="shared" si="17"/>
        <v>22844.159999999996</v>
      </c>
      <c r="M13" s="2">
        <f t="shared" si="17"/>
        <v>27412.991999999998</v>
      </c>
      <c r="N13" s="2">
        <f t="shared" si="17"/>
        <v>32895.590400000001</v>
      </c>
      <c r="U13" s="2">
        <f>SUM(U10:U12)</f>
        <v>63587</v>
      </c>
      <c r="V13" s="2">
        <f>SUM(V10:V12)</f>
        <v>64809</v>
      </c>
      <c r="W13" s="2">
        <f>SUM(W10:W12)</f>
        <v>76309.301814231861</v>
      </c>
      <c r="X13" s="2">
        <f>SUM(X10:X12)</f>
        <v>86458.438955524703</v>
      </c>
      <c r="Y13" s="2">
        <f t="shared" ref="W13:AL13" si="18">SUM(Y10:Y12)</f>
        <v>97957.411336609497</v>
      </c>
      <c r="Z13" s="2">
        <f t="shared" si="18"/>
        <v>110985.74704437857</v>
      </c>
      <c r="AA13" s="2">
        <f t="shared" si="18"/>
        <v>125746.85140128096</v>
      </c>
      <c r="AB13" s="2">
        <f t="shared" si="18"/>
        <v>119459.50883121691</v>
      </c>
      <c r="AC13" s="2">
        <f t="shared" si="18"/>
        <v>113486.53338965608</v>
      </c>
      <c r="AD13" s="2">
        <f t="shared" si="18"/>
        <v>107812.20672017324</v>
      </c>
      <c r="AE13" s="2">
        <f t="shared" si="18"/>
        <v>102421.59638416459</v>
      </c>
      <c r="AF13" s="2">
        <f t="shared" si="18"/>
        <v>97300.516564956342</v>
      </c>
      <c r="AG13" s="2">
        <f t="shared" si="18"/>
        <v>92435.490736708525</v>
      </c>
      <c r="AH13" s="2">
        <f t="shared" si="18"/>
        <v>87813.716199873103</v>
      </c>
      <c r="AI13" s="2">
        <f t="shared" si="18"/>
        <v>83423.030389879452</v>
      </c>
      <c r="AJ13" s="2">
        <f t="shared" si="18"/>
        <v>79251.878870385466</v>
      </c>
      <c r="AK13" s="2">
        <f t="shared" si="18"/>
        <v>75289.284926866196</v>
      </c>
      <c r="AL13" s="2">
        <f t="shared" si="18"/>
        <v>71524.820680522884</v>
      </c>
    </row>
    <row r="14" spans="1:38" s="1" customFormat="1" x14ac:dyDescent="0.2">
      <c r="A14" s="5"/>
      <c r="B14" s="5" t="s">
        <v>23</v>
      </c>
      <c r="C14" s="5">
        <f>C9-C13</f>
        <v>6402</v>
      </c>
      <c r="D14" s="5">
        <f>D9-D13</f>
        <v>7227</v>
      </c>
      <c r="E14" s="5">
        <f>E9-E13</f>
        <v>9392</v>
      </c>
      <c r="F14" s="5">
        <f>F9-F13</f>
        <v>13748</v>
      </c>
      <c r="G14" s="5">
        <f>G9-G13</f>
        <v>16384</v>
      </c>
      <c r="H14" s="5">
        <f>H9-H13</f>
        <v>13818</v>
      </c>
      <c r="I14" s="5">
        <f>I9-I13</f>
        <v>14847</v>
      </c>
      <c r="J14" s="5">
        <f>J9-J13</f>
        <v>17350</v>
      </c>
      <c r="K14" s="5">
        <f t="shared" ref="K14:N14" si="19">K9-K13</f>
        <v>20819.999999999996</v>
      </c>
      <c r="L14" s="5">
        <f t="shared" si="19"/>
        <v>24984</v>
      </c>
      <c r="M14" s="5">
        <f t="shared" si="19"/>
        <v>29980.799999999988</v>
      </c>
      <c r="N14" s="5">
        <f t="shared" si="19"/>
        <v>35976.959999999977</v>
      </c>
      <c r="U14" s="5">
        <f>U9-U13</f>
        <v>36769</v>
      </c>
      <c r="V14" s="5">
        <f>V9-V13</f>
        <v>62399</v>
      </c>
      <c r="W14" s="5">
        <f t="shared" ref="W14:AL14" si="20">W9-W13</f>
        <v>73471.649368239814</v>
      </c>
      <c r="X14" s="5">
        <f t="shared" si="20"/>
        <v>83243.378734215716</v>
      </c>
      <c r="Y14" s="5">
        <f t="shared" si="20"/>
        <v>94314.748105866442</v>
      </c>
      <c r="Z14" s="5">
        <f t="shared" si="20"/>
        <v>106858.60960394665</v>
      </c>
      <c r="AA14" s="5">
        <f t="shared" si="20"/>
        <v>121070.80468127155</v>
      </c>
      <c r="AB14" s="5">
        <f t="shared" si="20"/>
        <v>115017.26444720798</v>
      </c>
      <c r="AC14" s="5">
        <f t="shared" si="20"/>
        <v>109266.40122484759</v>
      </c>
      <c r="AD14" s="5">
        <f t="shared" si="20"/>
        <v>103803.08116360521</v>
      </c>
      <c r="AE14" s="5">
        <f t="shared" si="20"/>
        <v>98612.927105424926</v>
      </c>
      <c r="AF14" s="5">
        <f>AF9-AF13</f>
        <v>93682.280750153703</v>
      </c>
      <c r="AG14" s="5">
        <f t="shared" si="20"/>
        <v>88998.166712646009</v>
      </c>
      <c r="AH14" s="5">
        <f t="shared" si="20"/>
        <v>84548.25837701367</v>
      </c>
      <c r="AI14" s="5">
        <f t="shared" si="20"/>
        <v>80320.845458163007</v>
      </c>
      <c r="AJ14" s="5">
        <f t="shared" si="20"/>
        <v>76304.803185254859</v>
      </c>
      <c r="AK14" s="5">
        <f t="shared" si="20"/>
        <v>72489.563025992116</v>
      </c>
      <c r="AL14" s="5">
        <f t="shared" si="20"/>
        <v>68865.084874692518</v>
      </c>
    </row>
    <row r="15" spans="1:38" x14ac:dyDescent="0.2">
      <c r="A15" s="2"/>
      <c r="B15" s="2" t="s">
        <v>30</v>
      </c>
      <c r="C15" s="2">
        <v>-250</v>
      </c>
      <c r="D15" s="2">
        <v>80</v>
      </c>
      <c r="E15" s="2">
        <v>-99</v>
      </c>
      <c r="F15" s="2">
        <v>27</v>
      </c>
      <c r="G15" s="2">
        <f>677-F15-E15-D15</f>
        <v>669</v>
      </c>
      <c r="H15" s="2">
        <v>365</v>
      </c>
      <c r="I15" s="2">
        <v>259</v>
      </c>
      <c r="J15" s="2">
        <v>472</v>
      </c>
      <c r="K15" s="2">
        <v>0</v>
      </c>
      <c r="L15" s="2">
        <v>0</v>
      </c>
      <c r="M15" s="2">
        <v>0</v>
      </c>
      <c r="N15" s="2">
        <v>0</v>
      </c>
      <c r="U15" s="4">
        <f>SUM(C15:F15)</f>
        <v>-242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</row>
    <row r="16" spans="1:38" x14ac:dyDescent="0.2">
      <c r="A16" s="2"/>
      <c r="B16" s="2" t="s">
        <v>24</v>
      </c>
      <c r="C16" s="2">
        <f>C14+C15</f>
        <v>6152</v>
      </c>
      <c r="D16" s="2">
        <f>D14+D15</f>
        <v>7307</v>
      </c>
      <c r="E16" s="2">
        <f>E14+E15</f>
        <v>9293</v>
      </c>
      <c r="F16" s="2">
        <f>F14+F15</f>
        <v>13775</v>
      </c>
      <c r="G16" s="2">
        <f>G14+G15</f>
        <v>17053</v>
      </c>
      <c r="H16" s="2">
        <f>H14+H15</f>
        <v>14183</v>
      </c>
      <c r="I16" s="2">
        <f>I14+I15</f>
        <v>15106</v>
      </c>
      <c r="J16" s="2">
        <f>J14+J15</f>
        <v>17822</v>
      </c>
      <c r="K16" s="2">
        <f t="shared" ref="K16:N16" si="21">K14+K15</f>
        <v>20819.999999999996</v>
      </c>
      <c r="L16" s="2">
        <f t="shared" si="21"/>
        <v>24984</v>
      </c>
      <c r="M16" s="2">
        <f t="shared" si="21"/>
        <v>29980.799999999988</v>
      </c>
      <c r="N16" s="2">
        <f t="shared" si="21"/>
        <v>35976.959999999977</v>
      </c>
      <c r="U16" s="2">
        <f t="shared" ref="U16:V16" si="22">U14+U15</f>
        <v>36527</v>
      </c>
      <c r="V16" s="2">
        <f t="shared" si="22"/>
        <v>62399</v>
      </c>
      <c r="W16" s="2">
        <f t="shared" ref="W16" si="23">W14+W15</f>
        <v>73471.649368239814</v>
      </c>
      <c r="X16" s="2">
        <f t="shared" ref="X16" si="24">X14+X15</f>
        <v>83243.378734215716</v>
      </c>
      <c r="Y16" s="2">
        <f t="shared" ref="Y16" si="25">Y14+Y15</f>
        <v>94314.748105866442</v>
      </c>
      <c r="Z16" s="2">
        <f t="shared" ref="Z16" si="26">Z14+Z15</f>
        <v>106858.60960394665</v>
      </c>
      <c r="AA16" s="2">
        <f t="shared" ref="AA16" si="27">AA14+AA15</f>
        <v>121070.80468127155</v>
      </c>
      <c r="AB16" s="2">
        <f t="shared" ref="AB16" si="28">AB14+AB15</f>
        <v>115017.26444720798</v>
      </c>
      <c r="AC16" s="2">
        <f t="shared" ref="AC16" si="29">AC14+AC15</f>
        <v>109266.40122484759</v>
      </c>
      <c r="AD16" s="2">
        <f t="shared" ref="AD16" si="30">AD14+AD15</f>
        <v>103803.08116360521</v>
      </c>
      <c r="AE16" s="2">
        <f t="shared" ref="AE16" si="31">AE14+AE15</f>
        <v>98612.927105424926</v>
      </c>
      <c r="AF16" s="2">
        <f t="shared" ref="AF16" si="32">AF14+AF15</f>
        <v>93682.280750153703</v>
      </c>
      <c r="AG16" s="2">
        <f t="shared" ref="AG16" si="33">AG14+AG15</f>
        <v>88998.166712646009</v>
      </c>
      <c r="AH16" s="2">
        <f t="shared" ref="AH16" si="34">AH14+AH15</f>
        <v>84548.25837701367</v>
      </c>
      <c r="AI16" s="2">
        <f t="shared" ref="AI16" si="35">AI14+AI15</f>
        <v>80320.845458163007</v>
      </c>
      <c r="AJ16" s="2">
        <f t="shared" ref="AJ16" si="36">AJ14+AJ15</f>
        <v>76304.803185254859</v>
      </c>
      <c r="AK16" s="2">
        <f t="shared" ref="AK16" si="37">AK14+AK15</f>
        <v>72489.563025992116</v>
      </c>
      <c r="AL16" s="2">
        <f t="shared" ref="AL16" si="38">AL14+AL15</f>
        <v>68865.084874692518</v>
      </c>
    </row>
    <row r="17" spans="1:97" x14ac:dyDescent="0.2">
      <c r="A17" s="2"/>
      <c r="B17" s="2" t="s">
        <v>25</v>
      </c>
      <c r="C17" s="2">
        <v>1497</v>
      </c>
      <c r="D17" s="2">
        <v>1598</v>
      </c>
      <c r="E17" s="2">
        <v>1505</v>
      </c>
      <c r="F17" s="2">
        <v>2437</v>
      </c>
      <c r="G17" s="2">
        <f>8330-F17-E17-D17</f>
        <v>2790</v>
      </c>
      <c r="H17" s="2">
        <v>1814</v>
      </c>
      <c r="I17" s="2">
        <v>1641</v>
      </c>
      <c r="J17" s="2">
        <v>2134</v>
      </c>
      <c r="K17" s="2">
        <f>K16*0.18</f>
        <v>3747.599999999999</v>
      </c>
      <c r="L17" s="2">
        <f t="shared" ref="L17:N17" si="39">L16*0.18</f>
        <v>4497.12</v>
      </c>
      <c r="M17" s="2">
        <f t="shared" si="39"/>
        <v>5396.5439999999981</v>
      </c>
      <c r="N17" s="2">
        <f t="shared" si="39"/>
        <v>6475.852799999996</v>
      </c>
      <c r="U17" s="4">
        <f>SUM(C17:F17)</f>
        <v>7037</v>
      </c>
      <c r="V17" s="4">
        <f>V16*0.18</f>
        <v>11231.82</v>
      </c>
      <c r="W17" s="4">
        <f t="shared" ref="W17:AL17" si="40">W16*0.18</f>
        <v>13224.896886283166</v>
      </c>
      <c r="X17" s="4">
        <f t="shared" si="40"/>
        <v>14983.808172158828</v>
      </c>
      <c r="Y17" s="4">
        <f t="shared" si="40"/>
        <v>16976.654659055959</v>
      </c>
      <c r="Z17" s="4">
        <f t="shared" si="40"/>
        <v>19234.549728710397</v>
      </c>
      <c r="AA17" s="4">
        <f t="shared" si="40"/>
        <v>21792.744842628879</v>
      </c>
      <c r="AB17" s="4">
        <f t="shared" si="40"/>
        <v>20703.107600497435</v>
      </c>
      <c r="AC17" s="4">
        <f t="shared" si="40"/>
        <v>19667.952220472565</v>
      </c>
      <c r="AD17" s="4">
        <f t="shared" si="40"/>
        <v>18684.554609448936</v>
      </c>
      <c r="AE17" s="4">
        <f t="shared" si="40"/>
        <v>17750.326878976484</v>
      </c>
      <c r="AF17" s="4">
        <f t="shared" si="40"/>
        <v>16862.810535027667</v>
      </c>
      <c r="AG17" s="4">
        <f t="shared" si="40"/>
        <v>16019.670008276282</v>
      </c>
      <c r="AH17" s="4">
        <f t="shared" si="40"/>
        <v>15218.68650786246</v>
      </c>
      <c r="AI17" s="4">
        <f t="shared" si="40"/>
        <v>14457.752182469341</v>
      </c>
      <c r="AJ17" s="4">
        <f t="shared" si="40"/>
        <v>13734.864573345874</v>
      </c>
      <c r="AK17" s="4">
        <f t="shared" si="40"/>
        <v>13048.12134467858</v>
      </c>
      <c r="AL17" s="4">
        <f t="shared" si="40"/>
        <v>12395.715277444653</v>
      </c>
    </row>
    <row r="18" spans="1:97" s="1" customFormat="1" x14ac:dyDescent="0.2">
      <c r="A18" s="5"/>
      <c r="B18" s="5" t="s">
        <v>26</v>
      </c>
      <c r="C18" s="5">
        <f>C16-C17</f>
        <v>4655</v>
      </c>
      <c r="D18" s="5">
        <f>D16-D17</f>
        <v>5709</v>
      </c>
      <c r="E18" s="5">
        <f>E16-E17</f>
        <v>7788</v>
      </c>
      <c r="F18" s="5">
        <f>F16-F17</f>
        <v>11338</v>
      </c>
      <c r="G18" s="5">
        <f>G16-G17</f>
        <v>14263</v>
      </c>
      <c r="H18" s="5">
        <f>H16-H17</f>
        <v>12369</v>
      </c>
      <c r="I18" s="5">
        <f>I16-I17</f>
        <v>13465</v>
      </c>
      <c r="J18" s="5">
        <f>J16-J17</f>
        <v>15688</v>
      </c>
      <c r="K18" s="5">
        <f t="shared" ref="K18:N18" si="41">K16-K17</f>
        <v>17072.399999999998</v>
      </c>
      <c r="L18" s="5">
        <f t="shared" si="41"/>
        <v>20486.88</v>
      </c>
      <c r="M18" s="5">
        <f t="shared" si="41"/>
        <v>24584.25599999999</v>
      </c>
      <c r="N18" s="5">
        <f t="shared" si="41"/>
        <v>29501.10719999998</v>
      </c>
      <c r="U18" s="5">
        <f>U16-U17</f>
        <v>29490</v>
      </c>
      <c r="V18" s="5">
        <f>V16-V17</f>
        <v>51167.18</v>
      </c>
      <c r="W18" s="5">
        <f t="shared" ref="W18:AL18" si="42">W16-W17</f>
        <v>60246.752481956646</v>
      </c>
      <c r="X18" s="5">
        <f t="shared" si="42"/>
        <v>68259.570562056892</v>
      </c>
      <c r="Y18" s="5">
        <f t="shared" si="42"/>
        <v>77338.093446810482</v>
      </c>
      <c r="Z18" s="5">
        <f t="shared" si="42"/>
        <v>87624.059875236257</v>
      </c>
      <c r="AA18" s="5">
        <f t="shared" si="42"/>
        <v>99278.059838642672</v>
      </c>
      <c r="AB18" s="5">
        <f t="shared" si="42"/>
        <v>94314.156846710554</v>
      </c>
      <c r="AC18" s="5">
        <f t="shared" si="42"/>
        <v>89598.449004375027</v>
      </c>
      <c r="AD18" s="5">
        <f t="shared" si="42"/>
        <v>85118.526554156269</v>
      </c>
      <c r="AE18" s="5">
        <f t="shared" si="42"/>
        <v>80862.600226448441</v>
      </c>
      <c r="AF18" s="5">
        <f t="shared" si="42"/>
        <v>76819.470215126028</v>
      </c>
      <c r="AG18" s="5">
        <f t="shared" si="42"/>
        <v>72978.496704369725</v>
      </c>
      <c r="AH18" s="5">
        <f t="shared" si="42"/>
        <v>69329.571869151216</v>
      </c>
      <c r="AI18" s="5">
        <f t="shared" si="42"/>
        <v>65863.093275693667</v>
      </c>
      <c r="AJ18" s="5">
        <f t="shared" si="42"/>
        <v>62569.938611908983</v>
      </c>
      <c r="AK18" s="5">
        <f t="shared" si="42"/>
        <v>59441.441681313532</v>
      </c>
      <c r="AL18" s="5">
        <f t="shared" si="42"/>
        <v>56469.369597247867</v>
      </c>
      <c r="AM18" s="1">
        <f>AL18*(1+AO23)</f>
        <v>55904.67590127539</v>
      </c>
      <c r="AN18" s="1">
        <f t="shared" ref="AN18:CS18" si="43">AM18*(1+AP23)</f>
        <v>55904.67590127539</v>
      </c>
      <c r="AO18" s="1">
        <f t="shared" si="43"/>
        <v>55904.67590127539</v>
      </c>
      <c r="AP18" s="1">
        <f t="shared" si="43"/>
        <v>55904.67590127539</v>
      </c>
      <c r="AQ18" s="1">
        <f t="shared" si="43"/>
        <v>55904.67590127539</v>
      </c>
      <c r="AR18" s="1">
        <f t="shared" si="43"/>
        <v>55904.67590127539</v>
      </c>
      <c r="AS18" s="1">
        <f t="shared" si="43"/>
        <v>55904.67590127539</v>
      </c>
      <c r="AT18" s="1">
        <f t="shared" si="43"/>
        <v>55904.67590127539</v>
      </c>
      <c r="AU18" s="1">
        <f t="shared" si="43"/>
        <v>55904.67590127539</v>
      </c>
      <c r="AV18" s="1">
        <f t="shared" si="43"/>
        <v>55904.67590127539</v>
      </c>
      <c r="AW18" s="1">
        <f t="shared" si="43"/>
        <v>55904.67590127539</v>
      </c>
      <c r="AX18" s="1">
        <f t="shared" si="43"/>
        <v>55904.67590127539</v>
      </c>
      <c r="AY18" s="1">
        <f t="shared" si="43"/>
        <v>55904.67590127539</v>
      </c>
      <c r="AZ18" s="1">
        <f t="shared" si="43"/>
        <v>55904.67590127539</v>
      </c>
      <c r="BA18" s="1">
        <f t="shared" si="43"/>
        <v>55904.67590127539</v>
      </c>
      <c r="BB18" s="1">
        <f t="shared" si="43"/>
        <v>55904.67590127539</v>
      </c>
      <c r="BC18" s="1">
        <f t="shared" si="43"/>
        <v>55904.67590127539</v>
      </c>
      <c r="BD18" s="1">
        <f t="shared" si="43"/>
        <v>55904.67590127539</v>
      </c>
      <c r="BE18" s="1">
        <f t="shared" si="43"/>
        <v>55904.67590127539</v>
      </c>
      <c r="BF18" s="1">
        <f t="shared" si="43"/>
        <v>55904.67590127539</v>
      </c>
      <c r="BG18" s="1">
        <f t="shared" si="43"/>
        <v>55904.67590127539</v>
      </c>
      <c r="BH18" s="1">
        <f t="shared" si="43"/>
        <v>55904.67590127539</v>
      </c>
      <c r="BI18" s="1">
        <f t="shared" si="43"/>
        <v>55904.67590127539</v>
      </c>
      <c r="BJ18" s="1">
        <f t="shared" si="43"/>
        <v>55904.67590127539</v>
      </c>
      <c r="BK18" s="1">
        <f t="shared" si="43"/>
        <v>55904.67590127539</v>
      </c>
      <c r="BL18" s="1">
        <f t="shared" si="43"/>
        <v>55904.67590127539</v>
      </c>
      <c r="BM18" s="1">
        <f t="shared" si="43"/>
        <v>55904.67590127539</v>
      </c>
      <c r="BN18" s="1">
        <f t="shared" si="43"/>
        <v>55904.67590127539</v>
      </c>
      <c r="BO18" s="1">
        <f t="shared" si="43"/>
        <v>55904.67590127539</v>
      </c>
      <c r="BP18" s="1">
        <f t="shared" si="43"/>
        <v>55904.67590127539</v>
      </c>
      <c r="BQ18" s="1">
        <f t="shared" si="43"/>
        <v>55904.67590127539</v>
      </c>
      <c r="BR18" s="1">
        <f t="shared" si="43"/>
        <v>55904.67590127539</v>
      </c>
      <c r="BS18" s="1">
        <f t="shared" si="43"/>
        <v>55904.67590127539</v>
      </c>
      <c r="BT18" s="1">
        <f t="shared" si="43"/>
        <v>55904.67590127539</v>
      </c>
      <c r="BU18" s="1">
        <f t="shared" si="43"/>
        <v>55904.67590127539</v>
      </c>
      <c r="BV18" s="1">
        <f t="shared" si="43"/>
        <v>55904.67590127539</v>
      </c>
      <c r="BW18" s="1">
        <f t="shared" si="43"/>
        <v>55904.67590127539</v>
      </c>
      <c r="BX18" s="1">
        <f t="shared" si="43"/>
        <v>55904.67590127539</v>
      </c>
      <c r="BY18" s="1">
        <f t="shared" si="43"/>
        <v>55904.67590127539</v>
      </c>
      <c r="BZ18" s="1">
        <f t="shared" si="43"/>
        <v>55904.67590127539</v>
      </c>
      <c r="CA18" s="1">
        <f t="shared" si="43"/>
        <v>55904.67590127539</v>
      </c>
      <c r="CB18" s="1">
        <f t="shared" si="43"/>
        <v>55904.67590127539</v>
      </c>
      <c r="CC18" s="1">
        <f t="shared" si="43"/>
        <v>55904.67590127539</v>
      </c>
      <c r="CD18" s="1">
        <f t="shared" si="43"/>
        <v>55904.67590127539</v>
      </c>
      <c r="CE18" s="1">
        <f t="shared" si="43"/>
        <v>55904.67590127539</v>
      </c>
      <c r="CF18" s="1">
        <f t="shared" si="43"/>
        <v>55904.67590127539</v>
      </c>
      <c r="CG18" s="1">
        <f t="shared" si="43"/>
        <v>55904.67590127539</v>
      </c>
      <c r="CH18" s="1">
        <f t="shared" si="43"/>
        <v>55904.67590127539</v>
      </c>
      <c r="CI18" s="1">
        <f t="shared" si="43"/>
        <v>55904.67590127539</v>
      </c>
      <c r="CJ18" s="1">
        <f t="shared" si="43"/>
        <v>55904.67590127539</v>
      </c>
      <c r="CK18" s="1">
        <f t="shared" si="43"/>
        <v>55904.67590127539</v>
      </c>
      <c r="CL18" s="1">
        <f t="shared" si="43"/>
        <v>55904.67590127539</v>
      </c>
      <c r="CM18" s="1">
        <f t="shared" si="43"/>
        <v>55904.67590127539</v>
      </c>
      <c r="CN18" s="1">
        <f t="shared" si="43"/>
        <v>55904.67590127539</v>
      </c>
      <c r="CO18" s="1">
        <f t="shared" si="43"/>
        <v>55904.67590127539</v>
      </c>
      <c r="CP18" s="1">
        <f t="shared" si="43"/>
        <v>55904.67590127539</v>
      </c>
      <c r="CQ18" s="1">
        <f t="shared" si="43"/>
        <v>55904.67590127539</v>
      </c>
      <c r="CR18" s="1">
        <f t="shared" si="43"/>
        <v>55904.67590127539</v>
      </c>
      <c r="CS18" s="1">
        <f t="shared" si="43"/>
        <v>55904.67590127539</v>
      </c>
    </row>
    <row r="19" spans="1:97" x14ac:dyDescent="0.2">
      <c r="B19" s="2" t="s">
        <v>1</v>
      </c>
      <c r="C19" s="2">
        <v>2640</v>
      </c>
      <c r="D19">
        <v>2596</v>
      </c>
      <c r="E19">
        <v>2612</v>
      </c>
      <c r="F19">
        <v>2641</v>
      </c>
      <c r="G19" s="2">
        <f>AVERAGE(D19:F19)</f>
        <v>2616.3333333333335</v>
      </c>
      <c r="H19">
        <v>2625</v>
      </c>
      <c r="I19">
        <v>2610</v>
      </c>
      <c r="J19">
        <v>2600</v>
      </c>
      <c r="U19" s="2">
        <f>AVERAGE(C19:F19)</f>
        <v>2622.25</v>
      </c>
      <c r="V19" s="2">
        <f>AVERAGE(G19:J19)</f>
        <v>2612.8333333333335</v>
      </c>
    </row>
    <row r="20" spans="1:97" x14ac:dyDescent="0.2">
      <c r="B20" s="2" t="s">
        <v>27</v>
      </c>
      <c r="C20" s="6">
        <f>C18/C19</f>
        <v>1.7632575757575757</v>
      </c>
      <c r="D20" s="6">
        <f>D18/D19</f>
        <v>2.1991525423728815</v>
      </c>
      <c r="E20" s="6">
        <f>E18/E19</f>
        <v>2.9816232771822357</v>
      </c>
      <c r="F20" s="6">
        <f>F18/F19</f>
        <v>4.2930708065126844</v>
      </c>
      <c r="G20" s="6">
        <f>G18/G19</f>
        <v>5.4515224869410117</v>
      </c>
      <c r="H20" s="6">
        <f>H18/H19</f>
        <v>4.7119999999999997</v>
      </c>
      <c r="I20" s="6">
        <f>I18/I19</f>
        <v>5.1590038314176248</v>
      </c>
      <c r="J20" s="6">
        <f>J18/J19</f>
        <v>6.0338461538461541</v>
      </c>
      <c r="U20" s="6">
        <f>U18/U19</f>
        <v>11.246067308609019</v>
      </c>
      <c r="V20" s="6">
        <f>V18/V19</f>
        <v>19.583024813420934</v>
      </c>
    </row>
    <row r="22" spans="1:97" x14ac:dyDescent="0.2">
      <c r="AJ22">
        <v>1</v>
      </c>
    </row>
    <row r="23" spans="1:97" x14ac:dyDescent="0.2">
      <c r="B23" t="s">
        <v>32</v>
      </c>
      <c r="C23" s="7">
        <f>C9/C7</f>
        <v>0.74083631276231932</v>
      </c>
      <c r="D23" s="7">
        <f>D9/D7</f>
        <v>0.7867690696456624</v>
      </c>
      <c r="E23" s="7">
        <f>E9/E7</f>
        <v>0.81421294415450485</v>
      </c>
      <c r="F23" s="7">
        <f>F9/F7</f>
        <v>0.81813389562467054</v>
      </c>
      <c r="H23" s="7">
        <f>H9/H7</f>
        <v>0.81785763269784661</v>
      </c>
      <c r="I23" s="7">
        <f>I9/I7</f>
        <v>0.81295590079598679</v>
      </c>
      <c r="J23" s="7">
        <f>J9/J7</f>
        <v>0.81830052477272164</v>
      </c>
      <c r="W23" s="7">
        <f>W9/W7</f>
        <v>0.81425105775570161</v>
      </c>
      <c r="X23" s="7">
        <f t="shared" ref="X23:AL23" si="44">X9/X7</f>
        <v>0.81425105775570161</v>
      </c>
      <c r="Y23" s="7">
        <f t="shared" si="44"/>
        <v>0.81425105775570172</v>
      </c>
      <c r="Z23" s="7">
        <f t="shared" si="44"/>
        <v>0.81425105775570161</v>
      </c>
      <c r="AA23" s="7">
        <f t="shared" si="44"/>
        <v>0.81425105775570161</v>
      </c>
      <c r="AB23" s="7">
        <f t="shared" si="44"/>
        <v>0.81425105775570161</v>
      </c>
      <c r="AC23" s="7">
        <f t="shared" si="44"/>
        <v>0.81425105775570161</v>
      </c>
      <c r="AD23" s="7">
        <f t="shared" si="44"/>
        <v>0.81425105775570161</v>
      </c>
      <c r="AE23" s="7">
        <f t="shared" si="44"/>
        <v>0.81425105775570161</v>
      </c>
      <c r="AF23" s="7">
        <f t="shared" si="44"/>
        <v>0.81425105775570172</v>
      </c>
      <c r="AG23" s="7">
        <f t="shared" si="44"/>
        <v>0.81425105775570172</v>
      </c>
      <c r="AH23" s="7">
        <f t="shared" si="44"/>
        <v>0.81425105775570161</v>
      </c>
      <c r="AI23" s="7">
        <f t="shared" si="44"/>
        <v>0.81425105775570161</v>
      </c>
      <c r="AJ23" s="7">
        <f t="shared" si="44"/>
        <v>0.81425105775570161</v>
      </c>
      <c r="AK23" s="7">
        <f t="shared" si="44"/>
        <v>0.81425105775570172</v>
      </c>
      <c r="AL23" s="7">
        <f t="shared" si="44"/>
        <v>0.81425105775570172</v>
      </c>
      <c r="AN23" t="s">
        <v>46</v>
      </c>
      <c r="AO23" s="7">
        <v>-0.01</v>
      </c>
    </row>
    <row r="24" spans="1:97" x14ac:dyDescent="0.2">
      <c r="B24" s="7" t="s">
        <v>31</v>
      </c>
      <c r="C24" s="7">
        <f>C17/C16</f>
        <v>0.24333550065019505</v>
      </c>
      <c r="D24" s="7">
        <f>D17/D16</f>
        <v>0.21869440262761736</v>
      </c>
      <c r="E24" s="7">
        <f>E17/E16</f>
        <v>0.16194985472936618</v>
      </c>
      <c r="F24" s="7">
        <f>F17/F16</f>
        <v>0.17691470054446462</v>
      </c>
      <c r="G24" s="7"/>
      <c r="H24" s="7">
        <f>H17/H16</f>
        <v>0.12789959811041388</v>
      </c>
      <c r="I24" s="7">
        <f>I17/I16</f>
        <v>0.10863233152389778</v>
      </c>
      <c r="J24" s="7">
        <f>J17/J16</f>
        <v>0.11973964762652901</v>
      </c>
      <c r="W24" s="7">
        <f>W17/W16</f>
        <v>0.18</v>
      </c>
      <c r="X24" s="7">
        <f t="shared" ref="X24:AL24" si="45">X17/X16</f>
        <v>0.18</v>
      </c>
      <c r="Y24" s="7">
        <f t="shared" si="45"/>
        <v>0.18</v>
      </c>
      <c r="Z24" s="7">
        <f t="shared" si="45"/>
        <v>0.18</v>
      </c>
      <c r="AA24" s="7">
        <f t="shared" si="45"/>
        <v>0.18</v>
      </c>
      <c r="AB24" s="7">
        <f t="shared" si="45"/>
        <v>0.17999999999999997</v>
      </c>
      <c r="AC24" s="7">
        <f t="shared" si="45"/>
        <v>0.18</v>
      </c>
      <c r="AD24" s="7">
        <f t="shared" si="45"/>
        <v>0.18</v>
      </c>
      <c r="AE24" s="7">
        <f t="shared" si="45"/>
        <v>0.17999999999999997</v>
      </c>
      <c r="AF24" s="7">
        <f t="shared" si="45"/>
        <v>0.18000000000000002</v>
      </c>
      <c r="AG24" s="7">
        <f t="shared" si="45"/>
        <v>0.18</v>
      </c>
      <c r="AH24" s="7">
        <f t="shared" si="45"/>
        <v>0.18</v>
      </c>
      <c r="AI24" s="7">
        <f t="shared" si="45"/>
        <v>0.18</v>
      </c>
      <c r="AJ24" s="7">
        <f t="shared" si="45"/>
        <v>0.18</v>
      </c>
      <c r="AK24" s="7">
        <f t="shared" si="45"/>
        <v>0.18</v>
      </c>
      <c r="AL24" s="7">
        <f t="shared" si="45"/>
        <v>0.18</v>
      </c>
      <c r="AN24" t="s">
        <v>47</v>
      </c>
      <c r="AO24" s="7">
        <v>0.05</v>
      </c>
    </row>
    <row r="25" spans="1:97" x14ac:dyDescent="0.2">
      <c r="AN25" t="s">
        <v>48</v>
      </c>
      <c r="AO25" s="11">
        <f>NPV(AO24,W18:XFD18)</f>
        <v>1312611.3226407799</v>
      </c>
    </row>
    <row r="26" spans="1:97" x14ac:dyDescent="0.2">
      <c r="J26" s="7"/>
      <c r="AN26" t="s">
        <v>49</v>
      </c>
      <c r="AO26">
        <f>AO25/Main!V4</f>
        <v>602.11528561503667</v>
      </c>
    </row>
    <row r="27" spans="1:97" x14ac:dyDescent="0.2">
      <c r="B27" s="1" t="s">
        <v>28</v>
      </c>
      <c r="C27" s="1"/>
      <c r="D27" s="1"/>
      <c r="E27" s="1"/>
      <c r="F27" s="1"/>
      <c r="G27" s="8">
        <f>G7/C7-1</f>
        <v>0.24706979636250592</v>
      </c>
      <c r="H27" s="8">
        <f>H7/D7-1</f>
        <v>0.27264793157619138</v>
      </c>
      <c r="I27" s="8">
        <f>I7/E7-1</f>
        <v>0.2210069064658271</v>
      </c>
      <c r="J27" s="8">
        <f>J7/F7-1</f>
        <v>0.18868974404029748</v>
      </c>
      <c r="V27" s="7">
        <f>V7/U7-1</f>
        <v>0.23056988696782321</v>
      </c>
      <c r="W27" s="7">
        <f t="shared" ref="W27:AL27" si="46">W7/V7-1</f>
        <v>0.17744914771454368</v>
      </c>
      <c r="X27" s="7">
        <f t="shared" si="46"/>
        <v>0.13300000000000001</v>
      </c>
      <c r="Y27" s="7">
        <f t="shared" si="46"/>
        <v>0.13300000000000023</v>
      </c>
      <c r="Z27" s="7">
        <f t="shared" si="46"/>
        <v>0.13300000000000001</v>
      </c>
      <c r="AA27" s="7">
        <f t="shared" si="46"/>
        <v>0.13300000000000023</v>
      </c>
      <c r="AB27" s="7">
        <f t="shared" si="46"/>
        <v>-5.0000000000000044E-2</v>
      </c>
      <c r="AC27" s="7">
        <f t="shared" si="46"/>
        <v>-4.9999999999999933E-2</v>
      </c>
      <c r="AD27" s="7">
        <f t="shared" si="46"/>
        <v>-5.0000000000000155E-2</v>
      </c>
      <c r="AE27" s="7">
        <f t="shared" si="46"/>
        <v>-5.0000000000000044E-2</v>
      </c>
      <c r="AF27" s="7">
        <f t="shared" si="46"/>
        <v>-5.0000000000000044E-2</v>
      </c>
      <c r="AG27" s="7">
        <f t="shared" si="46"/>
        <v>-5.0000000000000044E-2</v>
      </c>
      <c r="AH27" s="7">
        <f t="shared" si="46"/>
        <v>-5.0000000000000044E-2</v>
      </c>
      <c r="AI27" s="7">
        <f t="shared" si="46"/>
        <v>-4.9999999999999933E-2</v>
      </c>
      <c r="AJ27" s="7">
        <f t="shared" si="46"/>
        <v>-5.0000000000000044E-2</v>
      </c>
      <c r="AK27" s="7">
        <f t="shared" si="46"/>
        <v>-5.0000000000000044E-2</v>
      </c>
      <c r="AL27" s="7">
        <f t="shared" si="46"/>
        <v>-4.9999999999999933E-2</v>
      </c>
    </row>
    <row r="28" spans="1:97" x14ac:dyDescent="0.2">
      <c r="B28" t="s">
        <v>29</v>
      </c>
      <c r="G28" s="7">
        <f>G10/C10-1</f>
        <v>7.6348377852829774E-2</v>
      </c>
      <c r="H28" s="7">
        <f>H10/D10-1</f>
        <v>6.3639270866645337E-2</v>
      </c>
      <c r="I28" s="7">
        <f>I10/E10-1</f>
        <v>0.12767551369863006</v>
      </c>
      <c r="J28" s="7">
        <f>J10/F10-1</f>
        <v>0.20950113624066669</v>
      </c>
      <c r="V28" s="7"/>
      <c r="W28" s="7"/>
    </row>
    <row r="29" spans="1:97" s="7" customFormat="1" x14ac:dyDescent="0.2">
      <c r="B29" s="7" t="s">
        <v>43</v>
      </c>
      <c r="J29" s="7">
        <f>J5/F5-1</f>
        <v>0.13208547051456909</v>
      </c>
      <c r="W29" s="7">
        <v>0.1</v>
      </c>
      <c r="X29" s="7">
        <v>0.1</v>
      </c>
      <c r="Y29" s="7">
        <v>0.1</v>
      </c>
      <c r="Z29" s="7">
        <v>0.1</v>
      </c>
      <c r="AA29" s="7">
        <v>0.1</v>
      </c>
      <c r="AB29" s="7">
        <v>-0.05</v>
      </c>
      <c r="AC29" s="7">
        <v>-0.05</v>
      </c>
      <c r="AD29" s="7">
        <v>-0.05</v>
      </c>
      <c r="AE29" s="7">
        <v>-0.05</v>
      </c>
      <c r="AF29" s="7">
        <v>-0.05</v>
      </c>
      <c r="AG29" s="7">
        <v>-0.05</v>
      </c>
      <c r="AH29" s="7">
        <v>-0.05</v>
      </c>
      <c r="AI29" s="7">
        <v>-0.05</v>
      </c>
      <c r="AJ29" s="7">
        <v>-0.05</v>
      </c>
      <c r="AK29" s="7">
        <v>-0.05</v>
      </c>
      <c r="AL29" s="7">
        <v>-0.05</v>
      </c>
    </row>
    <row r="30" spans="1:97" x14ac:dyDescent="0.2">
      <c r="B30" t="s">
        <v>45</v>
      </c>
      <c r="J30" s="7">
        <f>J4/F4-1</f>
        <v>5.0000000000000044E-2</v>
      </c>
      <c r="W30" s="7">
        <v>0.03</v>
      </c>
      <c r="X30" s="7">
        <v>0.03</v>
      </c>
      <c r="Y30" s="7">
        <v>0.03</v>
      </c>
      <c r="Z30" s="7">
        <v>0.03</v>
      </c>
      <c r="AA30" s="7">
        <v>0.03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N30" t="s">
        <v>50</v>
      </c>
      <c r="AO30" s="7">
        <f>Main!V3/Model!AO26-1</f>
        <v>2.4720705055277126E-2</v>
      </c>
    </row>
    <row r="31" spans="1:97" s="1" customFormat="1" x14ac:dyDescent="0.2"/>
    <row r="36" spans="6:7" x14ac:dyDescent="0.2">
      <c r="F36" s="10" t="s">
        <v>38</v>
      </c>
    </row>
    <row r="37" spans="6:7" x14ac:dyDescent="0.2">
      <c r="F37" t="s">
        <v>39</v>
      </c>
      <c r="G37" s="9">
        <f>+J5*4</f>
        <v>49.348328267477207</v>
      </c>
    </row>
    <row r="38" spans="6:7" x14ac:dyDescent="0.2">
      <c r="F38" t="s">
        <v>40</v>
      </c>
      <c r="G38" s="9">
        <f>70*12</f>
        <v>840</v>
      </c>
    </row>
    <row r="39" spans="6:7" x14ac:dyDescent="0.2">
      <c r="F39" t="s">
        <v>41</v>
      </c>
      <c r="G39" s="9">
        <f>35*12</f>
        <v>420</v>
      </c>
    </row>
    <row r="40" spans="6:7" x14ac:dyDescent="0.2">
      <c r="F40" t="s">
        <v>44</v>
      </c>
      <c r="G40">
        <f>23*12</f>
        <v>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Wong</dc:creator>
  <cp:lastModifiedBy>Bobby S</cp:lastModifiedBy>
  <dcterms:created xsi:type="dcterms:W3CDTF">2025-01-16T02:08:23Z</dcterms:created>
  <dcterms:modified xsi:type="dcterms:W3CDTF">2025-01-17T20:12:56Z</dcterms:modified>
</cp:coreProperties>
</file>