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963" documentId="8_{B0B78CC6-2926-324A-997D-DC343561A24A}" xr6:coauthVersionLast="47" xr6:coauthVersionMax="47" xr10:uidLastSave="{6E6D556A-6D34-BB43-9AD3-D39F7F3DE8A0}"/>
  <bookViews>
    <workbookView xWindow="24000" yWindow="9980" windowWidth="38400" windowHeight="19620" activeTab="1" xr2:uid="{6A3AD71F-3F61-AD4D-A445-AA008CB1CF6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2" l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V22" i="2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V21" i="2"/>
  <c r="V24" i="2" s="1"/>
  <c r="W30" i="2"/>
  <c r="X30" i="2" s="1"/>
  <c r="V30" i="2"/>
  <c r="T23" i="2"/>
  <c r="T22" i="2"/>
  <c r="T21" i="2"/>
  <c r="U24" i="2"/>
  <c r="U23" i="2"/>
  <c r="U22" i="2"/>
  <c r="U21" i="2"/>
  <c r="U30" i="2"/>
  <c r="T30" i="2"/>
  <c r="T24" i="2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U3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U2" i="2"/>
  <c r="P23" i="2"/>
  <c r="P22" i="2"/>
  <c r="P21" i="2"/>
  <c r="P24" i="2" s="1"/>
  <c r="O23" i="2"/>
  <c r="O22" i="2"/>
  <c r="O21" i="2"/>
  <c r="O24" i="2" s="1"/>
  <c r="N23" i="2"/>
  <c r="N22" i="2"/>
  <c r="N21" i="2"/>
  <c r="N24" i="2" s="1"/>
  <c r="M23" i="2"/>
  <c r="M22" i="2"/>
  <c r="M21" i="2"/>
  <c r="M24" i="2" s="1"/>
  <c r="L24" i="2"/>
  <c r="L23" i="2"/>
  <c r="L22" i="2"/>
  <c r="L21" i="2"/>
  <c r="H10" i="2"/>
  <c r="I10" i="2"/>
  <c r="H9" i="2"/>
  <c r="I9" i="2"/>
  <c r="H8" i="2"/>
  <c r="I8" i="2"/>
  <c r="J10" i="2"/>
  <c r="J9" i="2"/>
  <c r="J8" i="2"/>
  <c r="K9" i="2"/>
  <c r="K8" i="2"/>
  <c r="K10" i="2"/>
  <c r="W21" i="2" l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D24" i="2"/>
  <c r="W24" i="2"/>
  <c r="X24" i="2"/>
  <c r="Y24" i="2"/>
  <c r="Z24" i="2"/>
  <c r="AA24" i="2"/>
  <c r="AB24" i="2"/>
  <c r="AC24" i="2"/>
  <c r="Y30" i="2"/>
  <c r="AE24" i="2" l="1"/>
  <c r="AF24" i="2"/>
  <c r="AG24" i="2"/>
  <c r="Z30" i="2"/>
  <c r="AA30" i="2" l="1"/>
  <c r="F5" i="1"/>
  <c r="F4" i="1"/>
  <c r="F3" i="1"/>
  <c r="F7" i="1" s="1"/>
  <c r="H94" i="2"/>
  <c r="I94" i="2"/>
  <c r="J94" i="2"/>
  <c r="K94" i="2"/>
  <c r="K82" i="2"/>
  <c r="K85" i="2" s="1"/>
  <c r="K58" i="2"/>
  <c r="K57" i="2"/>
  <c r="K55" i="2"/>
  <c r="K50" i="2"/>
  <c r="K44" i="2"/>
  <c r="G24" i="2"/>
  <c r="G19" i="2"/>
  <c r="G18" i="2"/>
  <c r="G17" i="2"/>
  <c r="G14" i="2"/>
  <c r="K24" i="2"/>
  <c r="K19" i="2"/>
  <c r="K18" i="2"/>
  <c r="K17" i="2"/>
  <c r="K14" i="2"/>
  <c r="O14" i="2" s="1"/>
  <c r="O20" i="2" s="1"/>
  <c r="O17" i="2" s="1"/>
  <c r="O35" i="2" l="1"/>
  <c r="AB30" i="2"/>
  <c r="O25" i="2"/>
  <c r="O38" i="2"/>
  <c r="G20" i="2"/>
  <c r="G38" i="2" s="1"/>
  <c r="K20" i="2"/>
  <c r="K38" i="2" s="1"/>
  <c r="K63" i="2"/>
  <c r="K65" i="2" s="1"/>
  <c r="K35" i="2"/>
  <c r="K25" i="2"/>
  <c r="K43" i="2"/>
  <c r="K52" i="2"/>
  <c r="G25" i="2"/>
  <c r="AC30" i="2" l="1"/>
  <c r="O27" i="2"/>
  <c r="O39" i="2"/>
  <c r="G27" i="2"/>
  <c r="G39" i="2"/>
  <c r="K27" i="2"/>
  <c r="K39" i="2"/>
  <c r="AD30" i="2" l="1"/>
  <c r="O28" i="2"/>
  <c r="O40" i="2" s="1"/>
  <c r="K29" i="2"/>
  <c r="K40" i="2"/>
  <c r="G29" i="2"/>
  <c r="G31" i="2" s="1"/>
  <c r="G40" i="2"/>
  <c r="O29" i="2" l="1"/>
  <c r="O31" i="2" s="1"/>
  <c r="AE30" i="2"/>
  <c r="K31" i="2"/>
  <c r="K67" i="2"/>
  <c r="AF30" i="2" l="1"/>
  <c r="AG30" i="2" l="1"/>
  <c r="H82" i="2" l="1"/>
  <c r="H85" i="2" s="1"/>
  <c r="I57" i="2"/>
  <c r="I58" i="2"/>
  <c r="I55" i="2"/>
  <c r="I50" i="2"/>
  <c r="I44" i="2"/>
  <c r="H58" i="2"/>
  <c r="H57" i="2"/>
  <c r="H55" i="2"/>
  <c r="H50" i="2"/>
  <c r="H44" i="2"/>
  <c r="D24" i="2"/>
  <c r="D17" i="2"/>
  <c r="D14" i="2"/>
  <c r="H24" i="2"/>
  <c r="H19" i="2"/>
  <c r="H18" i="2"/>
  <c r="H17" i="2"/>
  <c r="H14" i="2"/>
  <c r="L14" i="2" s="1"/>
  <c r="J82" i="2"/>
  <c r="J85" i="2" s="1"/>
  <c r="I82" i="2"/>
  <c r="I85" i="2" s="1"/>
  <c r="E24" i="2"/>
  <c r="E19" i="2"/>
  <c r="E18" i="2"/>
  <c r="E17" i="2"/>
  <c r="E14" i="2"/>
  <c r="I24" i="2"/>
  <c r="I19" i="2"/>
  <c r="I18" i="2"/>
  <c r="I17" i="2"/>
  <c r="I14" i="2"/>
  <c r="J64" i="2"/>
  <c r="J58" i="2"/>
  <c r="J57" i="2"/>
  <c r="J55" i="2"/>
  <c r="J50" i="2"/>
  <c r="J44" i="2"/>
  <c r="F24" i="2"/>
  <c r="F19" i="2"/>
  <c r="F18" i="2"/>
  <c r="F17" i="2"/>
  <c r="F14" i="2"/>
  <c r="P14" i="2" l="1"/>
  <c r="L20" i="2"/>
  <c r="L17" i="2"/>
  <c r="L35" i="2"/>
  <c r="M14" i="2"/>
  <c r="K88" i="2"/>
  <c r="I43" i="2"/>
  <c r="J63" i="2"/>
  <c r="H43" i="2"/>
  <c r="D20" i="2"/>
  <c r="D25" i="2" s="1"/>
  <c r="D39" i="2" s="1"/>
  <c r="I63" i="2"/>
  <c r="I65" i="2" s="1"/>
  <c r="H52" i="2"/>
  <c r="H35" i="2"/>
  <c r="I35" i="2"/>
  <c r="H63" i="2"/>
  <c r="H65" i="2" s="1"/>
  <c r="I52" i="2"/>
  <c r="J52" i="2"/>
  <c r="H20" i="2"/>
  <c r="J43" i="2"/>
  <c r="E20" i="2"/>
  <c r="I20" i="2"/>
  <c r="J65" i="2"/>
  <c r="F20" i="2"/>
  <c r="D38" i="2" l="1"/>
  <c r="L25" i="2"/>
  <c r="L38" i="2"/>
  <c r="M35" i="2"/>
  <c r="M20" i="2"/>
  <c r="M17" i="2"/>
  <c r="D27" i="2"/>
  <c r="P35" i="2"/>
  <c r="P20" i="2"/>
  <c r="H25" i="2"/>
  <c r="H38" i="2"/>
  <c r="I25" i="2"/>
  <c r="I38" i="2"/>
  <c r="E25" i="2"/>
  <c r="E38" i="2"/>
  <c r="F25" i="2"/>
  <c r="F39" i="2" s="1"/>
  <c r="F38" i="2"/>
  <c r="P17" i="2" l="1"/>
  <c r="P25" i="2"/>
  <c r="P38" i="2"/>
  <c r="D40" i="2"/>
  <c r="D29" i="2"/>
  <c r="D31" i="2" s="1"/>
  <c r="M25" i="2"/>
  <c r="M38" i="2"/>
  <c r="L27" i="2"/>
  <c r="L39" i="2"/>
  <c r="H27" i="2"/>
  <c r="H39" i="2"/>
  <c r="E27" i="2"/>
  <c r="E39" i="2"/>
  <c r="I27" i="2"/>
  <c r="I39" i="2"/>
  <c r="F27" i="2"/>
  <c r="L28" i="2" l="1"/>
  <c r="L40" i="2" s="1"/>
  <c r="M39" i="2"/>
  <c r="M27" i="2"/>
  <c r="P27" i="2"/>
  <c r="P39" i="2"/>
  <c r="H29" i="2"/>
  <c r="H40" i="2"/>
  <c r="E29" i="2"/>
  <c r="E31" i="2" s="1"/>
  <c r="E40" i="2"/>
  <c r="I29" i="2"/>
  <c r="I40" i="2"/>
  <c r="F29" i="2"/>
  <c r="F31" i="2" s="1"/>
  <c r="F40" i="2"/>
  <c r="P28" i="2" l="1"/>
  <c r="P40" i="2" s="1"/>
  <c r="M28" i="2"/>
  <c r="M40" i="2" s="1"/>
  <c r="L29" i="2"/>
  <c r="H31" i="2"/>
  <c r="H67" i="2"/>
  <c r="I31" i="2"/>
  <c r="I67" i="2"/>
  <c r="L31" i="2" l="1"/>
  <c r="L43" i="2"/>
  <c r="M29" i="2"/>
  <c r="M31" i="2" s="1"/>
  <c r="P29" i="2"/>
  <c r="P31" i="2" s="1"/>
  <c r="T43" i="2" l="1"/>
  <c r="M43" i="2"/>
  <c r="J24" i="2"/>
  <c r="J19" i="2"/>
  <c r="J18" i="2"/>
  <c r="J17" i="2"/>
  <c r="J14" i="2"/>
  <c r="M6" i="1"/>
  <c r="M5" i="1"/>
  <c r="AK38" i="2" s="1"/>
  <c r="M4" i="1"/>
  <c r="J35" i="2" l="1"/>
  <c r="N14" i="2"/>
  <c r="T14" i="2"/>
  <c r="M7" i="1"/>
  <c r="J20" i="2"/>
  <c r="T20" i="2" s="1"/>
  <c r="T38" i="2" l="1"/>
  <c r="T25" i="2"/>
  <c r="T27" i="2" s="1"/>
  <c r="T28" i="2" s="1"/>
  <c r="T29" i="2" s="1"/>
  <c r="T31" i="2" s="1"/>
  <c r="T17" i="2"/>
  <c r="N35" i="2"/>
  <c r="N20" i="2"/>
  <c r="U14" i="2"/>
  <c r="M10" i="1"/>
  <c r="J25" i="2"/>
  <c r="J38" i="2"/>
  <c r="V14" i="2" l="1"/>
  <c r="U35" i="2"/>
  <c r="N17" i="2"/>
  <c r="N25" i="2"/>
  <c r="N38" i="2"/>
  <c r="U20" i="2"/>
  <c r="J27" i="2"/>
  <c r="J39" i="2"/>
  <c r="U25" i="2" l="1"/>
  <c r="U27" i="2" s="1"/>
  <c r="U38" i="2"/>
  <c r="N39" i="2"/>
  <c r="N27" i="2"/>
  <c r="U17" i="2"/>
  <c r="W14" i="2"/>
  <c r="V35" i="2"/>
  <c r="V20" i="2"/>
  <c r="J29" i="2"/>
  <c r="K89" i="2" s="1"/>
  <c r="J40" i="2"/>
  <c r="V17" i="2" l="1"/>
  <c r="V38" i="2"/>
  <c r="V25" i="2"/>
  <c r="X14" i="2"/>
  <c r="W20" i="2"/>
  <c r="W17" i="2"/>
  <c r="W35" i="2"/>
  <c r="N28" i="2"/>
  <c r="N40" i="2" s="1"/>
  <c r="N29" i="2"/>
  <c r="U28" i="2"/>
  <c r="U29" i="2"/>
  <c r="U31" i="2" s="1"/>
  <c r="J31" i="2"/>
  <c r="J67" i="2"/>
  <c r="N31" i="2" l="1"/>
  <c r="N43" i="2"/>
  <c r="O43" i="2" s="1"/>
  <c r="P43" i="2" s="1"/>
  <c r="U43" i="2" s="1"/>
  <c r="Y14" i="2"/>
  <c r="X20" i="2"/>
  <c r="X35" i="2"/>
  <c r="X17" i="2"/>
  <c r="W38" i="2"/>
  <c r="W25" i="2"/>
  <c r="Z14" i="2" l="1"/>
  <c r="Y20" i="2"/>
  <c r="Y17" i="2" s="1"/>
  <c r="Y35" i="2"/>
  <c r="V26" i="2"/>
  <c r="V27" i="2" s="1"/>
  <c r="V28" i="2" s="1"/>
  <c r="V29" i="2" s="1"/>
  <c r="V31" i="2" s="1"/>
  <c r="X38" i="2"/>
  <c r="X25" i="2"/>
  <c r="V43" i="2" l="1"/>
  <c r="Y38" i="2"/>
  <c r="Y25" i="2"/>
  <c r="AA14" i="2"/>
  <c r="Z35" i="2"/>
  <c r="Z20" i="2"/>
  <c r="Z17" i="2" s="1"/>
  <c r="W26" i="2" l="1"/>
  <c r="W27" i="2" s="1"/>
  <c r="W28" i="2" s="1"/>
  <c r="W29" i="2" s="1"/>
  <c r="W31" i="2" s="1"/>
  <c r="Z38" i="2"/>
  <c r="Z25" i="2"/>
  <c r="AB14" i="2"/>
  <c r="AA20" i="2"/>
  <c r="AA35" i="2"/>
  <c r="AA17" i="2"/>
  <c r="W43" i="2" l="1"/>
  <c r="AA25" i="2"/>
  <c r="AA38" i="2"/>
  <c r="AC14" i="2"/>
  <c r="AB20" i="2"/>
  <c r="AB17" i="2"/>
  <c r="AB35" i="2"/>
  <c r="AB38" i="2" l="1"/>
  <c r="AB25" i="2"/>
  <c r="X26" i="2"/>
  <c r="X27" i="2" s="1"/>
  <c r="X28" i="2" s="1"/>
  <c r="X29" i="2" s="1"/>
  <c r="X31" i="2" s="1"/>
  <c r="AD14" i="2"/>
  <c r="AC20" i="2"/>
  <c r="AC35" i="2"/>
  <c r="AC17" i="2"/>
  <c r="AE14" i="2" l="1"/>
  <c r="AD20" i="2"/>
  <c r="AD35" i="2"/>
  <c r="AD17" i="2"/>
  <c r="X43" i="2"/>
  <c r="Y26" i="2" s="1"/>
  <c r="Y27" i="2" s="1"/>
  <c r="Y28" i="2" s="1"/>
  <c r="Y29" i="2" s="1"/>
  <c r="AC38" i="2"/>
  <c r="AC25" i="2"/>
  <c r="AD25" i="2" l="1"/>
  <c r="AD38" i="2"/>
  <c r="Y43" i="2"/>
  <c r="Y31" i="2"/>
  <c r="AF14" i="2"/>
  <c r="AE20" i="2"/>
  <c r="AE35" i="2"/>
  <c r="AE17" i="2"/>
  <c r="AE38" i="2" l="1"/>
  <c r="AE25" i="2"/>
  <c r="AG14" i="2"/>
  <c r="AF20" i="2"/>
  <c r="AF35" i="2"/>
  <c r="AF17" i="2"/>
  <c r="Z26" i="2"/>
  <c r="Z27" i="2" s="1"/>
  <c r="Z28" i="2" s="1"/>
  <c r="Z29" i="2" s="1"/>
  <c r="Z31" i="2" s="1"/>
  <c r="Z43" i="2" l="1"/>
  <c r="AG20" i="2"/>
  <c r="AG35" i="2"/>
  <c r="AG17" i="2"/>
  <c r="AF25" i="2"/>
  <c r="AF38" i="2"/>
  <c r="AG25" i="2" l="1"/>
  <c r="AG38" i="2"/>
  <c r="AA26" i="2"/>
  <c r="AA27" i="2" s="1"/>
  <c r="AA28" i="2" s="1"/>
  <c r="AA29" i="2" s="1"/>
  <c r="AA31" i="2" s="1"/>
  <c r="AA43" i="2" l="1"/>
  <c r="AB26" i="2" l="1"/>
  <c r="AB27" i="2" s="1"/>
  <c r="AB28" i="2" s="1"/>
  <c r="AB29" i="2" s="1"/>
  <c r="AB31" i="2" s="1"/>
  <c r="AB43" i="2"/>
  <c r="AC26" i="2" l="1"/>
  <c r="AC27" i="2" s="1"/>
  <c r="AC28" i="2" s="1"/>
  <c r="AC29" i="2" s="1"/>
  <c r="AC31" i="2" s="1"/>
  <c r="AC43" i="2" l="1"/>
  <c r="AD26" i="2" l="1"/>
  <c r="AD27" i="2" s="1"/>
  <c r="AD28" i="2" s="1"/>
  <c r="AD29" i="2" s="1"/>
  <c r="AD31" i="2" s="1"/>
  <c r="AD43" i="2" l="1"/>
  <c r="AE26" i="2" l="1"/>
  <c r="AE27" i="2" s="1"/>
  <c r="AE28" i="2" s="1"/>
  <c r="AE29" i="2" s="1"/>
  <c r="AE31" i="2" s="1"/>
  <c r="AE43" i="2" l="1"/>
  <c r="AF26" i="2" l="1"/>
  <c r="AF27" i="2" s="1"/>
  <c r="AF28" i="2" s="1"/>
  <c r="AF29" i="2" s="1"/>
  <c r="AF31" i="2" s="1"/>
  <c r="AF43" i="2" l="1"/>
  <c r="AG26" i="2" l="1"/>
  <c r="AG27" i="2" s="1"/>
  <c r="AG28" i="2" s="1"/>
  <c r="AG29" i="2" s="1"/>
  <c r="AG43" i="2" s="1"/>
  <c r="AG31" i="2" l="1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AK36" i="2" s="1"/>
  <c r="AK39" i="2" s="1"/>
  <c r="AK40" i="2" s="1"/>
</calcChain>
</file>

<file path=xl/sharedStrings.xml><?xml version="1.0" encoding="utf-8"?>
<sst xmlns="http://schemas.openxmlformats.org/spreadsheetml/2006/main" count="121" uniqueCount="105">
  <si>
    <t>Price</t>
  </si>
  <si>
    <t>Shares</t>
  </si>
  <si>
    <t>MC</t>
  </si>
  <si>
    <t>Cash</t>
  </si>
  <si>
    <t>Debt</t>
  </si>
  <si>
    <t>EV</t>
  </si>
  <si>
    <t>Q324</t>
  </si>
  <si>
    <t>Revenue</t>
  </si>
  <si>
    <t>Q123</t>
  </si>
  <si>
    <t>Q124</t>
  </si>
  <si>
    <t>Q223</t>
  </si>
  <si>
    <t>Q323</t>
  </si>
  <si>
    <t>Q423</t>
  </si>
  <si>
    <t>Q224</t>
  </si>
  <si>
    <t>Q424</t>
  </si>
  <si>
    <t>Q422</t>
  </si>
  <si>
    <t>Product</t>
  </si>
  <si>
    <t>Service &amp; Other</t>
  </si>
  <si>
    <t>Cost of Product</t>
  </si>
  <si>
    <t>Cost of Service &amp; Other</t>
  </si>
  <si>
    <t>COGs</t>
  </si>
  <si>
    <t>Product GP</t>
  </si>
  <si>
    <t>Service &amp; Other GP</t>
  </si>
  <si>
    <t>GP</t>
  </si>
  <si>
    <t>Gross Margin %</t>
  </si>
  <si>
    <t>R&amp;D</t>
  </si>
  <si>
    <t>S&amp;M</t>
  </si>
  <si>
    <t>G&amp;A</t>
  </si>
  <si>
    <t>Operating Income</t>
  </si>
  <si>
    <t>Operating Costs</t>
  </si>
  <si>
    <t>Pretax Income</t>
  </si>
  <si>
    <t>Other Income</t>
  </si>
  <si>
    <t>Taxes</t>
  </si>
  <si>
    <t>Net Income</t>
  </si>
  <si>
    <t>EPS</t>
  </si>
  <si>
    <t>Revenue Y/Y</t>
  </si>
  <si>
    <t>Operating Margin %</t>
  </si>
  <si>
    <t>Net Cash</t>
  </si>
  <si>
    <t>A/R</t>
  </si>
  <si>
    <t>Inventory</t>
  </si>
  <si>
    <t>Other</t>
  </si>
  <si>
    <t>PP&amp;E</t>
  </si>
  <si>
    <t>Goodwill</t>
  </si>
  <si>
    <t>Assets</t>
  </si>
  <si>
    <t>A/P</t>
  </si>
  <si>
    <t>Compensation</t>
  </si>
  <si>
    <t>D/R</t>
  </si>
  <si>
    <t>Lease</t>
  </si>
  <si>
    <t>S/E</t>
  </si>
  <si>
    <t>L+S/E</t>
  </si>
  <si>
    <t>Liabilities</t>
  </si>
  <si>
    <t>D/T</t>
  </si>
  <si>
    <t>OSTL</t>
  </si>
  <si>
    <t>OTLT</t>
  </si>
  <si>
    <t>Model NI</t>
  </si>
  <si>
    <t>Reported NI</t>
  </si>
  <si>
    <t>D&amp;A</t>
  </si>
  <si>
    <t>SBC</t>
  </si>
  <si>
    <t>Investments</t>
  </si>
  <si>
    <t>OCA</t>
  </si>
  <si>
    <t>OLTA</t>
  </si>
  <si>
    <t>OCL</t>
  </si>
  <si>
    <t>OLTL</t>
  </si>
  <si>
    <t>Inventories</t>
  </si>
  <si>
    <t>CFFO</t>
  </si>
  <si>
    <t>CapEx</t>
  </si>
  <si>
    <t>FCF</t>
  </si>
  <si>
    <t>Acquisitions</t>
  </si>
  <si>
    <t>Buybacks</t>
  </si>
  <si>
    <t>12M FCF</t>
  </si>
  <si>
    <t>12M NI</t>
  </si>
  <si>
    <t>EV/FCF</t>
  </si>
  <si>
    <t>Dividends</t>
  </si>
  <si>
    <t>Local Rev Y/Y</t>
  </si>
  <si>
    <t>Q125</t>
  </si>
  <si>
    <t>Q225</t>
  </si>
  <si>
    <t>Q325</t>
  </si>
  <si>
    <t>Q425</t>
  </si>
  <si>
    <t>Segments</t>
  </si>
  <si>
    <t>Productivity &amp; Business Services</t>
  </si>
  <si>
    <t>% of Revenue</t>
  </si>
  <si>
    <t>Intelligent Cloud</t>
  </si>
  <si>
    <t>Total</t>
  </si>
  <si>
    <t>More Personal Computing</t>
  </si>
  <si>
    <t>Contains</t>
  </si>
  <si>
    <t>Azure</t>
  </si>
  <si>
    <t>Office / M365, LI, Dynamics 365</t>
  </si>
  <si>
    <t>Devices/Xbox/Search</t>
  </si>
  <si>
    <t>Growth %</t>
  </si>
  <si>
    <t>Competition</t>
  </si>
  <si>
    <t>Amazon, Google</t>
  </si>
  <si>
    <t>Google, Salesforce, Oracle, SAP</t>
  </si>
  <si>
    <t>Apple, Sony, Samsung</t>
  </si>
  <si>
    <t>Productivity</t>
  </si>
  <si>
    <t>More Personal</t>
  </si>
  <si>
    <t>Cloud</t>
  </si>
  <si>
    <t>Productivity Y/Y</t>
  </si>
  <si>
    <t>Cloud Y/Y</t>
  </si>
  <si>
    <t>More Personal Y/Y</t>
  </si>
  <si>
    <t>ROIC</t>
  </si>
  <si>
    <t>Maturity</t>
  </si>
  <si>
    <t>Discount</t>
  </si>
  <si>
    <t>NPV</t>
  </si>
  <si>
    <t>Value</t>
  </si>
  <si>
    <t>NPV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</si>
</sst>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\x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9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23091</xdr:rowOff>
    </xdr:from>
    <xdr:to>
      <xdr:col>21</xdr:col>
      <xdr:colOff>0</xdr:colOff>
      <xdr:row>44</xdr:row>
      <xdr:rowOff>184727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E633623-1852-682E-EA57-D1A39A55AB8A}"/>
            </a:ext>
          </a:extLst>
        </xdr:cNvPr>
        <xdr:cNvCxnSpPr/>
      </xdr:nvCxnSpPr>
      <xdr:spPr>
        <a:xfrm>
          <a:off x="18068636" y="23091"/>
          <a:ext cx="0" cy="93056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BB7765-D3CC-8D47-B0D7-19DA4F4FCAD1}" name="Table1" displayName="Table1" ref="E2:I7">
  <autoFilter ref="E2:I7" xr:uid="{44BB7765-D3CC-8D47-B0D7-19DA4F4FCAD1}"/>
  <tableColumns count="5">
    <tableColumn id="1" xr3:uid="{A6CB2EC0-597F-D241-BCA5-9562D65C8259}" name="Segments"/>
    <tableColumn id="2" xr3:uid="{F5AB1F1F-0445-EB41-857B-EC2D00F523D8}" name="% of Revenue" dataDxfId="1">
      <calculatedColumnFormula>28317/65585</calculatedColumnFormula>
    </tableColumn>
    <tableColumn id="3" xr3:uid="{CBFBACB7-98C5-1A4F-A351-98BE37710A28}" name="Contains" dataDxfId="0"/>
    <tableColumn id="4" xr3:uid="{2B352E7E-8C08-0A4D-88C8-342636190699}" name="Growth %"/>
    <tableColumn id="5" xr3:uid="{BEB6ECAF-D0EB-6346-9006-2BB791A4E5B7}" name="Compet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4E0B-EE42-1A46-A567-A5D83E674066}">
  <dimension ref="E2:N27"/>
  <sheetViews>
    <sheetView topLeftCell="D1" zoomScale="150" zoomScaleNormal="150" workbookViewId="0">
      <selection activeCell="I10" sqref="I10"/>
    </sheetView>
  </sheetViews>
  <sheetFormatPr baseColWidth="10" defaultRowHeight="16" x14ac:dyDescent="0.2"/>
  <cols>
    <col min="5" max="5" width="27.5" bestFit="1" customWidth="1"/>
    <col min="6" max="6" width="13.1640625" customWidth="1"/>
    <col min="7" max="7" width="31.83203125" bestFit="1" customWidth="1"/>
    <col min="9" max="9" width="27" bestFit="1" customWidth="1"/>
  </cols>
  <sheetData>
    <row r="2" spans="5:14" x14ac:dyDescent="0.2">
      <c r="E2" s="9" t="s">
        <v>78</v>
      </c>
      <c r="F2" t="s">
        <v>80</v>
      </c>
      <c r="G2" t="s">
        <v>84</v>
      </c>
      <c r="H2" t="s">
        <v>88</v>
      </c>
      <c r="I2" t="s">
        <v>89</v>
      </c>
      <c r="L2" s="1" t="s">
        <v>0</v>
      </c>
      <c r="M2" s="2">
        <v>418.95</v>
      </c>
    </row>
    <row r="3" spans="5:14" x14ac:dyDescent="0.2">
      <c r="E3" s="1" t="s">
        <v>79</v>
      </c>
      <c r="F3" s="6">
        <f>28317/65585</f>
        <v>0.43176031104673324</v>
      </c>
      <c r="G3" s="10" t="s">
        <v>86</v>
      </c>
      <c r="H3" s="3">
        <v>0.12</v>
      </c>
      <c r="I3" s="10" t="s">
        <v>91</v>
      </c>
      <c r="L3" s="1" t="s">
        <v>1</v>
      </c>
      <c r="M3" s="2">
        <v>7434.88</v>
      </c>
      <c r="N3" t="s">
        <v>6</v>
      </c>
    </row>
    <row r="4" spans="5:14" x14ac:dyDescent="0.2">
      <c r="E4" s="1" t="s">
        <v>81</v>
      </c>
      <c r="F4" s="6">
        <f>24092/65585</f>
        <v>0.36734009300907222</v>
      </c>
      <c r="G4" s="10" t="s">
        <v>85</v>
      </c>
      <c r="H4" s="3">
        <v>0.2</v>
      </c>
      <c r="I4" s="10" t="s">
        <v>90</v>
      </c>
      <c r="L4" s="1" t="s">
        <v>2</v>
      </c>
      <c r="M4" s="2">
        <f>M2*M3</f>
        <v>3114842.9759999998</v>
      </c>
    </row>
    <row r="5" spans="5:14" x14ac:dyDescent="0.2">
      <c r="E5" t="s">
        <v>83</v>
      </c>
      <c r="F5" s="3">
        <f>13176/65585</f>
        <v>0.20089959594419457</v>
      </c>
      <c r="G5" s="10" t="s">
        <v>87</v>
      </c>
      <c r="H5" s="3">
        <v>0.17</v>
      </c>
      <c r="I5" s="10" t="s">
        <v>92</v>
      </c>
      <c r="L5" s="1" t="s">
        <v>3</v>
      </c>
      <c r="M5" s="2">
        <f>20840+57588+15778</f>
        <v>94206</v>
      </c>
      <c r="N5" t="s">
        <v>6</v>
      </c>
    </row>
    <row r="6" spans="5:14" x14ac:dyDescent="0.2">
      <c r="E6" s="9"/>
      <c r="G6" s="10"/>
      <c r="L6" s="1" t="s">
        <v>4</v>
      </c>
      <c r="M6" s="2">
        <f>0+42868+2249</f>
        <v>45117</v>
      </c>
      <c r="N6" t="s">
        <v>6</v>
      </c>
    </row>
    <row r="7" spans="5:14" x14ac:dyDescent="0.2">
      <c r="E7" t="s">
        <v>82</v>
      </c>
      <c r="F7" s="3">
        <f>SUM(F3:F5)</f>
        <v>1</v>
      </c>
      <c r="G7" s="10"/>
      <c r="L7" s="1" t="s">
        <v>5</v>
      </c>
      <c r="M7" s="2">
        <f>M4-M5+M6</f>
        <v>3065753.9759999998</v>
      </c>
    </row>
    <row r="8" spans="5:14" x14ac:dyDescent="0.2">
      <c r="M8" s="2"/>
    </row>
    <row r="9" spans="5:14" x14ac:dyDescent="0.2">
      <c r="M9" s="2"/>
    </row>
    <row r="10" spans="5:14" x14ac:dyDescent="0.2">
      <c r="L10" s="1" t="s">
        <v>71</v>
      </c>
      <c r="M10" s="8">
        <f>M7/Model!K88</f>
        <v>43.439044094309679</v>
      </c>
    </row>
    <row r="11" spans="5:14" x14ac:dyDescent="0.2">
      <c r="M11" s="2"/>
    </row>
    <row r="12" spans="5:14" x14ac:dyDescent="0.2">
      <c r="M12" s="2"/>
    </row>
    <row r="13" spans="5:14" x14ac:dyDescent="0.2">
      <c r="M13" s="2"/>
    </row>
    <row r="14" spans="5:14" x14ac:dyDescent="0.2">
      <c r="M14" s="2"/>
    </row>
    <row r="15" spans="5:14" x14ac:dyDescent="0.2">
      <c r="M15" s="2"/>
    </row>
    <row r="16" spans="5:14" x14ac:dyDescent="0.2">
      <c r="E16" s="9"/>
      <c r="M16" s="2"/>
    </row>
    <row r="17" spans="5:13" x14ac:dyDescent="0.2">
      <c r="E17" s="1"/>
      <c r="M17" s="2"/>
    </row>
    <row r="18" spans="5:13" x14ac:dyDescent="0.2">
      <c r="E18" s="1"/>
      <c r="M18" s="2"/>
    </row>
    <row r="22" spans="5:13" x14ac:dyDescent="0.2">
      <c r="E22" s="9"/>
    </row>
    <row r="27" spans="5:13" x14ac:dyDescent="0.2">
      <c r="E2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4353-2481-2B40-AE8E-1084BBB0317C}">
  <dimension ref="A2:EX106"/>
  <sheetViews>
    <sheetView tabSelected="1" zoomScale="110" zoomScaleNormal="110" workbookViewId="0">
      <pane xSplit="3" ySplit="3" topLeftCell="Q10" activePane="bottomRight" state="frozen"/>
      <selection pane="topRight" activeCell="D1" sqref="D1"/>
      <selection pane="bottomLeft" activeCell="A4" sqref="A4"/>
      <selection pane="bottomRight" activeCell="V14" sqref="V14"/>
    </sheetView>
  </sheetViews>
  <sheetFormatPr baseColWidth="10" defaultRowHeight="16" x14ac:dyDescent="0.2"/>
  <cols>
    <col min="3" max="3" width="19.83203125" bestFit="1" customWidth="1"/>
    <col min="4" max="4" width="10" customWidth="1"/>
    <col min="37" max="37" width="13.6640625" bestFit="1" customWidth="1"/>
  </cols>
  <sheetData>
    <row r="2" spans="1:33" x14ac:dyDescent="0.2">
      <c r="D2" s="7">
        <v>44742</v>
      </c>
      <c r="E2" s="7">
        <v>44834</v>
      </c>
      <c r="F2" s="7">
        <v>44926</v>
      </c>
      <c r="G2" s="7">
        <v>45016</v>
      </c>
      <c r="H2" s="7">
        <v>45107</v>
      </c>
      <c r="I2" s="7">
        <v>45199</v>
      </c>
      <c r="J2" s="7">
        <v>45291</v>
      </c>
      <c r="K2" s="7">
        <v>45382</v>
      </c>
      <c r="T2" s="7">
        <v>45473</v>
      </c>
      <c r="U2" s="7">
        <f>T2+365</f>
        <v>45838</v>
      </c>
      <c r="V2" s="7">
        <f t="shared" ref="V2:AG2" si="0">U2+365</f>
        <v>46203</v>
      </c>
      <c r="W2" s="7">
        <f t="shared" si="0"/>
        <v>46568</v>
      </c>
      <c r="X2" s="7">
        <f t="shared" si="0"/>
        <v>46933</v>
      </c>
      <c r="Y2" s="7">
        <f t="shared" si="0"/>
        <v>47298</v>
      </c>
      <c r="Z2" s="7">
        <f t="shared" si="0"/>
        <v>47663</v>
      </c>
      <c r="AA2" s="7">
        <f t="shared" si="0"/>
        <v>48028</v>
      </c>
      <c r="AB2" s="7">
        <f t="shared" si="0"/>
        <v>48393</v>
      </c>
      <c r="AC2" s="7">
        <f t="shared" si="0"/>
        <v>48758</v>
      </c>
      <c r="AD2" s="7">
        <f t="shared" si="0"/>
        <v>49123</v>
      </c>
      <c r="AE2" s="7">
        <f t="shared" si="0"/>
        <v>49488</v>
      </c>
      <c r="AF2" s="7">
        <f t="shared" si="0"/>
        <v>49853</v>
      </c>
      <c r="AG2" s="7">
        <f t="shared" si="0"/>
        <v>50218</v>
      </c>
    </row>
    <row r="3" spans="1:33" x14ac:dyDescent="0.2">
      <c r="D3" t="s">
        <v>15</v>
      </c>
      <c r="E3" t="s">
        <v>8</v>
      </c>
      <c r="F3" t="s">
        <v>10</v>
      </c>
      <c r="G3" t="s">
        <v>11</v>
      </c>
      <c r="H3" t="s">
        <v>12</v>
      </c>
      <c r="I3" t="s">
        <v>9</v>
      </c>
      <c r="J3" t="s">
        <v>13</v>
      </c>
      <c r="K3" t="s">
        <v>6</v>
      </c>
      <c r="L3" t="s">
        <v>14</v>
      </c>
      <c r="M3" t="s">
        <v>74</v>
      </c>
      <c r="N3" t="s">
        <v>75</v>
      </c>
      <c r="O3" t="s">
        <v>76</v>
      </c>
      <c r="P3" t="s">
        <v>77</v>
      </c>
      <c r="T3">
        <v>2024</v>
      </c>
      <c r="U3">
        <f>T3+1</f>
        <v>2025</v>
      </c>
      <c r="V3">
        <f t="shared" ref="V3:AG3" si="1">U3+1</f>
        <v>2026</v>
      </c>
      <c r="W3">
        <f t="shared" si="1"/>
        <v>2027</v>
      </c>
      <c r="X3">
        <f t="shared" si="1"/>
        <v>2028</v>
      </c>
      <c r="Y3">
        <f t="shared" si="1"/>
        <v>2029</v>
      </c>
      <c r="Z3">
        <f t="shared" si="1"/>
        <v>2030</v>
      </c>
      <c r="AA3">
        <f t="shared" si="1"/>
        <v>2031</v>
      </c>
      <c r="AB3">
        <f t="shared" si="1"/>
        <v>2032</v>
      </c>
      <c r="AC3">
        <f t="shared" si="1"/>
        <v>2033</v>
      </c>
      <c r="AD3">
        <f t="shared" si="1"/>
        <v>2034</v>
      </c>
      <c r="AE3">
        <f t="shared" si="1"/>
        <v>2035</v>
      </c>
      <c r="AF3">
        <f t="shared" si="1"/>
        <v>2036</v>
      </c>
      <c r="AG3">
        <f t="shared" si="1"/>
        <v>2037</v>
      </c>
    </row>
    <row r="4" spans="1:33" s="2" customFormat="1" x14ac:dyDescent="0.2">
      <c r="C4" s="2" t="s">
        <v>93</v>
      </c>
      <c r="D4" s="2">
        <v>16600</v>
      </c>
      <c r="E4" s="2">
        <v>16465</v>
      </c>
      <c r="F4" s="2">
        <v>17002</v>
      </c>
      <c r="G4" s="2">
        <v>17516</v>
      </c>
      <c r="H4" s="2">
        <v>18291</v>
      </c>
      <c r="I4" s="2">
        <v>18592</v>
      </c>
      <c r="J4" s="2">
        <v>19249</v>
      </c>
      <c r="K4" s="2">
        <v>19570</v>
      </c>
    </row>
    <row r="5" spans="1:33" s="2" customFormat="1" x14ac:dyDescent="0.2">
      <c r="C5" s="2" t="s">
        <v>95</v>
      </c>
      <c r="D5" s="2">
        <v>20804</v>
      </c>
      <c r="E5" s="2">
        <v>20325</v>
      </c>
      <c r="F5" s="2">
        <v>21508</v>
      </c>
      <c r="G5" s="2">
        <v>22081</v>
      </c>
      <c r="H5" s="2">
        <v>23993</v>
      </c>
      <c r="I5" s="2">
        <v>24259</v>
      </c>
      <c r="J5" s="2">
        <v>25880</v>
      </c>
      <c r="K5" s="2">
        <v>26708</v>
      </c>
    </row>
    <row r="6" spans="1:33" s="2" customFormat="1" x14ac:dyDescent="0.2">
      <c r="C6" s="2" t="s">
        <v>94</v>
      </c>
      <c r="D6" s="2">
        <v>14461</v>
      </c>
      <c r="E6" s="2">
        <v>13332</v>
      </c>
      <c r="F6" s="2">
        <v>14237</v>
      </c>
      <c r="G6" s="2">
        <v>13260</v>
      </c>
      <c r="H6" s="2">
        <v>13905</v>
      </c>
      <c r="I6" s="2">
        <v>13666</v>
      </c>
      <c r="J6" s="2">
        <v>16891</v>
      </c>
      <c r="K6" s="2">
        <v>15580</v>
      </c>
    </row>
    <row r="7" spans="1:33" s="2" customFormat="1" x14ac:dyDescent="0.2"/>
    <row r="8" spans="1:33" s="2" customFormat="1" x14ac:dyDescent="0.2">
      <c r="C8" s="2" t="s">
        <v>96</v>
      </c>
      <c r="H8" s="3">
        <f t="shared" ref="H8:K9" si="2">H4/D4-1</f>
        <v>0.10186746987951811</v>
      </c>
      <c r="I8" s="3">
        <f t="shared" si="2"/>
        <v>0.12918311569996965</v>
      </c>
      <c r="J8" s="3">
        <f t="shared" si="2"/>
        <v>0.13216092224444176</v>
      </c>
      <c r="K8" s="3">
        <f t="shared" si="2"/>
        <v>0.11726421557433198</v>
      </c>
    </row>
    <row r="9" spans="1:33" x14ac:dyDescent="0.2">
      <c r="C9" s="2" t="s">
        <v>97</v>
      </c>
      <c r="D9" s="2"/>
      <c r="E9" s="2"/>
      <c r="F9" s="2"/>
      <c r="G9" s="2"/>
      <c r="H9" s="3">
        <f t="shared" si="2"/>
        <v>0.15328782926360307</v>
      </c>
      <c r="I9" s="3">
        <f t="shared" si="2"/>
        <v>0.19355473554735547</v>
      </c>
      <c r="J9" s="3">
        <f t="shared" si="2"/>
        <v>0.20327320066951837</v>
      </c>
      <c r="K9" s="3">
        <f t="shared" si="2"/>
        <v>0.20954666908201625</v>
      </c>
    </row>
    <row r="10" spans="1:33" x14ac:dyDescent="0.2">
      <c r="C10" s="2" t="s">
        <v>98</v>
      </c>
      <c r="H10" s="3">
        <f>H6/D6-1</f>
        <v>-3.8448240094046016E-2</v>
      </c>
      <c r="I10" s="3">
        <f>I6/E6-1</f>
        <v>2.5052505250525048E-2</v>
      </c>
      <c r="J10" s="3">
        <f>J6/F6-1</f>
        <v>0.1864156774601391</v>
      </c>
      <c r="K10" s="3">
        <f>K6/G6-1</f>
        <v>0.17496229260935148</v>
      </c>
    </row>
    <row r="12" spans="1:33" s="2" customFormat="1" x14ac:dyDescent="0.2">
      <c r="A12"/>
      <c r="B12"/>
      <c r="C12" t="s">
        <v>16</v>
      </c>
      <c r="D12" s="2">
        <v>17956</v>
      </c>
      <c r="E12" s="2">
        <v>15741</v>
      </c>
      <c r="F12" s="2">
        <v>16517</v>
      </c>
      <c r="G12" s="2">
        <v>15588</v>
      </c>
      <c r="H12" s="2">
        <v>16853</v>
      </c>
      <c r="I12" s="2">
        <v>15535</v>
      </c>
      <c r="J12" s="2">
        <v>18941</v>
      </c>
      <c r="K12" s="2">
        <v>17080</v>
      </c>
    </row>
    <row r="13" spans="1:33" s="2" customFormat="1" x14ac:dyDescent="0.2">
      <c r="A13"/>
      <c r="B13"/>
      <c r="C13" t="s">
        <v>17</v>
      </c>
      <c r="D13" s="2">
        <v>33909</v>
      </c>
      <c r="E13" s="2">
        <v>34381</v>
      </c>
      <c r="F13" s="2">
        <v>36230</v>
      </c>
      <c r="G13" s="2">
        <v>37269</v>
      </c>
      <c r="H13" s="2">
        <v>39336</v>
      </c>
      <c r="I13" s="2">
        <v>40982</v>
      </c>
      <c r="J13" s="2">
        <v>43079</v>
      </c>
      <c r="K13" s="2">
        <v>44778</v>
      </c>
    </row>
    <row r="14" spans="1:33" s="4" customFormat="1" x14ac:dyDescent="0.2">
      <c r="A14" s="1"/>
      <c r="B14" s="1"/>
      <c r="C14" s="1" t="s">
        <v>7</v>
      </c>
      <c r="D14" s="4">
        <f t="shared" ref="D14:K14" si="3">SUM(D12:D13)</f>
        <v>51865</v>
      </c>
      <c r="E14" s="4">
        <f t="shared" si="3"/>
        <v>50122</v>
      </c>
      <c r="F14" s="4">
        <f t="shared" si="3"/>
        <v>52747</v>
      </c>
      <c r="G14" s="4">
        <f t="shared" si="3"/>
        <v>52857</v>
      </c>
      <c r="H14" s="4">
        <f t="shared" si="3"/>
        <v>56189</v>
      </c>
      <c r="I14" s="4">
        <f t="shared" si="3"/>
        <v>56517</v>
      </c>
      <c r="J14" s="4">
        <f t="shared" si="3"/>
        <v>62020</v>
      </c>
      <c r="K14" s="4">
        <f t="shared" si="3"/>
        <v>61858</v>
      </c>
      <c r="L14" s="4">
        <f>H14*1.14</f>
        <v>64055.459999999992</v>
      </c>
      <c r="M14" s="4">
        <f t="shared" ref="M14:P14" si="4">I14*1.14</f>
        <v>64429.38</v>
      </c>
      <c r="N14" s="4">
        <f t="shared" si="4"/>
        <v>70702.799999999988</v>
      </c>
      <c r="O14" s="4">
        <f t="shared" si="4"/>
        <v>70518.12</v>
      </c>
      <c r="P14" s="4">
        <f t="shared" si="4"/>
        <v>73023.224399999977</v>
      </c>
      <c r="T14" s="4">
        <f>SUM(I14:L14)</f>
        <v>244450.46</v>
      </c>
      <c r="U14" s="4">
        <f>SUM(M14:P14)</f>
        <v>278673.52439999999</v>
      </c>
      <c r="V14" s="4">
        <f>U14*1.1</f>
        <v>306540.87684000004</v>
      </c>
      <c r="W14" s="4">
        <f t="shared" ref="W14:AG14" si="5">V14*1.1</f>
        <v>337194.96452400007</v>
      </c>
      <c r="X14" s="4">
        <f t="shared" si="5"/>
        <v>370914.46097640012</v>
      </c>
      <c r="Y14" s="4">
        <f t="shared" si="5"/>
        <v>408005.90707404015</v>
      </c>
      <c r="Z14" s="4">
        <f t="shared" si="5"/>
        <v>448806.49778144422</v>
      </c>
      <c r="AA14" s="4">
        <f t="shared" si="5"/>
        <v>493687.14755958866</v>
      </c>
      <c r="AB14" s="4">
        <f t="shared" si="5"/>
        <v>543055.86231554754</v>
      </c>
      <c r="AC14" s="4">
        <f t="shared" si="5"/>
        <v>597361.44854710239</v>
      </c>
      <c r="AD14" s="4">
        <f t="shared" si="5"/>
        <v>657097.59340181272</v>
      </c>
      <c r="AE14" s="4">
        <f t="shared" si="5"/>
        <v>722807.35274199408</v>
      </c>
      <c r="AF14" s="4">
        <f t="shared" si="5"/>
        <v>795088.08801619359</v>
      </c>
      <c r="AG14" s="4">
        <f t="shared" si="5"/>
        <v>874596.89681781305</v>
      </c>
    </row>
    <row r="15" spans="1:33" s="2" customFormat="1" x14ac:dyDescent="0.2">
      <c r="A15"/>
      <c r="B15"/>
      <c r="C15" t="s">
        <v>18</v>
      </c>
      <c r="D15" s="2">
        <v>4357</v>
      </c>
      <c r="E15" s="2">
        <v>4302</v>
      </c>
      <c r="F15" s="2">
        <v>5690</v>
      </c>
      <c r="G15" s="2">
        <v>3941</v>
      </c>
      <c r="H15" s="2">
        <v>3871</v>
      </c>
      <c r="I15" s="2">
        <v>3531</v>
      </c>
      <c r="J15" s="2">
        <v>5964</v>
      </c>
      <c r="K15" s="2">
        <v>4339</v>
      </c>
    </row>
    <row r="16" spans="1:33" s="2" customFormat="1" x14ac:dyDescent="0.2">
      <c r="A16"/>
      <c r="B16"/>
      <c r="C16" t="s">
        <v>19</v>
      </c>
      <c r="D16" s="2">
        <v>12072</v>
      </c>
      <c r="E16" s="2">
        <v>11150</v>
      </c>
      <c r="F16" s="2">
        <v>11798</v>
      </c>
      <c r="G16" s="2">
        <v>12187</v>
      </c>
      <c r="H16" s="2">
        <v>12924</v>
      </c>
      <c r="I16" s="2">
        <v>12771</v>
      </c>
      <c r="J16" s="2">
        <v>13659</v>
      </c>
      <c r="K16" s="2">
        <v>14166</v>
      </c>
    </row>
    <row r="17" spans="1:154" s="4" customFormat="1" x14ac:dyDescent="0.2">
      <c r="A17" s="1"/>
      <c r="B17" s="1"/>
      <c r="C17" s="1" t="s">
        <v>20</v>
      </c>
      <c r="D17" s="4">
        <f t="shared" ref="D17:K17" si="6">SUM(D15:D16)</f>
        <v>16429</v>
      </c>
      <c r="E17" s="4">
        <f t="shared" si="6"/>
        <v>15452</v>
      </c>
      <c r="F17" s="4">
        <f t="shared" si="6"/>
        <v>17488</v>
      </c>
      <c r="G17" s="4">
        <f t="shared" si="6"/>
        <v>16128</v>
      </c>
      <c r="H17" s="4">
        <f t="shared" si="6"/>
        <v>16795</v>
      </c>
      <c r="I17" s="4">
        <f t="shared" si="6"/>
        <v>16302</v>
      </c>
      <c r="J17" s="4">
        <f t="shared" si="6"/>
        <v>19623</v>
      </c>
      <c r="K17" s="4">
        <f t="shared" si="6"/>
        <v>18505</v>
      </c>
      <c r="L17" s="4">
        <f>L14-L20</f>
        <v>19857.192600000002</v>
      </c>
      <c r="M17" s="4">
        <f t="shared" ref="M17:P17" si="7">M14-M20</f>
        <v>19973.107800000005</v>
      </c>
      <c r="N17" s="4">
        <f t="shared" si="7"/>
        <v>21917.868000000002</v>
      </c>
      <c r="O17" s="4">
        <f t="shared" si="7"/>
        <v>21860.617200000001</v>
      </c>
      <c r="P17" s="4">
        <f t="shared" si="7"/>
        <v>22637.199563999995</v>
      </c>
      <c r="T17" s="4">
        <f t="shared" ref="T17:U17" si="8">T14-T20</f>
        <v>74287.192600000009</v>
      </c>
      <c r="U17" s="4">
        <f t="shared" si="8"/>
        <v>86388.792564000061</v>
      </c>
      <c r="V17" s="4">
        <f>V14-V20</f>
        <v>122616.35073600002</v>
      </c>
      <c r="W17" s="4">
        <f t="shared" ref="W17:AG17" si="9">W14-W20</f>
        <v>134877.98580960004</v>
      </c>
      <c r="X17" s="4">
        <f t="shared" si="9"/>
        <v>148365.78439056006</v>
      </c>
      <c r="Y17" s="4">
        <f t="shared" si="9"/>
        <v>163202.36282961606</v>
      </c>
      <c r="Z17" s="4">
        <f t="shared" si="9"/>
        <v>179522.59911257768</v>
      </c>
      <c r="AA17" s="4">
        <f t="shared" si="9"/>
        <v>197474.85902383545</v>
      </c>
      <c r="AB17" s="4">
        <f t="shared" si="9"/>
        <v>217222.34492621903</v>
      </c>
      <c r="AC17" s="4">
        <f t="shared" si="9"/>
        <v>238944.57941884099</v>
      </c>
      <c r="AD17" s="4">
        <f t="shared" si="9"/>
        <v>262839.03736072511</v>
      </c>
      <c r="AE17" s="4">
        <f t="shared" si="9"/>
        <v>289122.94109679764</v>
      </c>
      <c r="AF17" s="4">
        <f t="shared" si="9"/>
        <v>318035.23520647746</v>
      </c>
      <c r="AG17" s="4">
        <f t="shared" si="9"/>
        <v>349838.75872712524</v>
      </c>
    </row>
    <row r="18" spans="1:154" s="2" customFormat="1" x14ac:dyDescent="0.2">
      <c r="A18"/>
      <c r="B18"/>
      <c r="C18" t="s">
        <v>21</v>
      </c>
      <c r="D18" s="2">
        <v>4357</v>
      </c>
      <c r="E18" s="2">
        <f t="shared" ref="E18:K20" si="10">E12-E15</f>
        <v>11439</v>
      </c>
      <c r="F18" s="2">
        <f t="shared" si="10"/>
        <v>10827</v>
      </c>
      <c r="G18" s="2">
        <f t="shared" si="10"/>
        <v>11647</v>
      </c>
      <c r="H18" s="2">
        <f t="shared" si="10"/>
        <v>12982</v>
      </c>
      <c r="I18" s="2">
        <f t="shared" si="10"/>
        <v>12004</v>
      </c>
      <c r="J18" s="2">
        <f t="shared" si="10"/>
        <v>12977</v>
      </c>
      <c r="K18" s="2">
        <f t="shared" si="10"/>
        <v>12741</v>
      </c>
    </row>
    <row r="19" spans="1:154" s="2" customFormat="1" x14ac:dyDescent="0.2">
      <c r="A19"/>
      <c r="B19"/>
      <c r="C19" t="s">
        <v>22</v>
      </c>
      <c r="D19" s="2">
        <v>12072</v>
      </c>
      <c r="E19" s="2">
        <f t="shared" si="10"/>
        <v>23231</v>
      </c>
      <c r="F19" s="2">
        <f t="shared" si="10"/>
        <v>24432</v>
      </c>
      <c r="G19" s="2">
        <f t="shared" si="10"/>
        <v>25082</v>
      </c>
      <c r="H19" s="2">
        <f t="shared" si="10"/>
        <v>26412</v>
      </c>
      <c r="I19" s="2">
        <f t="shared" si="10"/>
        <v>28211</v>
      </c>
      <c r="J19" s="2">
        <f t="shared" si="10"/>
        <v>29420</v>
      </c>
      <c r="K19" s="2">
        <f t="shared" si="10"/>
        <v>30612</v>
      </c>
    </row>
    <row r="20" spans="1:154" s="4" customFormat="1" x14ac:dyDescent="0.2">
      <c r="A20" s="1"/>
      <c r="B20" s="1"/>
      <c r="C20" s="1" t="s">
        <v>23</v>
      </c>
      <c r="D20" s="4">
        <f>D14-D17</f>
        <v>35436</v>
      </c>
      <c r="E20" s="4">
        <f t="shared" si="10"/>
        <v>34670</v>
      </c>
      <c r="F20" s="4">
        <f t="shared" si="10"/>
        <v>35259</v>
      </c>
      <c r="G20" s="4">
        <f t="shared" si="10"/>
        <v>36729</v>
      </c>
      <c r="H20" s="4">
        <f t="shared" si="10"/>
        <v>39394</v>
      </c>
      <c r="I20" s="4">
        <f t="shared" si="10"/>
        <v>40215</v>
      </c>
      <c r="J20" s="4">
        <f t="shared" si="10"/>
        <v>42397</v>
      </c>
      <c r="K20" s="4">
        <f t="shared" si="10"/>
        <v>43353</v>
      </c>
      <c r="L20" s="4">
        <f>L14*0.69</f>
        <v>44198.26739999999</v>
      </c>
      <c r="M20" s="4">
        <f>M14*0.69</f>
        <v>44456.272199999992</v>
      </c>
      <c r="N20" s="4">
        <f>N14*0.69</f>
        <v>48784.931999999986</v>
      </c>
      <c r="O20" s="4">
        <f>O14*0.69</f>
        <v>48657.502799999995</v>
      </c>
      <c r="P20" s="4">
        <f>P14*0.69</f>
        <v>50386.024835999982</v>
      </c>
      <c r="T20" s="4">
        <f>SUM(I20:L20)</f>
        <v>170163.26739999998</v>
      </c>
      <c r="U20" s="4">
        <f>SUM(M20:P20)</f>
        <v>192284.73183599993</v>
      </c>
      <c r="V20" s="4">
        <f>V14*0.6</f>
        <v>183924.52610400002</v>
      </c>
      <c r="W20" s="4">
        <f t="shared" ref="W20:AG20" si="11">W14*0.6</f>
        <v>202316.97871440003</v>
      </c>
      <c r="X20" s="4">
        <f t="shared" si="11"/>
        <v>222548.67658584006</v>
      </c>
      <c r="Y20" s="4">
        <f t="shared" si="11"/>
        <v>244803.54424442409</v>
      </c>
      <c r="Z20" s="4">
        <f t="shared" si="11"/>
        <v>269283.89866886655</v>
      </c>
      <c r="AA20" s="4">
        <f t="shared" si="11"/>
        <v>296212.28853575321</v>
      </c>
      <c r="AB20" s="4">
        <f t="shared" si="11"/>
        <v>325833.51738932851</v>
      </c>
      <c r="AC20" s="4">
        <f t="shared" si="11"/>
        <v>358416.8691282614</v>
      </c>
      <c r="AD20" s="4">
        <f t="shared" si="11"/>
        <v>394258.55604108761</v>
      </c>
      <c r="AE20" s="4">
        <f t="shared" si="11"/>
        <v>433684.41164519644</v>
      </c>
      <c r="AF20" s="4">
        <f t="shared" si="11"/>
        <v>477052.85280971613</v>
      </c>
      <c r="AG20" s="4">
        <f t="shared" si="11"/>
        <v>524758.1380906878</v>
      </c>
    </row>
    <row r="21" spans="1:154" s="2" customFormat="1" x14ac:dyDescent="0.2">
      <c r="A21"/>
      <c r="B21"/>
      <c r="C21" t="s">
        <v>25</v>
      </c>
      <c r="D21" s="2">
        <v>6849</v>
      </c>
      <c r="E21" s="2">
        <v>6628</v>
      </c>
      <c r="F21" s="2">
        <v>6844</v>
      </c>
      <c r="G21" s="2">
        <v>6984</v>
      </c>
      <c r="H21" s="2">
        <v>6739</v>
      </c>
      <c r="I21" s="2">
        <v>6659</v>
      </c>
      <c r="J21" s="2">
        <v>7142</v>
      </c>
      <c r="K21" s="2">
        <v>7653</v>
      </c>
      <c r="L21" s="2">
        <f>H21</f>
        <v>6739</v>
      </c>
      <c r="M21" s="2">
        <f>I21</f>
        <v>6659</v>
      </c>
      <c r="N21" s="2">
        <f>J21</f>
        <v>7142</v>
      </c>
      <c r="O21" s="2">
        <f>K21</f>
        <v>7653</v>
      </c>
      <c r="P21" s="2">
        <f>L21</f>
        <v>6739</v>
      </c>
      <c r="T21" s="2">
        <f>SUM(I21:L21)</f>
        <v>28193</v>
      </c>
      <c r="U21" s="2">
        <f>SUM(M21:P21)</f>
        <v>28193</v>
      </c>
      <c r="V21" s="2">
        <f>U21*1.05</f>
        <v>29602.65</v>
      </c>
      <c r="W21" s="2">
        <f t="shared" ref="W21:AG21" si="12">V21*1.05</f>
        <v>31082.782500000001</v>
      </c>
      <c r="X21" s="2">
        <f t="shared" si="12"/>
        <v>32636.921625000003</v>
      </c>
      <c r="Y21" s="2">
        <f t="shared" si="12"/>
        <v>34268.767706250001</v>
      </c>
      <c r="Z21" s="2">
        <f t="shared" si="12"/>
        <v>35982.206091562504</v>
      </c>
      <c r="AA21" s="2">
        <f t="shared" si="12"/>
        <v>37781.316396140632</v>
      </c>
      <c r="AB21" s="2">
        <f t="shared" si="12"/>
        <v>39670.382215947662</v>
      </c>
      <c r="AC21" s="2">
        <f t="shared" si="12"/>
        <v>41653.90132674505</v>
      </c>
      <c r="AD21" s="2">
        <f t="shared" si="12"/>
        <v>43736.596393082305</v>
      </c>
      <c r="AE21" s="2">
        <f t="shared" si="12"/>
        <v>45923.42621273642</v>
      </c>
      <c r="AF21" s="2">
        <f t="shared" si="12"/>
        <v>48219.597523373246</v>
      </c>
      <c r="AG21" s="2">
        <f t="shared" si="12"/>
        <v>50630.577399541908</v>
      </c>
    </row>
    <row r="22" spans="1:154" s="2" customFormat="1" x14ac:dyDescent="0.2">
      <c r="A22"/>
      <c r="B22"/>
      <c r="C22" t="s">
        <v>26</v>
      </c>
      <c r="D22" s="2">
        <v>6304</v>
      </c>
      <c r="E22" s="2">
        <v>5126</v>
      </c>
      <c r="F22" s="2">
        <v>5679</v>
      </c>
      <c r="G22" s="2">
        <v>5750</v>
      </c>
      <c r="H22" s="2">
        <v>6204</v>
      </c>
      <c r="I22" s="2">
        <v>5187</v>
      </c>
      <c r="J22" s="2">
        <v>6246</v>
      </c>
      <c r="K22" s="2">
        <v>6207</v>
      </c>
      <c r="L22" s="2">
        <f t="shared" ref="L22:P23" si="13">H22</f>
        <v>6204</v>
      </c>
      <c r="M22" s="2">
        <f t="shared" si="13"/>
        <v>5187</v>
      </c>
      <c r="N22" s="2">
        <f t="shared" si="13"/>
        <v>6246</v>
      </c>
      <c r="O22" s="2">
        <f t="shared" si="13"/>
        <v>6207</v>
      </c>
      <c r="P22" s="2">
        <f t="shared" si="13"/>
        <v>6204</v>
      </c>
      <c r="T22" s="2">
        <f>SUM(I22:L22)</f>
        <v>23844</v>
      </c>
      <c r="U22" s="2">
        <f>SUM(M22:P22)</f>
        <v>23844</v>
      </c>
      <c r="V22" s="2">
        <f t="shared" ref="V22:AG23" si="14">U22*1.05</f>
        <v>25036.2</v>
      </c>
      <c r="W22" s="2">
        <f t="shared" si="14"/>
        <v>26288.010000000002</v>
      </c>
      <c r="X22" s="2">
        <f t="shared" si="14"/>
        <v>27602.410500000002</v>
      </c>
      <c r="Y22" s="2">
        <f t="shared" si="14"/>
        <v>28982.531025000004</v>
      </c>
      <c r="Z22" s="2">
        <f t="shared" si="14"/>
        <v>30431.657576250007</v>
      </c>
      <c r="AA22" s="2">
        <f t="shared" si="14"/>
        <v>31953.240455062507</v>
      </c>
      <c r="AB22" s="2">
        <f t="shared" si="14"/>
        <v>33550.902477815631</v>
      </c>
      <c r="AC22" s="2">
        <f t="shared" si="14"/>
        <v>35228.447601706415</v>
      </c>
      <c r="AD22" s="2">
        <f t="shared" si="14"/>
        <v>36989.869981791737</v>
      </c>
      <c r="AE22" s="2">
        <f t="shared" si="14"/>
        <v>38839.363480881322</v>
      </c>
      <c r="AF22" s="2">
        <f t="shared" si="14"/>
        <v>40781.331654925387</v>
      </c>
      <c r="AG22" s="2">
        <f t="shared" si="14"/>
        <v>42820.398237671659</v>
      </c>
    </row>
    <row r="23" spans="1:154" s="2" customFormat="1" x14ac:dyDescent="0.2">
      <c r="A23"/>
      <c r="B23"/>
      <c r="C23" t="s">
        <v>27</v>
      </c>
      <c r="D23" s="2">
        <v>1749</v>
      </c>
      <c r="E23" s="2">
        <v>1398</v>
      </c>
      <c r="F23" s="2">
        <v>2337</v>
      </c>
      <c r="G23" s="2">
        <v>1643</v>
      </c>
      <c r="H23" s="2">
        <v>2197</v>
      </c>
      <c r="I23" s="2">
        <v>1474</v>
      </c>
      <c r="J23" s="2">
        <v>1977</v>
      </c>
      <c r="K23" s="2">
        <v>1912</v>
      </c>
      <c r="L23" s="2">
        <f t="shared" si="13"/>
        <v>2197</v>
      </c>
      <c r="M23" s="2">
        <f t="shared" si="13"/>
        <v>1474</v>
      </c>
      <c r="N23" s="2">
        <f t="shared" si="13"/>
        <v>1977</v>
      </c>
      <c r="O23" s="2">
        <f t="shared" si="13"/>
        <v>1912</v>
      </c>
      <c r="P23" s="2">
        <f t="shared" si="13"/>
        <v>2197</v>
      </c>
      <c r="T23" s="2">
        <f>SUM(I23:L23)</f>
        <v>7560</v>
      </c>
      <c r="U23" s="2">
        <f>SUM(M23:P23)</f>
        <v>7560</v>
      </c>
      <c r="V23" s="2">
        <f t="shared" si="14"/>
        <v>7938</v>
      </c>
      <c r="W23" s="2">
        <f t="shared" si="14"/>
        <v>8334.9</v>
      </c>
      <c r="X23" s="2">
        <f t="shared" si="14"/>
        <v>8751.6450000000004</v>
      </c>
      <c r="Y23" s="2">
        <f t="shared" si="14"/>
        <v>9189.2272500000017</v>
      </c>
      <c r="Z23" s="2">
        <f t="shared" si="14"/>
        <v>9648.6886125000019</v>
      </c>
      <c r="AA23" s="2">
        <f t="shared" si="14"/>
        <v>10131.123043125002</v>
      </c>
      <c r="AB23" s="2">
        <f t="shared" si="14"/>
        <v>10637.679195281253</v>
      </c>
      <c r="AC23" s="2">
        <f t="shared" si="14"/>
        <v>11169.563155045316</v>
      </c>
      <c r="AD23" s="2">
        <f t="shared" si="14"/>
        <v>11728.041312797583</v>
      </c>
      <c r="AE23" s="2">
        <f t="shared" si="14"/>
        <v>12314.443378437461</v>
      </c>
      <c r="AF23" s="2">
        <f t="shared" si="14"/>
        <v>12930.165547359335</v>
      </c>
      <c r="AG23" s="2">
        <f t="shared" si="14"/>
        <v>13576.673824727302</v>
      </c>
    </row>
    <row r="24" spans="1:154" s="4" customFormat="1" x14ac:dyDescent="0.2">
      <c r="A24" s="1"/>
      <c r="B24" s="1"/>
      <c r="C24" s="1" t="s">
        <v>29</v>
      </c>
      <c r="D24" s="4">
        <f t="shared" ref="D24:P24" si="15">SUM(D21:D23)</f>
        <v>14902</v>
      </c>
      <c r="E24" s="4">
        <f t="shared" si="15"/>
        <v>13152</v>
      </c>
      <c r="F24" s="4">
        <f t="shared" si="15"/>
        <v>14860</v>
      </c>
      <c r="G24" s="4">
        <f t="shared" si="15"/>
        <v>14377</v>
      </c>
      <c r="H24" s="4">
        <f t="shared" si="15"/>
        <v>15140</v>
      </c>
      <c r="I24" s="4">
        <f t="shared" si="15"/>
        <v>13320</v>
      </c>
      <c r="J24" s="4">
        <f t="shared" si="15"/>
        <v>15365</v>
      </c>
      <c r="K24" s="4">
        <f t="shared" si="15"/>
        <v>15772</v>
      </c>
      <c r="L24" s="4">
        <f t="shared" si="15"/>
        <v>15140</v>
      </c>
      <c r="M24" s="4">
        <f t="shared" si="15"/>
        <v>13320</v>
      </c>
      <c r="N24" s="4">
        <f t="shared" si="15"/>
        <v>15365</v>
      </c>
      <c r="O24" s="4">
        <f t="shared" si="15"/>
        <v>15772</v>
      </c>
      <c r="P24" s="4">
        <f t="shared" si="15"/>
        <v>15140</v>
      </c>
      <c r="T24" s="4">
        <f>SUM(T21:T23)</f>
        <v>59597</v>
      </c>
      <c r="U24" s="4">
        <f>SUM(U21:U23)</f>
        <v>59597</v>
      </c>
      <c r="V24" s="4">
        <f t="shared" ref="V24:AG24" si="16">SUM(V21:V23)</f>
        <v>62576.850000000006</v>
      </c>
      <c r="W24" s="4">
        <f t="shared" si="16"/>
        <v>65705.692500000005</v>
      </c>
      <c r="X24" s="4">
        <f t="shared" si="16"/>
        <v>68990.977125000005</v>
      </c>
      <c r="Y24" s="4">
        <f t="shared" si="16"/>
        <v>72440.525981250001</v>
      </c>
      <c r="Z24" s="4">
        <f t="shared" si="16"/>
        <v>76062.55228031252</v>
      </c>
      <c r="AA24" s="4">
        <f t="shared" si="16"/>
        <v>79865.679894328146</v>
      </c>
      <c r="AB24" s="4">
        <f t="shared" si="16"/>
        <v>83858.963889044549</v>
      </c>
      <c r="AC24" s="4">
        <f t="shared" si="16"/>
        <v>88051.912083496776</v>
      </c>
      <c r="AD24" s="4">
        <f t="shared" si="16"/>
        <v>92454.507687671619</v>
      </c>
      <c r="AE24" s="4">
        <f t="shared" si="16"/>
        <v>97077.233072055198</v>
      </c>
      <c r="AF24" s="4">
        <f t="shared" si="16"/>
        <v>101931.09472565795</v>
      </c>
      <c r="AG24" s="4">
        <f t="shared" si="16"/>
        <v>107027.64946194086</v>
      </c>
    </row>
    <row r="25" spans="1:154" s="4" customFormat="1" x14ac:dyDescent="0.2">
      <c r="A25" s="1"/>
      <c r="B25" s="1"/>
      <c r="C25" s="1" t="s">
        <v>28</v>
      </c>
      <c r="D25" s="4">
        <f t="shared" ref="D25:P25" si="17">D20-D24</f>
        <v>20534</v>
      </c>
      <c r="E25" s="4">
        <f t="shared" si="17"/>
        <v>21518</v>
      </c>
      <c r="F25" s="4">
        <f t="shared" si="17"/>
        <v>20399</v>
      </c>
      <c r="G25" s="4">
        <f t="shared" si="17"/>
        <v>22352</v>
      </c>
      <c r="H25" s="4">
        <f t="shared" si="17"/>
        <v>24254</v>
      </c>
      <c r="I25" s="4">
        <f t="shared" si="17"/>
        <v>26895</v>
      </c>
      <c r="J25" s="4">
        <f t="shared" si="17"/>
        <v>27032</v>
      </c>
      <c r="K25" s="4">
        <f t="shared" si="17"/>
        <v>27581</v>
      </c>
      <c r="L25" s="4">
        <f t="shared" si="17"/>
        <v>29058.26739999999</v>
      </c>
      <c r="M25" s="4">
        <f t="shared" si="17"/>
        <v>31136.272199999992</v>
      </c>
      <c r="N25" s="4">
        <f t="shared" si="17"/>
        <v>33419.931999999986</v>
      </c>
      <c r="O25" s="4">
        <f t="shared" si="17"/>
        <v>32885.502799999995</v>
      </c>
      <c r="P25" s="4">
        <f t="shared" si="17"/>
        <v>35246.024835999982</v>
      </c>
      <c r="T25" s="4">
        <f>T20-T24</f>
        <v>110566.26739999998</v>
      </c>
      <c r="U25" s="4">
        <f>U20-U24</f>
        <v>132687.73183599993</v>
      </c>
      <c r="V25" s="4">
        <f t="shared" ref="V25:AG25" si="18">V20-V24</f>
        <v>121347.67610400001</v>
      </c>
      <c r="W25" s="4">
        <f t="shared" si="18"/>
        <v>136611.28621440002</v>
      </c>
      <c r="X25" s="4">
        <f t="shared" si="18"/>
        <v>153557.69946084006</v>
      </c>
      <c r="Y25" s="4">
        <f t="shared" si="18"/>
        <v>172363.0182631741</v>
      </c>
      <c r="Z25" s="4">
        <f t="shared" si="18"/>
        <v>193221.34638855403</v>
      </c>
      <c r="AA25" s="4">
        <f t="shared" si="18"/>
        <v>216346.60864142506</v>
      </c>
      <c r="AB25" s="4">
        <f t="shared" si="18"/>
        <v>241974.55350028398</v>
      </c>
      <c r="AC25" s="4">
        <f t="shared" si="18"/>
        <v>270364.95704476465</v>
      </c>
      <c r="AD25" s="4">
        <f t="shared" si="18"/>
        <v>301804.04835341597</v>
      </c>
      <c r="AE25" s="4">
        <f t="shared" si="18"/>
        <v>336607.17857314122</v>
      </c>
      <c r="AF25" s="4">
        <f t="shared" si="18"/>
        <v>375121.75808405818</v>
      </c>
      <c r="AG25" s="4">
        <f t="shared" si="18"/>
        <v>417730.48862874694</v>
      </c>
    </row>
    <row r="26" spans="1:154" s="2" customFormat="1" x14ac:dyDescent="0.2">
      <c r="A26"/>
      <c r="B26"/>
      <c r="C26" t="s">
        <v>31</v>
      </c>
      <c r="D26" s="2">
        <v>-47</v>
      </c>
      <c r="E26" s="2">
        <v>54</v>
      </c>
      <c r="F26" s="2">
        <v>-60</v>
      </c>
      <c r="G26" s="2">
        <v>321</v>
      </c>
      <c r="H26" s="2">
        <v>473</v>
      </c>
      <c r="I26" s="2">
        <v>389</v>
      </c>
      <c r="J26" s="2">
        <v>-506</v>
      </c>
      <c r="K26" s="2">
        <v>-864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V26" s="2">
        <f t="shared" ref="V26:AG26" si="19">U43*$AK$34</f>
        <v>1620.1771937351994</v>
      </c>
      <c r="W26" s="2">
        <f t="shared" si="19"/>
        <v>2603.9200201170811</v>
      </c>
      <c r="X26" s="2">
        <f t="shared" si="19"/>
        <v>3717.6416699932179</v>
      </c>
      <c r="Y26" s="2">
        <f t="shared" si="19"/>
        <v>4975.8443990398837</v>
      </c>
      <c r="Z26" s="2">
        <f t="shared" si="19"/>
        <v>6394.5553003375953</v>
      </c>
      <c r="AA26" s="2">
        <f t="shared" si="19"/>
        <v>7991.4825138487286</v>
      </c>
      <c r="AB26" s="2">
        <f t="shared" si="19"/>
        <v>9786.1872430909189</v>
      </c>
      <c r="AC26" s="2">
        <f t="shared" si="19"/>
        <v>11800.273169037919</v>
      </c>
      <c r="AD26" s="2">
        <f t="shared" si="19"/>
        <v>14057.59501074834</v>
      </c>
      <c r="AE26" s="2">
        <f t="shared" si="19"/>
        <v>16584.488157661654</v>
      </c>
      <c r="AF26" s="2">
        <f t="shared" si="19"/>
        <v>19410.02149150808</v>
      </c>
      <c r="AG26" s="2">
        <f t="shared" si="19"/>
        <v>22566.275728112607</v>
      </c>
    </row>
    <row r="27" spans="1:154" s="2" customFormat="1" x14ac:dyDescent="0.2">
      <c r="A27"/>
      <c r="B27"/>
      <c r="C27" t="s">
        <v>30</v>
      </c>
      <c r="D27" s="2">
        <f t="shared" ref="D27:P27" si="20">D25+D26</f>
        <v>20487</v>
      </c>
      <c r="E27" s="2">
        <f t="shared" si="20"/>
        <v>21572</v>
      </c>
      <c r="F27" s="2">
        <f t="shared" si="20"/>
        <v>20339</v>
      </c>
      <c r="G27" s="2">
        <f t="shared" si="20"/>
        <v>22673</v>
      </c>
      <c r="H27" s="2">
        <f t="shared" si="20"/>
        <v>24727</v>
      </c>
      <c r="I27" s="2">
        <f t="shared" si="20"/>
        <v>27284</v>
      </c>
      <c r="J27" s="2">
        <f t="shared" si="20"/>
        <v>26526</v>
      </c>
      <c r="K27" s="2">
        <f t="shared" si="20"/>
        <v>26717</v>
      </c>
      <c r="L27" s="2">
        <f t="shared" si="20"/>
        <v>29058.26739999999</v>
      </c>
      <c r="M27" s="2">
        <f t="shared" si="20"/>
        <v>31136.272199999992</v>
      </c>
      <c r="N27" s="2">
        <f t="shared" si="20"/>
        <v>33419.931999999986</v>
      </c>
      <c r="O27" s="2">
        <f t="shared" si="20"/>
        <v>32885.502799999995</v>
      </c>
      <c r="P27" s="2">
        <f t="shared" si="20"/>
        <v>35246.024835999982</v>
      </c>
      <c r="T27" s="2">
        <f>T25+T26</f>
        <v>110566.26739999998</v>
      </c>
      <c r="U27" s="2">
        <f>U25+U26</f>
        <v>132687.73183599993</v>
      </c>
      <c r="V27" s="2">
        <f t="shared" ref="V27:AG27" si="21">V25+V26</f>
        <v>122967.85329773522</v>
      </c>
      <c r="W27" s="2">
        <f t="shared" si="21"/>
        <v>139215.2062345171</v>
      </c>
      <c r="X27" s="2">
        <f t="shared" si="21"/>
        <v>157275.34113083329</v>
      </c>
      <c r="Y27" s="2">
        <f t="shared" si="21"/>
        <v>177338.862662214</v>
      </c>
      <c r="Z27" s="2">
        <f t="shared" si="21"/>
        <v>199615.90168889161</v>
      </c>
      <c r="AA27" s="2">
        <f t="shared" si="21"/>
        <v>224338.09115527378</v>
      </c>
      <c r="AB27" s="2">
        <f t="shared" si="21"/>
        <v>251760.74074337489</v>
      </c>
      <c r="AC27" s="2">
        <f t="shared" si="21"/>
        <v>282165.2302138026</v>
      </c>
      <c r="AD27" s="2">
        <f t="shared" si="21"/>
        <v>315861.64336416434</v>
      </c>
      <c r="AE27" s="2">
        <f t="shared" si="21"/>
        <v>353191.66673080286</v>
      </c>
      <c r="AF27" s="2">
        <f t="shared" si="21"/>
        <v>394531.77957556624</v>
      </c>
      <c r="AG27" s="2">
        <f t="shared" si="21"/>
        <v>440296.76435685955</v>
      </c>
    </row>
    <row r="28" spans="1:154" s="2" customFormat="1" x14ac:dyDescent="0.2">
      <c r="A28"/>
      <c r="B28"/>
      <c r="C28" t="s">
        <v>32</v>
      </c>
      <c r="D28" s="2">
        <v>3747</v>
      </c>
      <c r="E28" s="2">
        <v>4016</v>
      </c>
      <c r="F28" s="2">
        <v>3914</v>
      </c>
      <c r="G28" s="2">
        <v>4374</v>
      </c>
      <c r="H28" s="2">
        <v>4646</v>
      </c>
      <c r="I28" s="2">
        <v>4993</v>
      </c>
      <c r="J28" s="2">
        <v>4656</v>
      </c>
      <c r="K28" s="2">
        <v>4788</v>
      </c>
      <c r="L28" s="2">
        <f>L27*0.18</f>
        <v>5230.4881319999977</v>
      </c>
      <c r="M28" s="2">
        <f>M27*0.18</f>
        <v>5604.5289959999982</v>
      </c>
      <c r="N28" s="2">
        <f>N27*0.18</f>
        <v>6015.5877599999976</v>
      </c>
      <c r="O28" s="2">
        <f>O27*0.18</f>
        <v>5919.3905039999991</v>
      </c>
      <c r="P28" s="2">
        <f>P27*0.18</f>
        <v>6344.2844704799963</v>
      </c>
      <c r="T28" s="2">
        <f>T27*0.18</f>
        <v>19901.928131999997</v>
      </c>
      <c r="U28" s="2">
        <f>U27*0.18</f>
        <v>23883.791730479988</v>
      </c>
      <c r="V28" s="2">
        <f>V27*0.2</f>
        <v>24593.570659547044</v>
      </c>
      <c r="W28" s="2">
        <f t="shared" ref="W28:AG28" si="22">W27*0.2</f>
        <v>27843.04124690342</v>
      </c>
      <c r="X28" s="2">
        <f t="shared" si="22"/>
        <v>31455.068226166659</v>
      </c>
      <c r="Y28" s="2">
        <f t="shared" si="22"/>
        <v>35467.772532442803</v>
      </c>
      <c r="Z28" s="2">
        <f t="shared" si="22"/>
        <v>39923.180337778322</v>
      </c>
      <c r="AA28" s="2">
        <f t="shared" si="22"/>
        <v>44867.618231054759</v>
      </c>
      <c r="AB28" s="2">
        <f t="shared" si="22"/>
        <v>50352.148148674984</v>
      </c>
      <c r="AC28" s="2">
        <f t="shared" si="22"/>
        <v>56433.046042760521</v>
      </c>
      <c r="AD28" s="2">
        <f t="shared" si="22"/>
        <v>63172.328672832868</v>
      </c>
      <c r="AE28" s="2">
        <f t="shared" si="22"/>
        <v>70638.33334616058</v>
      </c>
      <c r="AF28" s="2">
        <f t="shared" si="22"/>
        <v>78906.35591511325</v>
      </c>
      <c r="AG28" s="2">
        <f t="shared" si="22"/>
        <v>88059.352871371913</v>
      </c>
    </row>
    <row r="29" spans="1:154" s="4" customFormat="1" x14ac:dyDescent="0.2">
      <c r="A29" s="1"/>
      <c r="B29" s="1"/>
      <c r="C29" s="1" t="s">
        <v>33</v>
      </c>
      <c r="D29" s="4">
        <f t="shared" ref="D29:P29" si="23">D27-D28</f>
        <v>16740</v>
      </c>
      <c r="E29" s="4">
        <f t="shared" si="23"/>
        <v>17556</v>
      </c>
      <c r="F29" s="4">
        <f t="shared" si="23"/>
        <v>16425</v>
      </c>
      <c r="G29" s="4">
        <f t="shared" si="23"/>
        <v>18299</v>
      </c>
      <c r="H29" s="4">
        <f t="shared" si="23"/>
        <v>20081</v>
      </c>
      <c r="I29" s="4">
        <f t="shared" si="23"/>
        <v>22291</v>
      </c>
      <c r="J29" s="4">
        <f t="shared" si="23"/>
        <v>21870</v>
      </c>
      <c r="K29" s="4">
        <f t="shared" si="23"/>
        <v>21929</v>
      </c>
      <c r="L29" s="4">
        <f t="shared" si="23"/>
        <v>23827.779267999991</v>
      </c>
      <c r="M29" s="4">
        <f t="shared" si="23"/>
        <v>25531.743203999995</v>
      </c>
      <c r="N29" s="4">
        <f t="shared" si="23"/>
        <v>27404.344239999988</v>
      </c>
      <c r="O29" s="4">
        <f t="shared" si="23"/>
        <v>26966.112295999996</v>
      </c>
      <c r="P29" s="4">
        <f t="shared" si="23"/>
        <v>28901.740365519985</v>
      </c>
      <c r="T29" s="4">
        <f>T27-T28</f>
        <v>90664.339267999982</v>
      </c>
      <c r="U29" s="4">
        <f>U27-U28</f>
        <v>108803.94010551994</v>
      </c>
      <c r="V29" s="4">
        <f>V27-V28</f>
        <v>98374.282638188175</v>
      </c>
      <c r="W29" s="4">
        <f t="shared" ref="W29:AG29" si="24">W27-W28</f>
        <v>111372.16498761368</v>
      </c>
      <c r="X29" s="4">
        <f t="shared" si="24"/>
        <v>125820.27290466664</v>
      </c>
      <c r="Y29" s="4">
        <f t="shared" si="24"/>
        <v>141871.09012977121</v>
      </c>
      <c r="Z29" s="4">
        <f t="shared" si="24"/>
        <v>159692.72135111329</v>
      </c>
      <c r="AA29" s="4">
        <f t="shared" si="24"/>
        <v>179470.47292421904</v>
      </c>
      <c r="AB29" s="4">
        <f t="shared" si="24"/>
        <v>201408.59259469991</v>
      </c>
      <c r="AC29" s="4">
        <f t="shared" si="24"/>
        <v>225732.18417104208</v>
      </c>
      <c r="AD29" s="4">
        <f t="shared" si="24"/>
        <v>252689.31469133147</v>
      </c>
      <c r="AE29" s="4">
        <f t="shared" si="24"/>
        <v>282553.33338464226</v>
      </c>
      <c r="AF29" s="4">
        <f t="shared" si="24"/>
        <v>315625.423660453</v>
      </c>
      <c r="AG29" s="4">
        <f t="shared" si="24"/>
        <v>352237.41148548765</v>
      </c>
      <c r="AH29" s="4">
        <f>AG29*(1+$AK$37)</f>
        <v>348715.03737063275</v>
      </c>
      <c r="AI29" s="4">
        <f t="shared" ref="AI29:CT29" si="25">AH29*(1+$AK$37)</f>
        <v>345227.88699692645</v>
      </c>
      <c r="AJ29" s="4">
        <f t="shared" si="25"/>
        <v>341775.6081269572</v>
      </c>
      <c r="AK29" s="4">
        <f t="shared" si="25"/>
        <v>338357.85204568761</v>
      </c>
      <c r="AL29" s="4">
        <f t="shared" si="25"/>
        <v>334974.27352523076</v>
      </c>
      <c r="AM29" s="4">
        <f t="shared" si="25"/>
        <v>331624.53078997845</v>
      </c>
      <c r="AN29" s="4">
        <f t="shared" si="25"/>
        <v>328308.28548207867</v>
      </c>
      <c r="AO29" s="4">
        <f t="shared" si="25"/>
        <v>325025.20262725791</v>
      </c>
      <c r="AP29" s="4">
        <f t="shared" si="25"/>
        <v>321774.95060098532</v>
      </c>
      <c r="AQ29" s="4">
        <f t="shared" si="25"/>
        <v>318557.20109497546</v>
      </c>
      <c r="AR29" s="4">
        <f t="shared" si="25"/>
        <v>315371.62908402568</v>
      </c>
      <c r="AS29" s="4">
        <f t="shared" si="25"/>
        <v>312217.91279318545</v>
      </c>
      <c r="AT29" s="4">
        <f t="shared" si="25"/>
        <v>309095.73366525356</v>
      </c>
      <c r="AU29" s="4">
        <f t="shared" si="25"/>
        <v>306004.776328601</v>
      </c>
      <c r="AV29" s="4">
        <f t="shared" si="25"/>
        <v>302944.72856531502</v>
      </c>
      <c r="AW29" s="4">
        <f t="shared" si="25"/>
        <v>299915.28127966187</v>
      </c>
      <c r="AX29" s="4">
        <f t="shared" si="25"/>
        <v>296916.12846686522</v>
      </c>
      <c r="AY29" s="4">
        <f t="shared" si="25"/>
        <v>293946.96718219656</v>
      </c>
      <c r="AZ29" s="4">
        <f t="shared" si="25"/>
        <v>291007.49751037458</v>
      </c>
      <c r="BA29" s="4">
        <f t="shared" si="25"/>
        <v>288097.42253527086</v>
      </c>
      <c r="BB29" s="4">
        <f t="shared" si="25"/>
        <v>285216.44830991817</v>
      </c>
      <c r="BC29" s="4">
        <f t="shared" si="25"/>
        <v>282364.28382681898</v>
      </c>
      <c r="BD29" s="4">
        <f t="shared" si="25"/>
        <v>279540.64098855079</v>
      </c>
      <c r="BE29" s="4">
        <f t="shared" si="25"/>
        <v>276745.23457866529</v>
      </c>
      <c r="BF29" s="4">
        <f t="shared" si="25"/>
        <v>273977.78223287861</v>
      </c>
      <c r="BG29" s="4">
        <f t="shared" si="25"/>
        <v>271238.00441054982</v>
      </c>
      <c r="BH29" s="4">
        <f t="shared" si="25"/>
        <v>268525.6243664443</v>
      </c>
      <c r="BI29" s="4">
        <f t="shared" si="25"/>
        <v>265840.36812277988</v>
      </c>
      <c r="BJ29" s="4">
        <f t="shared" si="25"/>
        <v>263181.96444155206</v>
      </c>
      <c r="BK29" s="4">
        <f t="shared" si="25"/>
        <v>260550.14479713654</v>
      </c>
      <c r="BL29" s="4">
        <f t="shared" si="25"/>
        <v>257944.64334916518</v>
      </c>
      <c r="BM29" s="4">
        <f t="shared" si="25"/>
        <v>255365.19691567353</v>
      </c>
      <c r="BN29" s="4">
        <f t="shared" si="25"/>
        <v>252811.54494651678</v>
      </c>
      <c r="BO29" s="4">
        <f t="shared" si="25"/>
        <v>250283.42949705161</v>
      </c>
      <c r="BP29" s="4">
        <f t="shared" si="25"/>
        <v>247780.59520208108</v>
      </c>
      <c r="BQ29" s="4">
        <f t="shared" si="25"/>
        <v>245302.78925006028</v>
      </c>
      <c r="BR29" s="4">
        <f t="shared" si="25"/>
        <v>242849.76135755968</v>
      </c>
      <c r="BS29" s="4">
        <f t="shared" si="25"/>
        <v>240421.26374398408</v>
      </c>
      <c r="BT29" s="4">
        <f t="shared" si="25"/>
        <v>238017.05110654424</v>
      </c>
      <c r="BU29" s="4">
        <f t="shared" si="25"/>
        <v>235636.88059547878</v>
      </c>
      <c r="BV29" s="4">
        <f t="shared" si="25"/>
        <v>233280.511789524</v>
      </c>
      <c r="BW29" s="4">
        <f t="shared" si="25"/>
        <v>230947.70667162875</v>
      </c>
      <c r="BX29" s="4">
        <f t="shared" si="25"/>
        <v>228638.22960491246</v>
      </c>
      <c r="BY29" s="4">
        <f t="shared" si="25"/>
        <v>226351.84730886333</v>
      </c>
      <c r="BZ29" s="4">
        <f t="shared" si="25"/>
        <v>224088.32883577471</v>
      </c>
      <c r="CA29" s="4">
        <f t="shared" si="25"/>
        <v>221847.44554741695</v>
      </c>
      <c r="CB29" s="4">
        <f t="shared" si="25"/>
        <v>219628.97109194277</v>
      </c>
      <c r="CC29" s="4">
        <f t="shared" si="25"/>
        <v>217432.68138102334</v>
      </c>
      <c r="CD29" s="4">
        <f t="shared" si="25"/>
        <v>215258.3545672131</v>
      </c>
      <c r="CE29" s="4">
        <f t="shared" si="25"/>
        <v>213105.77102154098</v>
      </c>
      <c r="CF29" s="4">
        <f t="shared" si="25"/>
        <v>210974.71331132555</v>
      </c>
      <c r="CG29" s="4">
        <f t="shared" si="25"/>
        <v>208864.96617821229</v>
      </c>
      <c r="CH29" s="4">
        <f t="shared" si="25"/>
        <v>206776.31651643018</v>
      </c>
      <c r="CI29" s="4">
        <f t="shared" si="25"/>
        <v>204708.55335126587</v>
      </c>
      <c r="CJ29" s="4">
        <f t="shared" si="25"/>
        <v>202661.4678177532</v>
      </c>
      <c r="CK29" s="4">
        <f t="shared" si="25"/>
        <v>200634.85313957566</v>
      </c>
      <c r="CL29" s="4">
        <f t="shared" si="25"/>
        <v>198628.50460817991</v>
      </c>
      <c r="CM29" s="4">
        <f t="shared" si="25"/>
        <v>196642.21956209809</v>
      </c>
      <c r="CN29" s="4">
        <f t="shared" si="25"/>
        <v>194675.79736647711</v>
      </c>
      <c r="CO29" s="4">
        <f t="shared" si="25"/>
        <v>192729.03939281235</v>
      </c>
      <c r="CP29" s="4">
        <f t="shared" si="25"/>
        <v>190801.74899888423</v>
      </c>
      <c r="CQ29" s="4">
        <f t="shared" si="25"/>
        <v>188893.73150889538</v>
      </c>
      <c r="CR29" s="4">
        <f t="shared" si="25"/>
        <v>187004.79419380642</v>
      </c>
      <c r="CS29" s="4">
        <f t="shared" si="25"/>
        <v>185134.74625186835</v>
      </c>
      <c r="CT29" s="4">
        <f t="shared" si="25"/>
        <v>183283.39878934965</v>
      </c>
      <c r="CU29" s="4">
        <f t="shared" ref="CU29:EX29" si="26">CT29*(1+$AK$37)</f>
        <v>181450.56480145614</v>
      </c>
      <c r="CV29" s="4">
        <f t="shared" si="26"/>
        <v>179636.05915344157</v>
      </c>
      <c r="CW29" s="4">
        <f t="shared" si="26"/>
        <v>177839.69856190716</v>
      </c>
      <c r="CX29" s="4">
        <f t="shared" si="26"/>
        <v>176061.3015762881</v>
      </c>
      <c r="CY29" s="4">
        <f t="shared" si="26"/>
        <v>174300.68856052522</v>
      </c>
      <c r="CZ29" s="4">
        <f t="shared" si="26"/>
        <v>172557.68167491996</v>
      </c>
      <c r="DA29" s="4">
        <f t="shared" si="26"/>
        <v>170832.10485817076</v>
      </c>
      <c r="DB29" s="4">
        <f t="shared" si="26"/>
        <v>169123.78380958905</v>
      </c>
      <c r="DC29" s="4">
        <f t="shared" si="26"/>
        <v>167432.54597149315</v>
      </c>
      <c r="DD29" s="4">
        <f t="shared" si="26"/>
        <v>165758.22051177823</v>
      </c>
      <c r="DE29" s="4">
        <f t="shared" si="26"/>
        <v>164100.63830666043</v>
      </c>
      <c r="DF29" s="4">
        <f t="shared" si="26"/>
        <v>162459.63192359381</v>
      </c>
      <c r="DG29" s="4">
        <f t="shared" si="26"/>
        <v>160835.03560435786</v>
      </c>
      <c r="DH29" s="4">
        <f t="shared" si="26"/>
        <v>159226.68524831429</v>
      </c>
      <c r="DI29" s="4">
        <f t="shared" si="26"/>
        <v>157634.41839583113</v>
      </c>
      <c r="DJ29" s="4">
        <f t="shared" si="26"/>
        <v>156058.07421187282</v>
      </c>
      <c r="DK29" s="4">
        <f t="shared" si="26"/>
        <v>154497.49346975409</v>
      </c>
      <c r="DL29" s="4">
        <f t="shared" si="26"/>
        <v>152952.51853505656</v>
      </c>
      <c r="DM29" s="4">
        <f t="shared" si="26"/>
        <v>151422.993349706</v>
      </c>
      <c r="DN29" s="4">
        <f t="shared" si="26"/>
        <v>149908.76341620894</v>
      </c>
      <c r="DO29" s="4">
        <f t="shared" si="26"/>
        <v>148409.67578204683</v>
      </c>
      <c r="DP29" s="4">
        <f t="shared" si="26"/>
        <v>146925.57902422638</v>
      </c>
      <c r="DQ29" s="4">
        <f t="shared" si="26"/>
        <v>145456.32323398412</v>
      </c>
      <c r="DR29" s="4">
        <f t="shared" si="26"/>
        <v>144001.76000164429</v>
      </c>
      <c r="DS29" s="4">
        <f t="shared" si="26"/>
        <v>142561.74240162785</v>
      </c>
      <c r="DT29" s="4">
        <f t="shared" si="26"/>
        <v>141136.12497761159</v>
      </c>
      <c r="DU29" s="4">
        <f t="shared" si="26"/>
        <v>139724.76372783547</v>
      </c>
      <c r="DV29" s="4">
        <f t="shared" si="26"/>
        <v>138327.51609055712</v>
      </c>
      <c r="DW29" s="4">
        <f t="shared" si="26"/>
        <v>136944.24092965154</v>
      </c>
      <c r="DX29" s="4">
        <f t="shared" si="26"/>
        <v>135574.79852035502</v>
      </c>
      <c r="DY29" s="4">
        <f t="shared" si="26"/>
        <v>134219.05053515147</v>
      </c>
      <c r="DZ29" s="4">
        <f t="shared" si="26"/>
        <v>132876.86002979995</v>
      </c>
      <c r="EA29" s="4">
        <f t="shared" si="26"/>
        <v>131548.09142950195</v>
      </c>
      <c r="EB29" s="4">
        <f t="shared" si="26"/>
        <v>130232.61051520692</v>
      </c>
      <c r="EC29" s="4">
        <f t="shared" si="26"/>
        <v>128930.28441005485</v>
      </c>
      <c r="ED29" s="4">
        <f t="shared" si="26"/>
        <v>127640.98156595431</v>
      </c>
      <c r="EE29" s="4">
        <f t="shared" si="26"/>
        <v>126364.57175029477</v>
      </c>
      <c r="EF29" s="4">
        <f t="shared" si="26"/>
        <v>125100.92603279182</v>
      </c>
      <c r="EG29" s="4">
        <f t="shared" si="26"/>
        <v>123849.9167724639</v>
      </c>
      <c r="EH29" s="4">
        <f t="shared" si="26"/>
        <v>122611.41760473925</v>
      </c>
      <c r="EI29" s="4">
        <f t="shared" si="26"/>
        <v>121385.30342869186</v>
      </c>
      <c r="EJ29" s="4">
        <f t="shared" si="26"/>
        <v>120171.45039440494</v>
      </c>
      <c r="EK29" s="4">
        <f t="shared" si="26"/>
        <v>118969.73589046088</v>
      </c>
      <c r="EL29" s="4">
        <f t="shared" si="26"/>
        <v>117780.03853155627</v>
      </c>
      <c r="EM29" s="4">
        <f t="shared" si="26"/>
        <v>116602.23814624071</v>
      </c>
      <c r="EN29" s="4">
        <f t="shared" si="26"/>
        <v>115436.2157647783</v>
      </c>
      <c r="EO29" s="4">
        <f t="shared" si="26"/>
        <v>114281.85360713051</v>
      </c>
      <c r="EP29" s="4">
        <f t="shared" si="26"/>
        <v>113139.0350710592</v>
      </c>
      <c r="EQ29" s="4">
        <f t="shared" si="26"/>
        <v>112007.64472034862</v>
      </c>
      <c r="ER29" s="4">
        <f t="shared" si="26"/>
        <v>110887.56827314512</v>
      </c>
      <c r="ES29" s="4">
        <f t="shared" si="26"/>
        <v>109778.69259041367</v>
      </c>
      <c r="ET29" s="4">
        <f t="shared" si="26"/>
        <v>108680.90566450954</v>
      </c>
      <c r="EU29" s="4">
        <f t="shared" si="26"/>
        <v>107594.09660786444</v>
      </c>
      <c r="EV29" s="4">
        <f t="shared" si="26"/>
        <v>106518.15564178579</v>
      </c>
      <c r="EW29" s="4">
        <f t="shared" si="26"/>
        <v>105452.97408536794</v>
      </c>
      <c r="EX29" s="4">
        <f t="shared" si="26"/>
        <v>104398.44434451425</v>
      </c>
    </row>
    <row r="30" spans="1:154" s="2" customFormat="1" x14ac:dyDescent="0.2">
      <c r="A30"/>
      <c r="B30"/>
      <c r="C30" t="s">
        <v>1</v>
      </c>
      <c r="D30">
        <v>7506</v>
      </c>
      <c r="E30">
        <v>7485</v>
      </c>
      <c r="F30">
        <v>7473</v>
      </c>
      <c r="G30">
        <v>7464</v>
      </c>
      <c r="H30">
        <v>7467</v>
      </c>
      <c r="I30">
        <v>7462</v>
      </c>
      <c r="J30">
        <v>7468</v>
      </c>
      <c r="K30">
        <v>7472</v>
      </c>
      <c r="L30" s="2">
        <v>7472</v>
      </c>
      <c r="M30" s="2">
        <v>7472</v>
      </c>
      <c r="N30" s="2">
        <v>7472</v>
      </c>
      <c r="O30" s="2">
        <v>7472</v>
      </c>
      <c r="P30" s="2">
        <v>7472</v>
      </c>
      <c r="T30" s="2">
        <f>AVERAGE(I30:L30)</f>
        <v>7468.5</v>
      </c>
      <c r="U30" s="2">
        <f>AVERAGE(M30:P30)</f>
        <v>7472</v>
      </c>
      <c r="V30" s="2">
        <f>U30</f>
        <v>7472</v>
      </c>
      <c r="W30" s="2">
        <f t="shared" ref="W30:AG30" si="27">V30</f>
        <v>7472</v>
      </c>
      <c r="X30" s="2">
        <f t="shared" si="27"/>
        <v>7472</v>
      </c>
      <c r="Y30" s="2">
        <f t="shared" si="27"/>
        <v>7472</v>
      </c>
      <c r="Z30" s="2">
        <f t="shared" si="27"/>
        <v>7472</v>
      </c>
      <c r="AA30" s="2">
        <f t="shared" si="27"/>
        <v>7472</v>
      </c>
      <c r="AB30" s="2">
        <f t="shared" si="27"/>
        <v>7472</v>
      </c>
      <c r="AC30" s="2">
        <f t="shared" si="27"/>
        <v>7472</v>
      </c>
      <c r="AD30" s="2">
        <f t="shared" si="27"/>
        <v>7472</v>
      </c>
      <c r="AE30" s="2">
        <f t="shared" si="27"/>
        <v>7472</v>
      </c>
      <c r="AF30" s="2">
        <f t="shared" si="27"/>
        <v>7472</v>
      </c>
      <c r="AG30" s="2">
        <f t="shared" si="27"/>
        <v>7472</v>
      </c>
    </row>
    <row r="31" spans="1:154" s="5" customFormat="1" x14ac:dyDescent="0.2">
      <c r="C31" s="5" t="s">
        <v>34</v>
      </c>
      <c r="D31" s="5">
        <f t="shared" ref="D31:K31" si="28">D29/D30</f>
        <v>2.2302158273381294</v>
      </c>
      <c r="E31" s="5">
        <f t="shared" si="28"/>
        <v>2.3454909819639278</v>
      </c>
      <c r="F31" s="5">
        <f t="shared" si="28"/>
        <v>2.1979124849458049</v>
      </c>
      <c r="G31" s="5">
        <f t="shared" si="28"/>
        <v>2.4516345123258305</v>
      </c>
      <c r="H31" s="5">
        <f t="shared" si="28"/>
        <v>2.6892995848399623</v>
      </c>
      <c r="I31" s="5">
        <f t="shared" si="28"/>
        <v>2.9872688287322435</v>
      </c>
      <c r="J31" s="5">
        <f t="shared" si="28"/>
        <v>2.9284949116229244</v>
      </c>
      <c r="K31" s="5">
        <f t="shared" si="28"/>
        <v>2.9348233404710919</v>
      </c>
      <c r="L31" s="5">
        <f t="shared" ref="L31:P31" si="29">L29/L30</f>
        <v>3.1889426215203414</v>
      </c>
      <c r="M31" s="5">
        <f t="shared" si="29"/>
        <v>3.4169891868308344</v>
      </c>
      <c r="N31" s="5">
        <f t="shared" si="29"/>
        <v>3.6676049571734457</v>
      </c>
      <c r="O31" s="5">
        <f t="shared" si="29"/>
        <v>3.6089550717344747</v>
      </c>
      <c r="P31" s="5">
        <f t="shared" si="29"/>
        <v>3.868005937569591</v>
      </c>
      <c r="T31" s="5">
        <f t="shared" ref="T31:V31" si="30">T29/T30</f>
        <v>12.139564740978775</v>
      </c>
      <c r="U31" s="5">
        <f t="shared" si="30"/>
        <v>14.561555153308344</v>
      </c>
      <c r="V31" s="5">
        <f t="shared" si="30"/>
        <v>13.165723051149381</v>
      </c>
      <c r="W31" s="5">
        <f t="shared" ref="W31" si="31">W29/W30</f>
        <v>14.905268333460075</v>
      </c>
      <c r="X31" s="5">
        <f t="shared" ref="X31" si="32">X29/X30</f>
        <v>16.838901620003565</v>
      </c>
      <c r="Y31" s="5">
        <f t="shared" ref="Y31" si="33">Y29/Y30</f>
        <v>18.987030263620344</v>
      </c>
      <c r="Z31" s="5">
        <f t="shared" ref="Z31" si="34">Z29/Z30</f>
        <v>21.372152215084753</v>
      </c>
      <c r="AA31" s="5">
        <f t="shared" ref="AA31" si="35">AA29/AA30</f>
        <v>24.019067575511112</v>
      </c>
      <c r="AB31" s="5">
        <f t="shared" ref="AB31" si="36">AB29/AB30</f>
        <v>26.955111428626861</v>
      </c>
      <c r="AC31" s="5">
        <f t="shared" ref="AC31" si="37">AC29/AC30</f>
        <v>30.210410087130899</v>
      </c>
      <c r="AD31" s="5">
        <f t="shared" ref="AD31" si="38">AD29/AD30</f>
        <v>33.81816310108826</v>
      </c>
      <c r="AE31" s="5">
        <f t="shared" ref="AE31" si="39">AE29/AE30</f>
        <v>37.814953611434994</v>
      </c>
      <c r="AF31" s="5">
        <f t="shared" ref="AF31" si="40">AF29/AF30</f>
        <v>42.241089890317589</v>
      </c>
      <c r="AG31" s="5">
        <f t="shared" ref="AG31" si="41">AG29/AG30</f>
        <v>47.140981194524578</v>
      </c>
    </row>
    <row r="34" spans="1:37" x14ac:dyDescent="0.2">
      <c r="AJ34" t="s">
        <v>99</v>
      </c>
      <c r="AK34" s="3">
        <v>0.01</v>
      </c>
    </row>
    <row r="35" spans="1:37" x14ac:dyDescent="0.2">
      <c r="C35" s="6" t="s">
        <v>35</v>
      </c>
      <c r="D35" s="6"/>
      <c r="E35" s="6"/>
      <c r="F35" s="6"/>
      <c r="G35" s="6"/>
      <c r="H35" s="3">
        <f>H14/D14-1</f>
        <v>8.3370288248336921E-2</v>
      </c>
      <c r="I35" s="3">
        <f>I14/E14-1</f>
        <v>0.12758868361198683</v>
      </c>
      <c r="J35" s="3">
        <f>J14/F14-1</f>
        <v>0.17580146738203117</v>
      </c>
      <c r="K35" s="3">
        <f>K14/G14-1</f>
        <v>0.17028964943148495</v>
      </c>
      <c r="L35" s="3">
        <f t="shared" ref="L35:P35" si="42">L14/H14-1</f>
        <v>0.1399999999999999</v>
      </c>
      <c r="M35" s="3">
        <f t="shared" si="42"/>
        <v>0.1399999999999999</v>
      </c>
      <c r="N35" s="3">
        <f t="shared" si="42"/>
        <v>0.1399999999999999</v>
      </c>
      <c r="O35" s="3">
        <f t="shared" si="42"/>
        <v>0.1399999999999999</v>
      </c>
      <c r="P35" s="3">
        <f t="shared" si="42"/>
        <v>0.13999999999999968</v>
      </c>
      <c r="U35" s="3">
        <f>U14/T14-1</f>
        <v>0.14000000000000012</v>
      </c>
      <c r="V35" s="3">
        <f t="shared" ref="V35:AG35" si="43">V14/U14-1</f>
        <v>0.10000000000000009</v>
      </c>
      <c r="W35" s="3">
        <f t="shared" si="43"/>
        <v>0.10000000000000009</v>
      </c>
      <c r="X35" s="3">
        <f t="shared" si="43"/>
        <v>0.10000000000000009</v>
      </c>
      <c r="Y35" s="3">
        <f t="shared" si="43"/>
        <v>0.10000000000000009</v>
      </c>
      <c r="Z35" s="3">
        <f t="shared" si="43"/>
        <v>0.10000000000000009</v>
      </c>
      <c r="AA35" s="3">
        <f t="shared" si="43"/>
        <v>0.10000000000000009</v>
      </c>
      <c r="AB35" s="3">
        <f t="shared" si="43"/>
        <v>0.10000000000000009</v>
      </c>
      <c r="AC35" s="3">
        <f t="shared" si="43"/>
        <v>0.10000000000000009</v>
      </c>
      <c r="AD35" s="3">
        <f t="shared" si="43"/>
        <v>0.10000000000000009</v>
      </c>
      <c r="AE35" s="3">
        <f t="shared" si="43"/>
        <v>0.10000000000000009</v>
      </c>
      <c r="AF35" s="3">
        <f t="shared" si="43"/>
        <v>0.10000000000000009</v>
      </c>
      <c r="AG35" s="3">
        <f t="shared" si="43"/>
        <v>0.10000000000000009</v>
      </c>
      <c r="AJ35" t="s">
        <v>101</v>
      </c>
      <c r="AK35" s="3">
        <v>0.06</v>
      </c>
    </row>
    <row r="36" spans="1:37" x14ac:dyDescent="0.2">
      <c r="C36" s="6" t="s">
        <v>73</v>
      </c>
      <c r="D36" s="6"/>
      <c r="E36" s="6"/>
      <c r="F36" s="6"/>
      <c r="G36" s="6"/>
      <c r="H36" s="3">
        <v>0.1</v>
      </c>
      <c r="I36" s="3">
        <v>0.12</v>
      </c>
      <c r="J36" s="3">
        <v>0.16</v>
      </c>
      <c r="K36" s="3">
        <v>0.17</v>
      </c>
      <c r="AJ36" t="s">
        <v>102</v>
      </c>
      <c r="AK36" s="2">
        <f>NPV(AK35,V29:EX29)</f>
        <v>4055119.2198777562</v>
      </c>
    </row>
    <row r="37" spans="1:37" x14ac:dyDescent="0.2">
      <c r="C37" s="6"/>
      <c r="D37" s="6"/>
      <c r="E37" s="6"/>
      <c r="F37" s="6"/>
      <c r="G37" s="6"/>
      <c r="H37" s="3"/>
      <c r="I37" s="3"/>
      <c r="J37" s="3"/>
      <c r="K37" s="3"/>
      <c r="AJ37" t="s">
        <v>100</v>
      </c>
      <c r="AK37" s="3">
        <v>-0.01</v>
      </c>
    </row>
    <row r="38" spans="1:37" x14ac:dyDescent="0.2">
      <c r="C38" t="s">
        <v>24</v>
      </c>
      <c r="D38" s="3">
        <f t="shared" ref="D38:K38" si="44">D20/D14</f>
        <v>0.68323532247180174</v>
      </c>
      <c r="E38" s="3">
        <f t="shared" si="44"/>
        <v>0.69171222217788597</v>
      </c>
      <c r="F38" s="3">
        <f t="shared" si="44"/>
        <v>0.66845507801391546</v>
      </c>
      <c r="G38" s="3">
        <f t="shared" si="44"/>
        <v>0.69487485101311086</v>
      </c>
      <c r="H38" s="3">
        <f t="shared" si="44"/>
        <v>0.70109807969531401</v>
      </c>
      <c r="I38" s="3">
        <f t="shared" si="44"/>
        <v>0.71155581506449384</v>
      </c>
      <c r="J38" s="3">
        <f t="shared" si="44"/>
        <v>0.68360206385037081</v>
      </c>
      <c r="K38" s="3">
        <f t="shared" si="44"/>
        <v>0.70084710142584628</v>
      </c>
      <c r="L38" s="3">
        <f t="shared" ref="L38:P38" si="45">L20/L14</f>
        <v>0.69</v>
      </c>
      <c r="M38" s="3">
        <f t="shared" si="45"/>
        <v>0.69</v>
      </c>
      <c r="N38" s="3">
        <f t="shared" si="45"/>
        <v>0.69</v>
      </c>
      <c r="O38" s="3">
        <f t="shared" si="45"/>
        <v>0.69</v>
      </c>
      <c r="P38" s="3">
        <f t="shared" si="45"/>
        <v>0.69</v>
      </c>
      <c r="T38" s="3">
        <f t="shared" ref="T38:AG38" si="46">T20/T14</f>
        <v>0.69610532702617944</v>
      </c>
      <c r="U38" s="3">
        <f t="shared" si="46"/>
        <v>0.68999999999999972</v>
      </c>
      <c r="V38" s="3">
        <f t="shared" si="46"/>
        <v>0.6</v>
      </c>
      <c r="W38" s="3">
        <f t="shared" si="46"/>
        <v>0.6</v>
      </c>
      <c r="X38" s="3">
        <f t="shared" si="46"/>
        <v>0.6</v>
      </c>
      <c r="Y38" s="3">
        <f t="shared" si="46"/>
        <v>0.6</v>
      </c>
      <c r="Z38" s="3">
        <f t="shared" si="46"/>
        <v>0.6</v>
      </c>
      <c r="AA38" s="3">
        <f t="shared" si="46"/>
        <v>0.6</v>
      </c>
      <c r="AB38" s="3">
        <f t="shared" si="46"/>
        <v>0.6</v>
      </c>
      <c r="AC38" s="3">
        <f t="shared" si="46"/>
        <v>0.6</v>
      </c>
      <c r="AD38" s="3">
        <f t="shared" si="46"/>
        <v>0.6</v>
      </c>
      <c r="AE38" s="3">
        <f t="shared" si="46"/>
        <v>0.6</v>
      </c>
      <c r="AF38" s="3">
        <f t="shared" si="46"/>
        <v>0.6</v>
      </c>
      <c r="AG38" s="3">
        <f t="shared" si="46"/>
        <v>0.6</v>
      </c>
      <c r="AJ38" t="s">
        <v>3</v>
      </c>
      <c r="AK38" s="2">
        <f>Main!M5-Main!M6</f>
        <v>49089</v>
      </c>
    </row>
    <row r="39" spans="1:37" x14ac:dyDescent="0.2">
      <c r="C39" t="s">
        <v>36</v>
      </c>
      <c r="D39" s="3">
        <f t="shared" ref="D39:K39" si="47">D25/D14</f>
        <v>0.3959124650535043</v>
      </c>
      <c r="E39" s="3">
        <f t="shared" si="47"/>
        <v>0.42931247755476637</v>
      </c>
      <c r="F39" s="3">
        <f t="shared" si="47"/>
        <v>0.3867328947617874</v>
      </c>
      <c r="G39" s="3">
        <f t="shared" si="47"/>
        <v>0.42287681858599618</v>
      </c>
      <c r="H39" s="3">
        <f t="shared" si="47"/>
        <v>0.4316503230169606</v>
      </c>
      <c r="I39" s="3">
        <f t="shared" si="47"/>
        <v>0.47587451563246458</v>
      </c>
      <c r="J39" s="3">
        <f t="shared" si="47"/>
        <v>0.43585940019348596</v>
      </c>
      <c r="K39" s="3">
        <f t="shared" si="47"/>
        <v>0.44587603866921011</v>
      </c>
      <c r="L39" s="3">
        <f t="shared" ref="L39:P39" si="48">L25/L14</f>
        <v>0.45364231870319865</v>
      </c>
      <c r="M39" s="3">
        <f t="shared" si="48"/>
        <v>0.48326201804207947</v>
      </c>
      <c r="N39" s="3">
        <f t="shared" si="48"/>
        <v>0.47268187398518857</v>
      </c>
      <c r="O39" s="3">
        <f t="shared" si="48"/>
        <v>0.46634117302049455</v>
      </c>
      <c r="P39" s="3">
        <f t="shared" si="48"/>
        <v>0.48266870061684092</v>
      </c>
      <c r="AJ39" t="s">
        <v>103</v>
      </c>
      <c r="AK39" s="2">
        <f>AK36+AK38</f>
        <v>4104208.2198777562</v>
      </c>
    </row>
    <row r="40" spans="1:37" x14ac:dyDescent="0.2">
      <c r="C40" t="s">
        <v>32</v>
      </c>
      <c r="D40" s="3">
        <f t="shared" ref="D40:K40" si="49">D28/D27</f>
        <v>0.18289647093278666</v>
      </c>
      <c r="E40" s="3">
        <f t="shared" si="49"/>
        <v>0.18616725384758021</v>
      </c>
      <c r="F40" s="3">
        <f t="shared" si="49"/>
        <v>0.19243817296818919</v>
      </c>
      <c r="G40" s="3">
        <f t="shared" si="49"/>
        <v>0.19291668504388479</v>
      </c>
      <c r="H40" s="3">
        <f t="shared" si="49"/>
        <v>0.18789177821814212</v>
      </c>
      <c r="I40" s="3">
        <f t="shared" si="49"/>
        <v>0.18300102624248643</v>
      </c>
      <c r="J40" s="3">
        <f t="shared" si="49"/>
        <v>0.17552589911784663</v>
      </c>
      <c r="K40" s="3">
        <f t="shared" si="49"/>
        <v>0.17921173784481792</v>
      </c>
      <c r="L40" s="3">
        <f t="shared" ref="L40:P40" si="50">L28/L27</f>
        <v>0.18</v>
      </c>
      <c r="M40" s="3">
        <f t="shared" si="50"/>
        <v>0.18</v>
      </c>
      <c r="N40" s="3">
        <f t="shared" si="50"/>
        <v>0.18</v>
      </c>
      <c r="O40" s="3">
        <f t="shared" si="50"/>
        <v>0.18</v>
      </c>
      <c r="P40" s="3">
        <f t="shared" si="50"/>
        <v>0.18</v>
      </c>
      <c r="AJ40" t="s">
        <v>104</v>
      </c>
      <c r="AK40" s="2">
        <f>AK39/Main!M3</f>
        <v>552.02077503305452</v>
      </c>
    </row>
    <row r="41" spans="1:37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3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37" x14ac:dyDescent="0.2">
      <c r="A43" s="2"/>
      <c r="B43" s="2"/>
      <c r="C43" s="2" t="s">
        <v>37</v>
      </c>
      <c r="D43" s="2"/>
      <c r="F43" s="2"/>
      <c r="G43" s="2"/>
      <c r="H43" s="2">
        <f>H44-H55</f>
        <v>73904</v>
      </c>
      <c r="I43" s="2">
        <f>I44-I55</f>
        <v>83872</v>
      </c>
      <c r="J43" s="2">
        <f>J44-J55</f>
        <v>20165</v>
      </c>
      <c r="K43" s="2">
        <f>K44-K55</f>
        <v>29386</v>
      </c>
      <c r="L43" s="2">
        <f>K43+L29</f>
        <v>53213.779267999991</v>
      </c>
      <c r="M43" s="2">
        <f t="shared" ref="M43:P43" si="51">L43+M29</f>
        <v>78745.522471999982</v>
      </c>
      <c r="N43" s="2">
        <f t="shared" si="51"/>
        <v>106149.86671199997</v>
      </c>
      <c r="O43" s="2">
        <f t="shared" si="51"/>
        <v>133115.97900799997</v>
      </c>
      <c r="P43" s="2">
        <f t="shared" si="51"/>
        <v>162017.71937351994</v>
      </c>
      <c r="T43" s="2">
        <f>L43</f>
        <v>53213.779267999991</v>
      </c>
      <c r="U43" s="2">
        <f>P43</f>
        <v>162017.71937351994</v>
      </c>
      <c r="V43" s="2">
        <f>U43+V29</f>
        <v>260392.0020117081</v>
      </c>
      <c r="W43" s="2">
        <f t="shared" ref="W43:AG43" si="52">V43+W29</f>
        <v>371764.16699932178</v>
      </c>
      <c r="X43" s="2">
        <f t="shared" si="52"/>
        <v>497584.43990398839</v>
      </c>
      <c r="Y43" s="2">
        <f t="shared" si="52"/>
        <v>639455.53003375954</v>
      </c>
      <c r="Z43" s="2">
        <f t="shared" si="52"/>
        <v>799148.25138487283</v>
      </c>
      <c r="AA43" s="2">
        <f t="shared" si="52"/>
        <v>978618.72430909192</v>
      </c>
      <c r="AB43" s="2">
        <f t="shared" si="52"/>
        <v>1180027.3169037919</v>
      </c>
      <c r="AC43" s="2">
        <f t="shared" si="52"/>
        <v>1405759.501074834</v>
      </c>
      <c r="AD43" s="2">
        <f t="shared" si="52"/>
        <v>1658448.8157661655</v>
      </c>
      <c r="AE43" s="2">
        <f t="shared" si="52"/>
        <v>1941002.1491508079</v>
      </c>
      <c r="AF43" s="2">
        <f t="shared" si="52"/>
        <v>2256627.5728112608</v>
      </c>
      <c r="AG43" s="2">
        <f t="shared" si="52"/>
        <v>2608864.9842967484</v>
      </c>
    </row>
    <row r="44" spans="1:37" x14ac:dyDescent="0.2">
      <c r="A44" s="2"/>
      <c r="B44" s="2"/>
      <c r="C44" s="2" t="s">
        <v>3</v>
      </c>
      <c r="D44" s="2"/>
      <c r="F44" s="2"/>
      <c r="G44" s="2"/>
      <c r="H44" s="2">
        <f>111262+9879</f>
        <v>121141</v>
      </c>
      <c r="I44" s="2">
        <f>143951+11423</f>
        <v>155374</v>
      </c>
      <c r="J44" s="2">
        <f>81017+13367</f>
        <v>94384</v>
      </c>
      <c r="K44" s="2">
        <f>80021+14807</f>
        <v>94828</v>
      </c>
      <c r="L44" s="2"/>
      <c r="M44" s="2"/>
      <c r="N44" s="2"/>
    </row>
    <row r="45" spans="1:37" x14ac:dyDescent="0.2">
      <c r="A45" s="2"/>
      <c r="B45" s="2"/>
      <c r="C45" s="2" t="s">
        <v>38</v>
      </c>
      <c r="D45" s="2"/>
      <c r="F45" s="2"/>
      <c r="G45" s="2"/>
      <c r="H45" s="2">
        <v>48688</v>
      </c>
      <c r="I45" s="2">
        <v>36953</v>
      </c>
      <c r="J45" s="2">
        <v>42831</v>
      </c>
      <c r="K45" s="2">
        <v>44029</v>
      </c>
      <c r="L45" s="2"/>
      <c r="M45" s="2"/>
      <c r="N45" s="2"/>
    </row>
    <row r="46" spans="1:37" x14ac:dyDescent="0.2">
      <c r="A46" s="2"/>
      <c r="B46" s="2"/>
      <c r="C46" s="2" t="s">
        <v>39</v>
      </c>
      <c r="D46" s="2"/>
      <c r="F46" s="2"/>
      <c r="G46" s="2"/>
      <c r="H46" s="2">
        <v>2500</v>
      </c>
      <c r="I46" s="2">
        <v>3000</v>
      </c>
      <c r="J46" s="2">
        <v>1615</v>
      </c>
      <c r="K46" s="2">
        <v>1304</v>
      </c>
      <c r="L46" s="2"/>
      <c r="M46" s="2"/>
      <c r="N46" s="2"/>
    </row>
    <row r="47" spans="1:37" x14ac:dyDescent="0.2">
      <c r="A47" s="2"/>
      <c r="B47" s="2"/>
      <c r="C47" s="2" t="s">
        <v>40</v>
      </c>
      <c r="D47" s="2"/>
      <c r="F47" s="2"/>
      <c r="G47" s="2"/>
      <c r="H47" s="2">
        <v>21807</v>
      </c>
      <c r="I47" s="2">
        <v>23682</v>
      </c>
      <c r="J47" s="2">
        <v>21930</v>
      </c>
      <c r="K47" s="2">
        <v>21826</v>
      </c>
      <c r="L47" s="2"/>
      <c r="M47" s="2"/>
      <c r="N47" s="2"/>
    </row>
    <row r="48" spans="1:37" x14ac:dyDescent="0.2">
      <c r="A48" s="2"/>
      <c r="B48" s="2"/>
      <c r="C48" s="2" t="s">
        <v>41</v>
      </c>
      <c r="D48" s="2"/>
      <c r="F48" s="2"/>
      <c r="G48" s="2"/>
      <c r="H48" s="2">
        <v>95641</v>
      </c>
      <c r="I48" s="2">
        <v>102502</v>
      </c>
      <c r="J48" s="2">
        <v>112308</v>
      </c>
      <c r="K48" s="2">
        <v>121375</v>
      </c>
      <c r="L48" s="2"/>
      <c r="M48" s="2"/>
      <c r="N48" s="2"/>
    </row>
    <row r="49" spans="1:14" x14ac:dyDescent="0.2">
      <c r="A49" s="2"/>
      <c r="B49" s="2"/>
      <c r="C49" s="2" t="s">
        <v>47</v>
      </c>
      <c r="D49" s="2"/>
      <c r="F49" s="2"/>
      <c r="G49" s="2"/>
      <c r="H49" s="2">
        <v>14346</v>
      </c>
      <c r="I49" s="2">
        <v>15435</v>
      </c>
      <c r="J49" s="2">
        <v>16398</v>
      </c>
      <c r="K49" s="2">
        <v>17371</v>
      </c>
      <c r="L49" s="2"/>
      <c r="M49" s="2"/>
      <c r="N49" s="2"/>
    </row>
    <row r="50" spans="1:14" s="3" customFormat="1" x14ac:dyDescent="0.2">
      <c r="A50" s="2"/>
      <c r="B50" s="2"/>
      <c r="C50" s="2" t="s">
        <v>42</v>
      </c>
      <c r="D50" s="2"/>
      <c r="F50" s="2"/>
      <c r="G50" s="2"/>
      <c r="H50" s="2">
        <f>67886+9366</f>
        <v>77252</v>
      </c>
      <c r="I50" s="2">
        <f>67790+8895</f>
        <v>76685</v>
      </c>
      <c r="J50" s="2">
        <f>118931+29896</f>
        <v>148827</v>
      </c>
      <c r="K50" s="2">
        <f>119163+28828</f>
        <v>147991</v>
      </c>
      <c r="L50" s="2"/>
      <c r="M50" s="2"/>
      <c r="N50" s="2"/>
    </row>
    <row r="51" spans="1:14" x14ac:dyDescent="0.2">
      <c r="A51" s="2"/>
      <c r="B51" s="2"/>
      <c r="C51" s="2" t="s">
        <v>40</v>
      </c>
      <c r="D51" s="2"/>
      <c r="F51" s="2"/>
      <c r="G51" s="2"/>
      <c r="H51" s="2">
        <v>30601</v>
      </c>
      <c r="I51" s="2">
        <v>32154</v>
      </c>
      <c r="J51" s="2">
        <v>32265</v>
      </c>
      <c r="K51" s="2">
        <v>35551</v>
      </c>
      <c r="L51" s="2"/>
      <c r="M51" s="2"/>
      <c r="N51" s="2"/>
    </row>
    <row r="52" spans="1:14" s="1" customFormat="1" x14ac:dyDescent="0.2">
      <c r="A52" s="4"/>
      <c r="B52" s="4"/>
      <c r="C52" s="4" t="s">
        <v>43</v>
      </c>
      <c r="D52" s="4"/>
      <c r="F52" s="4"/>
      <c r="G52" s="4"/>
      <c r="H52" s="4">
        <f>SUM(H44:H51)</f>
        <v>411976</v>
      </c>
      <c r="I52" s="4">
        <f>SUM(I44:I51)</f>
        <v>445785</v>
      </c>
      <c r="J52" s="4">
        <f>SUM(J44:J51)</f>
        <v>470558</v>
      </c>
      <c r="K52" s="4">
        <f>SUM(K44:K51)</f>
        <v>484275</v>
      </c>
      <c r="L52" s="4"/>
      <c r="M52" s="4"/>
      <c r="N52" s="4"/>
    </row>
    <row r="53" spans="1:14" x14ac:dyDescent="0.2">
      <c r="A53" s="2"/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2"/>
      <c r="B54" s="2"/>
      <c r="C54" s="2" t="s">
        <v>44</v>
      </c>
      <c r="D54" s="2"/>
      <c r="F54" s="2"/>
      <c r="G54" s="2"/>
      <c r="H54" s="2">
        <v>18095</v>
      </c>
      <c r="I54" s="2">
        <v>19307</v>
      </c>
      <c r="J54" s="2">
        <v>17695</v>
      </c>
      <c r="K54" s="2">
        <v>18087</v>
      </c>
      <c r="L54" s="2"/>
      <c r="M54" s="2"/>
      <c r="N54" s="2"/>
    </row>
    <row r="55" spans="1:14" x14ac:dyDescent="0.2">
      <c r="A55" s="2"/>
      <c r="B55" s="2"/>
      <c r="C55" s="2" t="s">
        <v>4</v>
      </c>
      <c r="D55" s="2"/>
      <c r="F55" s="2"/>
      <c r="G55" s="2"/>
      <c r="H55" s="2">
        <f>5247+41990</f>
        <v>47237</v>
      </c>
      <c r="I55" s="2">
        <f>25808+3748+41946</f>
        <v>71502</v>
      </c>
      <c r="J55" s="2">
        <f>27041+2250+44928</f>
        <v>74219</v>
      </c>
      <c r="K55" s="2">
        <f>20535+2249+42658</f>
        <v>65442</v>
      </c>
      <c r="L55" s="2"/>
      <c r="M55" s="2"/>
      <c r="N55" s="2"/>
    </row>
    <row r="56" spans="1:14" x14ac:dyDescent="0.2">
      <c r="A56" s="2"/>
      <c r="B56" s="2"/>
      <c r="C56" s="2" t="s">
        <v>45</v>
      </c>
      <c r="D56" s="2"/>
      <c r="F56" s="2"/>
      <c r="G56" s="2"/>
      <c r="H56" s="2">
        <v>11009</v>
      </c>
      <c r="I56" s="2">
        <v>6990</v>
      </c>
      <c r="J56" s="2">
        <v>8813</v>
      </c>
      <c r="K56" s="2">
        <v>10432</v>
      </c>
      <c r="L56" s="2"/>
      <c r="M56" s="2"/>
      <c r="N56" s="2"/>
    </row>
    <row r="57" spans="1:14" x14ac:dyDescent="0.2">
      <c r="A57" s="2"/>
      <c r="B57" s="2"/>
      <c r="C57" s="2" t="s">
        <v>32</v>
      </c>
      <c r="D57" s="2"/>
      <c r="F57" s="2"/>
      <c r="G57" s="2"/>
      <c r="H57" s="2">
        <f>4152+25560</f>
        <v>29712</v>
      </c>
      <c r="I57" s="2">
        <f>8035+22983</f>
        <v>31018</v>
      </c>
      <c r="J57" s="2">
        <f>5787+25890</f>
        <v>31677</v>
      </c>
      <c r="K57" s="2">
        <f>7311+26786</f>
        <v>34097</v>
      </c>
      <c r="L57" s="2"/>
      <c r="M57" s="2"/>
      <c r="N57" s="2"/>
    </row>
    <row r="58" spans="1:14" x14ac:dyDescent="0.2">
      <c r="A58" s="2"/>
      <c r="B58" s="2"/>
      <c r="C58" s="2" t="s">
        <v>46</v>
      </c>
      <c r="D58" s="2"/>
      <c r="F58" s="2"/>
      <c r="G58" s="2"/>
      <c r="H58" s="2">
        <f>50901+2912</f>
        <v>53813</v>
      </c>
      <c r="I58" s="2">
        <f>46429+2759</f>
        <v>49188</v>
      </c>
      <c r="J58" s="2">
        <f>43068+2966</f>
        <v>46034</v>
      </c>
      <c r="K58" s="2">
        <f>41888+2945</f>
        <v>44833</v>
      </c>
      <c r="L58" s="2"/>
      <c r="M58" s="2"/>
      <c r="N58" s="2"/>
    </row>
    <row r="59" spans="1:14" x14ac:dyDescent="0.2">
      <c r="A59" s="2"/>
      <c r="B59" s="2"/>
      <c r="C59" s="2" t="s">
        <v>52</v>
      </c>
      <c r="D59" s="2"/>
      <c r="F59" s="2"/>
      <c r="G59" s="2"/>
      <c r="H59" s="2">
        <v>14745</v>
      </c>
      <c r="I59" s="2">
        <v>14475</v>
      </c>
      <c r="J59" s="2">
        <v>16362</v>
      </c>
      <c r="K59" s="2">
        <v>18023</v>
      </c>
      <c r="L59" s="2"/>
      <c r="M59" s="2"/>
      <c r="N59" s="2"/>
    </row>
    <row r="60" spans="1:14" x14ac:dyDescent="0.2">
      <c r="A60" s="2"/>
      <c r="B60" s="2"/>
      <c r="C60" s="2" t="s">
        <v>51</v>
      </c>
      <c r="D60" s="2"/>
      <c r="F60" s="2"/>
      <c r="G60" s="2"/>
      <c r="H60" s="2">
        <v>433</v>
      </c>
      <c r="I60" s="2">
        <v>470</v>
      </c>
      <c r="J60" s="2">
        <v>2548</v>
      </c>
      <c r="K60" s="2">
        <v>2469</v>
      </c>
      <c r="L60" s="2"/>
      <c r="M60" s="2"/>
      <c r="N60" s="2"/>
    </row>
    <row r="61" spans="1:14" x14ac:dyDescent="0.2">
      <c r="A61" s="2"/>
      <c r="B61" s="2"/>
      <c r="C61" s="2" t="s">
        <v>47</v>
      </c>
      <c r="D61" s="2"/>
      <c r="F61" s="2"/>
      <c r="G61" s="2"/>
      <c r="H61" s="2">
        <v>12728</v>
      </c>
      <c r="I61" s="2">
        <v>13487</v>
      </c>
      <c r="J61" s="2">
        <v>14155</v>
      </c>
      <c r="K61" s="2">
        <v>14469</v>
      </c>
    </row>
    <row r="62" spans="1:14" x14ac:dyDescent="0.2">
      <c r="A62" s="2"/>
      <c r="B62" s="2"/>
      <c r="C62" s="2" t="s">
        <v>53</v>
      </c>
      <c r="D62" s="2"/>
      <c r="F62" s="2"/>
      <c r="G62" s="2"/>
      <c r="H62" s="2">
        <v>17981</v>
      </c>
      <c r="I62" s="2">
        <v>18634</v>
      </c>
      <c r="J62" s="2">
        <v>20787</v>
      </c>
      <c r="K62" s="2">
        <v>23271</v>
      </c>
    </row>
    <row r="63" spans="1:14" s="1" customFormat="1" x14ac:dyDescent="0.2">
      <c r="A63" s="4"/>
      <c r="B63" s="4"/>
      <c r="C63" s="4" t="s">
        <v>50</v>
      </c>
      <c r="D63" s="4"/>
      <c r="F63" s="4"/>
      <c r="G63" s="4"/>
      <c r="H63" s="4">
        <f>SUM(H54:H62)</f>
        <v>205753</v>
      </c>
      <c r="I63" s="4">
        <f>SUM(I54:I62)</f>
        <v>225071</v>
      </c>
      <c r="J63" s="4">
        <f>SUM(J54:J62)</f>
        <v>232290</v>
      </c>
      <c r="K63" s="4">
        <f>SUM(K54:K62)</f>
        <v>231123</v>
      </c>
    </row>
    <row r="64" spans="1:14" x14ac:dyDescent="0.2">
      <c r="A64" s="2"/>
      <c r="B64" s="2"/>
      <c r="C64" s="2" t="s">
        <v>48</v>
      </c>
      <c r="D64" s="2"/>
      <c r="F64" s="2"/>
      <c r="G64" s="2"/>
      <c r="H64" s="2">
        <v>206223</v>
      </c>
      <c r="I64" s="2">
        <v>220714</v>
      </c>
      <c r="J64" s="2">
        <f>238268</f>
        <v>238268</v>
      </c>
      <c r="K64" s="2">
        <v>253152</v>
      </c>
    </row>
    <row r="65" spans="1:13" x14ac:dyDescent="0.2">
      <c r="A65" s="2"/>
      <c r="B65" s="2"/>
      <c r="C65" s="2" t="s">
        <v>49</v>
      </c>
      <c r="D65" s="2"/>
      <c r="F65" s="2"/>
      <c r="G65" s="2"/>
      <c r="H65" s="2">
        <f>SUM(H63:H64)</f>
        <v>411976</v>
      </c>
      <c r="I65" s="2">
        <f>SUM(I63:I64)</f>
        <v>445785</v>
      </c>
      <c r="J65" s="2">
        <f>SUM(J63:J64)</f>
        <v>470558</v>
      </c>
      <c r="K65" s="2">
        <f>SUM(K63:K64)</f>
        <v>484275</v>
      </c>
    </row>
    <row r="66" spans="1:13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3" s="1" customFormat="1" x14ac:dyDescent="0.2">
      <c r="A67" s="4"/>
      <c r="B67" s="4"/>
      <c r="C67" s="4" t="s">
        <v>54</v>
      </c>
      <c r="D67" s="4"/>
      <c r="E67" s="4"/>
      <c r="F67" s="4"/>
      <c r="G67" s="4"/>
      <c r="H67" s="4">
        <f>H29</f>
        <v>20081</v>
      </c>
      <c r="I67" s="4">
        <f>I29</f>
        <v>22291</v>
      </c>
      <c r="J67" s="4">
        <f>J29</f>
        <v>21870</v>
      </c>
      <c r="K67" s="4">
        <f>K29</f>
        <v>21929</v>
      </c>
      <c r="L67" s="4"/>
      <c r="M67" s="4"/>
    </row>
    <row r="68" spans="1:13" x14ac:dyDescent="0.2">
      <c r="C68" s="2" t="s">
        <v>55</v>
      </c>
      <c r="D68" s="2"/>
      <c r="E68" s="2"/>
      <c r="F68" s="2"/>
      <c r="G68" s="2"/>
      <c r="H68" s="2">
        <v>20081</v>
      </c>
      <c r="I68" s="2">
        <v>22291</v>
      </c>
      <c r="J68" s="2">
        <v>21870</v>
      </c>
      <c r="K68" s="2">
        <v>21939</v>
      </c>
      <c r="L68" s="2"/>
      <c r="M68" s="2"/>
    </row>
    <row r="69" spans="1:13" x14ac:dyDescent="0.2">
      <c r="C69" s="2" t="s">
        <v>56</v>
      </c>
      <c r="D69" s="2"/>
      <c r="E69" s="2"/>
      <c r="F69" s="2"/>
      <c r="G69" s="2"/>
      <c r="H69" s="2">
        <v>3874</v>
      </c>
      <c r="I69" s="2">
        <v>3921</v>
      </c>
      <c r="J69" s="2">
        <v>5959</v>
      </c>
      <c r="K69" s="2">
        <v>6027</v>
      </c>
      <c r="L69" s="2"/>
      <c r="M69" s="2"/>
    </row>
    <row r="70" spans="1:13" x14ac:dyDescent="0.2">
      <c r="C70" s="2" t="s">
        <v>57</v>
      </c>
      <c r="D70" s="2"/>
      <c r="E70" s="2"/>
      <c r="F70" s="2"/>
      <c r="G70" s="2"/>
      <c r="H70" s="2">
        <v>2416</v>
      </c>
      <c r="I70" s="2">
        <v>2507</v>
      </c>
      <c r="J70" s="2">
        <v>2828</v>
      </c>
      <c r="K70" s="2">
        <v>2703</v>
      </c>
      <c r="L70" s="2"/>
      <c r="M70" s="2"/>
    </row>
    <row r="71" spans="1:13" x14ac:dyDescent="0.2">
      <c r="C71" s="2" t="s">
        <v>58</v>
      </c>
      <c r="D71" s="2"/>
      <c r="E71" s="2"/>
      <c r="F71" s="2"/>
      <c r="G71" s="2"/>
      <c r="H71" s="2">
        <v>44</v>
      </c>
      <c r="I71" s="2">
        <v>14</v>
      </c>
      <c r="J71" s="2">
        <v>198</v>
      </c>
      <c r="K71" s="2">
        <v>49</v>
      </c>
      <c r="L71" s="2"/>
      <c r="M71" s="2"/>
    </row>
    <row r="72" spans="1:13" x14ac:dyDescent="0.2">
      <c r="C72" s="2" t="s">
        <v>51</v>
      </c>
      <c r="D72" s="2"/>
      <c r="E72" s="2"/>
      <c r="F72" s="2"/>
      <c r="G72" s="2"/>
      <c r="H72" s="2">
        <v>-1888</v>
      </c>
      <c r="I72" s="2">
        <v>-568</v>
      </c>
      <c r="J72" s="2">
        <v>-1702</v>
      </c>
      <c r="K72" s="2">
        <v>-1323</v>
      </c>
      <c r="L72" s="2"/>
      <c r="M72" s="2"/>
    </row>
    <row r="73" spans="1:13" x14ac:dyDescent="0.2">
      <c r="C73" s="2" t="s">
        <v>38</v>
      </c>
      <c r="D73" s="2"/>
      <c r="E73" s="2"/>
      <c r="F73" s="2"/>
      <c r="G73" s="2"/>
      <c r="H73" s="2">
        <v>-11244</v>
      </c>
      <c r="I73" s="2">
        <v>11034</v>
      </c>
      <c r="J73" s="2">
        <v>-2951</v>
      </c>
      <c r="K73" s="2">
        <v>-2028</v>
      </c>
      <c r="L73" s="2"/>
      <c r="M73" s="2"/>
    </row>
    <row r="74" spans="1:13" x14ac:dyDescent="0.2">
      <c r="C74" s="2" t="s">
        <v>63</v>
      </c>
      <c r="D74" s="2"/>
      <c r="E74" s="2"/>
      <c r="F74" s="2"/>
      <c r="G74" s="2"/>
      <c r="H74" s="2">
        <v>374</v>
      </c>
      <c r="I74" s="2">
        <v>-505</v>
      </c>
      <c r="J74" s="2">
        <v>1474</v>
      </c>
      <c r="K74" s="2">
        <v>260</v>
      </c>
      <c r="L74" s="2"/>
      <c r="M74" s="2"/>
    </row>
    <row r="75" spans="1:13" x14ac:dyDescent="0.2">
      <c r="C75" s="2" t="s">
        <v>59</v>
      </c>
      <c r="D75" s="2"/>
      <c r="E75" s="2"/>
      <c r="F75" s="2"/>
      <c r="G75" s="2"/>
      <c r="H75" s="2">
        <v>-2419</v>
      </c>
      <c r="I75" s="2">
        <v>-796</v>
      </c>
      <c r="J75" s="2">
        <v>725</v>
      </c>
      <c r="K75" s="2">
        <v>951</v>
      </c>
      <c r="L75" s="2"/>
      <c r="M75" s="2"/>
    </row>
    <row r="76" spans="1:13" x14ac:dyDescent="0.2">
      <c r="C76" s="2" t="s">
        <v>60</v>
      </c>
      <c r="D76" s="2"/>
      <c r="E76" s="2"/>
      <c r="F76" s="2"/>
      <c r="G76" s="2"/>
      <c r="H76" s="2">
        <v>-1548</v>
      </c>
      <c r="I76" s="2">
        <v>-2013</v>
      </c>
      <c r="J76" s="2">
        <v>-1427</v>
      </c>
      <c r="K76" s="2">
        <v>-2137</v>
      </c>
      <c r="L76" s="2"/>
      <c r="M76" s="2"/>
    </row>
    <row r="77" spans="1:13" x14ac:dyDescent="0.2">
      <c r="C77" s="2" t="s">
        <v>44</v>
      </c>
      <c r="D77" s="2"/>
      <c r="E77" s="2"/>
      <c r="F77" s="2"/>
      <c r="G77" s="2"/>
      <c r="H77" s="2">
        <v>1311</v>
      </c>
      <c r="I77" s="2">
        <v>1214</v>
      </c>
      <c r="J77" s="2">
        <v>-2521</v>
      </c>
      <c r="K77" s="2">
        <v>648</v>
      </c>
      <c r="L77" s="2"/>
      <c r="M77" s="2"/>
    </row>
    <row r="78" spans="1:13" x14ac:dyDescent="0.2">
      <c r="C78" s="2" t="s">
        <v>46</v>
      </c>
      <c r="D78" s="2"/>
      <c r="E78" s="2"/>
      <c r="F78" s="2"/>
      <c r="G78" s="2"/>
      <c r="H78" s="2">
        <v>14224</v>
      </c>
      <c r="I78" s="2">
        <v>-4126</v>
      </c>
      <c r="J78" s="2">
        <v>-5538</v>
      </c>
      <c r="K78" s="2">
        <v>-645</v>
      </c>
      <c r="L78" s="2"/>
      <c r="M78" s="2"/>
    </row>
    <row r="79" spans="1:13" x14ac:dyDescent="0.2">
      <c r="C79" s="2" t="s">
        <v>32</v>
      </c>
      <c r="D79" s="2"/>
      <c r="E79" s="2"/>
      <c r="F79" s="2"/>
      <c r="G79" s="2"/>
      <c r="H79" s="2">
        <v>681</v>
      </c>
      <c r="I79" s="2">
        <v>1425</v>
      </c>
      <c r="J79" s="2">
        <v>-1554</v>
      </c>
      <c r="K79" s="2">
        <v>2622</v>
      </c>
      <c r="L79" s="2"/>
      <c r="M79" s="2"/>
    </row>
    <row r="80" spans="1:13" x14ac:dyDescent="0.2">
      <c r="C80" s="2" t="s">
        <v>61</v>
      </c>
      <c r="D80" s="2"/>
      <c r="E80" s="2"/>
      <c r="F80" s="2"/>
      <c r="G80" s="2"/>
      <c r="H80" s="2">
        <v>2762</v>
      </c>
      <c r="I80" s="2">
        <v>-4106</v>
      </c>
      <c r="J80" s="2">
        <v>1518</v>
      </c>
      <c r="K80" s="2">
        <v>2803</v>
      </c>
      <c r="L80" s="2"/>
      <c r="M80" s="2"/>
    </row>
    <row r="81" spans="3:13" x14ac:dyDescent="0.2">
      <c r="C81" s="2" t="s">
        <v>62</v>
      </c>
      <c r="D81" s="2"/>
      <c r="E81" s="2"/>
      <c r="F81" s="2"/>
      <c r="G81" s="2"/>
      <c r="H81" s="2">
        <v>102</v>
      </c>
      <c r="I81" s="2">
        <v>291</v>
      </c>
      <c r="J81" s="2">
        <v>-26</v>
      </c>
      <c r="K81" s="2">
        <v>48</v>
      </c>
      <c r="L81" s="2"/>
      <c r="M81" s="2"/>
    </row>
    <row r="82" spans="3:13" s="1" customFormat="1" x14ac:dyDescent="0.2">
      <c r="C82" s="4" t="s">
        <v>64</v>
      </c>
      <c r="D82" s="4"/>
      <c r="E82" s="4"/>
      <c r="F82" s="4"/>
      <c r="G82" s="4"/>
      <c r="H82" s="4">
        <f>SUM(H68:H81)</f>
        <v>28770</v>
      </c>
      <c r="I82" s="4">
        <f>SUM(I68:I81)</f>
        <v>30583</v>
      </c>
      <c r="J82" s="4">
        <f>SUM(J68:J81)</f>
        <v>18853</v>
      </c>
      <c r="K82" s="4">
        <f>SUM(K68:K81)</f>
        <v>31917</v>
      </c>
      <c r="L82" s="4"/>
      <c r="M82" s="4"/>
    </row>
    <row r="83" spans="3:13" x14ac:dyDescent="0.2">
      <c r="E83" s="2"/>
      <c r="F83" s="2"/>
      <c r="G83" s="2"/>
      <c r="H83" s="2"/>
      <c r="I83" s="2"/>
      <c r="J83" s="2"/>
      <c r="K83" s="2"/>
      <c r="L83" s="2"/>
      <c r="M83" s="2"/>
    </row>
    <row r="84" spans="3:13" x14ac:dyDescent="0.2">
      <c r="C84" s="2" t="s">
        <v>65</v>
      </c>
      <c r="E84" s="2"/>
      <c r="F84" s="2"/>
      <c r="G84" s="2"/>
      <c r="H84" s="2">
        <v>8943</v>
      </c>
      <c r="I84" s="2">
        <v>9917</v>
      </c>
      <c r="J84" s="2">
        <v>9735</v>
      </c>
      <c r="K84" s="2">
        <v>10952</v>
      </c>
      <c r="L84" s="2"/>
      <c r="M84" s="2"/>
    </row>
    <row r="85" spans="3:13" x14ac:dyDescent="0.2">
      <c r="C85" s="2" t="s">
        <v>66</v>
      </c>
      <c r="E85" s="2"/>
      <c r="F85" s="2"/>
      <c r="G85" s="2"/>
      <c r="H85" s="2">
        <f t="shared" ref="H85:J85" si="53">H82-H84</f>
        <v>19827</v>
      </c>
      <c r="I85" s="2">
        <f t="shared" si="53"/>
        <v>20666</v>
      </c>
      <c r="J85" s="2">
        <f t="shared" si="53"/>
        <v>9118</v>
      </c>
      <c r="K85" s="2">
        <f>K82-K84</f>
        <v>20965</v>
      </c>
      <c r="L85" s="2"/>
      <c r="M85" s="2"/>
    </row>
    <row r="86" spans="3:13" x14ac:dyDescent="0.2">
      <c r="C86" s="2"/>
      <c r="E86" s="2"/>
      <c r="F86" s="2"/>
      <c r="G86" s="2"/>
      <c r="H86" s="2"/>
      <c r="I86" s="2"/>
      <c r="J86" s="2"/>
      <c r="K86" s="2"/>
      <c r="L86" s="2"/>
      <c r="M86" s="2"/>
    </row>
    <row r="87" spans="3:13" x14ac:dyDescent="0.2">
      <c r="C87" s="2"/>
      <c r="E87" s="2"/>
      <c r="F87" s="2"/>
      <c r="G87" s="2"/>
      <c r="H87" s="2"/>
      <c r="I87" s="2"/>
      <c r="J87" s="2"/>
      <c r="K87" s="2"/>
      <c r="L87" s="2"/>
      <c r="M87" s="2"/>
    </row>
    <row r="88" spans="3:13" s="1" customFormat="1" x14ac:dyDescent="0.2">
      <c r="C88" s="4" t="s">
        <v>69</v>
      </c>
      <c r="E88" s="4"/>
      <c r="F88" s="4"/>
      <c r="G88" s="4"/>
      <c r="H88" s="4"/>
      <c r="I88" s="4"/>
      <c r="J88" s="4"/>
      <c r="K88" s="4">
        <f>SUM(H85:K85)</f>
        <v>70576</v>
      </c>
      <c r="L88" s="4"/>
      <c r="M88" s="4"/>
    </row>
    <row r="89" spans="3:13" s="1" customFormat="1" x14ac:dyDescent="0.2">
      <c r="C89" s="4" t="s">
        <v>70</v>
      </c>
      <c r="E89" s="4"/>
      <c r="F89" s="4"/>
      <c r="G89" s="4"/>
      <c r="H89" s="4"/>
      <c r="I89" s="4"/>
      <c r="J89" s="4"/>
      <c r="K89" s="4">
        <f>SUM(H29:K29)</f>
        <v>86171</v>
      </c>
      <c r="L89" s="4"/>
      <c r="M89" s="4"/>
    </row>
    <row r="90" spans="3:13" x14ac:dyDescent="0.2">
      <c r="C90" s="2"/>
      <c r="E90" s="2"/>
      <c r="F90" s="2"/>
      <c r="G90" s="2"/>
      <c r="H90" s="2"/>
      <c r="I90" s="2"/>
      <c r="J90" s="2"/>
      <c r="K90" s="2"/>
      <c r="L90" s="2"/>
      <c r="M90" s="2"/>
    </row>
    <row r="91" spans="3:13" x14ac:dyDescent="0.2">
      <c r="C91" s="2"/>
      <c r="E91" s="2"/>
      <c r="F91" s="2"/>
      <c r="G91" s="2"/>
      <c r="H91" s="2"/>
      <c r="I91" s="2"/>
      <c r="J91" s="2"/>
      <c r="K91" s="2"/>
      <c r="L91" s="2"/>
      <c r="M91" s="2"/>
    </row>
    <row r="92" spans="3:13" x14ac:dyDescent="0.2">
      <c r="C92" s="2"/>
      <c r="E92" s="2"/>
      <c r="F92" s="2"/>
      <c r="G92" s="2"/>
      <c r="H92" s="2"/>
      <c r="I92" s="2"/>
      <c r="J92" s="2"/>
      <c r="K92" s="2"/>
      <c r="L92" s="2"/>
      <c r="M92" s="2"/>
    </row>
    <row r="93" spans="3:13" x14ac:dyDescent="0.2">
      <c r="C93" s="2" t="s">
        <v>67</v>
      </c>
      <c r="D93" s="2"/>
      <c r="E93" s="2"/>
      <c r="F93" s="2"/>
      <c r="G93" s="2"/>
      <c r="H93" s="2">
        <v>-341</v>
      </c>
      <c r="I93" s="2">
        <v>-1186</v>
      </c>
      <c r="J93" s="2">
        <v>-65029</v>
      </c>
      <c r="K93" s="2">
        <v>-1575</v>
      </c>
      <c r="L93" s="2"/>
      <c r="M93" s="2"/>
    </row>
    <row r="94" spans="3:13" x14ac:dyDescent="0.2">
      <c r="C94" s="2" t="s">
        <v>68</v>
      </c>
      <c r="D94" s="2"/>
      <c r="E94" s="2"/>
      <c r="F94" s="2"/>
      <c r="G94" s="2"/>
      <c r="H94" s="2">
        <f>512-5704</f>
        <v>-5192</v>
      </c>
      <c r="I94" s="2">
        <f>685-4831</f>
        <v>-4146</v>
      </c>
      <c r="J94" s="2">
        <f>261-4000</f>
        <v>-3739</v>
      </c>
      <c r="K94" s="2">
        <f>-4213+522</f>
        <v>-3691</v>
      </c>
      <c r="L94" s="2"/>
      <c r="M94" s="2"/>
    </row>
    <row r="95" spans="3:13" x14ac:dyDescent="0.2">
      <c r="C95" t="s">
        <v>72</v>
      </c>
      <c r="E95" s="2"/>
      <c r="F95" s="2"/>
      <c r="G95" s="2"/>
      <c r="H95" s="2">
        <v>-5054</v>
      </c>
      <c r="I95" s="2">
        <v>-5051</v>
      </c>
      <c r="J95" s="2">
        <v>-5574</v>
      </c>
      <c r="K95" s="2">
        <v>-5572</v>
      </c>
      <c r="L95" s="2"/>
      <c r="M95" s="2"/>
    </row>
    <row r="96" spans="3:13" x14ac:dyDescent="0.2">
      <c r="E96" s="2"/>
      <c r="F96" s="2"/>
      <c r="G96" s="2"/>
      <c r="H96" s="2"/>
      <c r="I96" s="2"/>
      <c r="J96" s="2"/>
      <c r="K96" s="2"/>
      <c r="L96" s="2"/>
      <c r="M96" s="2"/>
    </row>
    <row r="97" spans="5:13" x14ac:dyDescent="0.2">
      <c r="E97" s="2"/>
      <c r="F97" s="2"/>
      <c r="G97" s="2"/>
      <c r="H97" s="2"/>
      <c r="I97" s="2"/>
      <c r="J97" s="2"/>
      <c r="K97" s="2"/>
      <c r="L97" s="2"/>
      <c r="M97" s="2"/>
    </row>
    <row r="98" spans="5:13" x14ac:dyDescent="0.2">
      <c r="E98" s="2"/>
      <c r="F98" s="2"/>
      <c r="G98" s="2"/>
      <c r="H98" s="2"/>
      <c r="I98" s="2"/>
      <c r="J98" s="2"/>
      <c r="K98" s="2"/>
      <c r="L98" s="2"/>
      <c r="M98" s="2"/>
    </row>
    <row r="99" spans="5:13" x14ac:dyDescent="0.2">
      <c r="E99" s="2"/>
      <c r="F99" s="2"/>
      <c r="G99" s="2"/>
      <c r="H99" s="2"/>
      <c r="I99" s="2"/>
      <c r="J99" s="2"/>
      <c r="K99" s="2"/>
      <c r="L99" s="2"/>
      <c r="M99" s="2"/>
    </row>
    <row r="100" spans="5:13" x14ac:dyDescent="0.2">
      <c r="E100" s="2"/>
      <c r="F100" s="2"/>
      <c r="G100" s="2"/>
      <c r="H100" s="2"/>
      <c r="I100" s="2"/>
      <c r="J100" s="2"/>
      <c r="K100" s="2"/>
      <c r="L100" s="2"/>
      <c r="M100" s="2"/>
    </row>
    <row r="101" spans="5:13" x14ac:dyDescent="0.2">
      <c r="E101" s="2"/>
      <c r="F101" s="2"/>
      <c r="G101" s="2"/>
      <c r="H101" s="2"/>
      <c r="I101" s="2"/>
      <c r="J101" s="2"/>
      <c r="K101" s="2"/>
      <c r="L101" s="2"/>
      <c r="M101" s="2"/>
    </row>
    <row r="102" spans="5:13" x14ac:dyDescent="0.2">
      <c r="E102" s="2"/>
      <c r="F102" s="2"/>
      <c r="G102" s="2"/>
      <c r="H102" s="2"/>
      <c r="I102" s="2"/>
      <c r="J102" s="2"/>
      <c r="K102" s="2"/>
      <c r="L102" s="2"/>
      <c r="M102" s="2"/>
    </row>
    <row r="103" spans="5:13" x14ac:dyDescent="0.2">
      <c r="E103" s="2"/>
      <c r="F103" s="2"/>
      <c r="G103" s="2"/>
      <c r="H103" s="2"/>
      <c r="I103" s="2"/>
      <c r="J103" s="2"/>
      <c r="K103" s="2"/>
      <c r="L103" s="2"/>
      <c r="M103" s="2"/>
    </row>
    <row r="104" spans="5:13" x14ac:dyDescent="0.2">
      <c r="E104" s="2"/>
      <c r="F104" s="2"/>
      <c r="G104" s="2"/>
      <c r="H104" s="2"/>
      <c r="I104" s="2"/>
      <c r="J104" s="2"/>
      <c r="K104" s="2"/>
      <c r="L104" s="2"/>
      <c r="M104" s="2"/>
    </row>
    <row r="105" spans="5:13" x14ac:dyDescent="0.2">
      <c r="E105" s="2"/>
      <c r="F105" s="2"/>
      <c r="G105" s="2"/>
      <c r="H105" s="2"/>
      <c r="I105" s="2"/>
      <c r="J105" s="2"/>
      <c r="K105" s="2"/>
      <c r="L105" s="2"/>
      <c r="M105" s="2"/>
    </row>
    <row r="106" spans="5:13" x14ac:dyDescent="0.2">
      <c r="E106" s="2"/>
      <c r="F106" s="2"/>
      <c r="G106" s="2"/>
      <c r="H106" s="2"/>
      <c r="I106" s="2"/>
      <c r="J106" s="2"/>
      <c r="K106" s="2"/>
      <c r="L106" s="2"/>
      <c r="M106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Wong</dc:creator>
  <cp:lastModifiedBy>Bobby S</cp:lastModifiedBy>
  <dcterms:created xsi:type="dcterms:W3CDTF">2025-01-12T20:38:25Z</dcterms:created>
  <dcterms:modified xsi:type="dcterms:W3CDTF">2025-01-22T21:36:18Z</dcterms:modified>
</cp:coreProperties>
</file>