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07474b3756498a/Value Investing/"/>
    </mc:Choice>
  </mc:AlternateContent>
  <xr:revisionPtr revIDLastSave="918" documentId="8_{D966A269-3434-2449-870F-E5F708046134}" xr6:coauthVersionLast="47" xr6:coauthVersionMax="47" xr10:uidLastSave="{5AAB2806-6869-AB4B-AAE8-22BA431BB936}"/>
  <bookViews>
    <workbookView xWindow="30080" yWindow="-33340" windowWidth="30080" windowHeight="33340" activeTab="2" xr2:uid="{5D921ED2-970E-CB44-BDFE-89CBD0ACDCED}"/>
  </bookViews>
  <sheets>
    <sheet name="Main" sheetId="1" r:id="rId1"/>
    <sheet name="Model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3" i="2" l="1"/>
  <c r="AK23" i="2"/>
  <c r="AL23" i="2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K20" i="2"/>
  <c r="AJ21" i="2"/>
  <c r="AJ31" i="2" l="1"/>
  <c r="L11" i="1"/>
  <c r="AH28" i="2"/>
  <c r="AH27" i="2"/>
  <c r="AH26" i="2"/>
  <c r="AH29" i="2" s="1"/>
  <c r="AI23" i="2"/>
  <c r="AH23" i="2"/>
  <c r="AH25" i="2" s="1"/>
  <c r="AH30" i="2" s="1"/>
  <c r="AH32" i="2" s="1"/>
  <c r="I18" i="2"/>
  <c r="E18" i="2"/>
  <c r="AC53" i="2"/>
  <c r="AB53" i="2"/>
  <c r="AA53" i="2"/>
  <c r="AA35" i="2"/>
  <c r="AB35" i="2" s="1"/>
  <c r="AD28" i="2"/>
  <c r="AD55" i="2" s="1"/>
  <c r="AC28" i="2"/>
  <c r="AC55" i="2" s="1"/>
  <c r="AB28" i="2"/>
  <c r="AB55" i="2" s="1"/>
  <c r="AA28" i="2"/>
  <c r="AA55" i="2" s="1"/>
  <c r="AD27" i="2"/>
  <c r="AD54" i="2" s="1"/>
  <c r="AC27" i="2"/>
  <c r="AC54" i="2" s="1"/>
  <c r="AB27" i="2"/>
  <c r="AB54" i="2" s="1"/>
  <c r="AA27" i="2"/>
  <c r="AD26" i="2"/>
  <c r="AD53" i="2" s="1"/>
  <c r="AC26" i="2"/>
  <c r="AB26" i="2"/>
  <c r="AA26" i="2"/>
  <c r="AD23" i="2"/>
  <c r="AD52" i="2" s="1"/>
  <c r="AC23" i="2"/>
  <c r="AC52" i="2" s="1"/>
  <c r="AB23" i="2"/>
  <c r="AB52" i="2" s="1"/>
  <c r="AA23" i="2"/>
  <c r="AA52" i="2" s="1"/>
  <c r="V31" i="2"/>
  <c r="V29" i="2"/>
  <c r="V25" i="2"/>
  <c r="V58" i="2" s="1"/>
  <c r="Z31" i="2"/>
  <c r="Z29" i="2"/>
  <c r="Z25" i="2"/>
  <c r="U31" i="2"/>
  <c r="U29" i="2"/>
  <c r="U25" i="2"/>
  <c r="U58" i="2" s="1"/>
  <c r="Y31" i="2"/>
  <c r="Y29" i="2"/>
  <c r="Y25" i="2"/>
  <c r="Y58" i="2" s="1"/>
  <c r="T31" i="2"/>
  <c r="T29" i="2"/>
  <c r="T25" i="2"/>
  <c r="X31" i="2"/>
  <c r="X29" i="2"/>
  <c r="X25" i="2"/>
  <c r="X58" i="2" s="1"/>
  <c r="S31" i="2"/>
  <c r="S29" i="2"/>
  <c r="S25" i="2"/>
  <c r="S30" i="2" s="1"/>
  <c r="W31" i="2"/>
  <c r="W29" i="2"/>
  <c r="W25" i="2"/>
  <c r="W58" i="2" s="1"/>
  <c r="F31" i="2"/>
  <c r="N31" i="2"/>
  <c r="N29" i="2"/>
  <c r="N25" i="2"/>
  <c r="N30" i="2" s="1"/>
  <c r="R31" i="2"/>
  <c r="R29" i="2"/>
  <c r="R25" i="2"/>
  <c r="M31" i="2"/>
  <c r="M29" i="2"/>
  <c r="M25" i="2"/>
  <c r="Q31" i="2"/>
  <c r="Q29" i="2"/>
  <c r="Q25" i="2"/>
  <c r="Q30" i="2" s="1"/>
  <c r="L31" i="2"/>
  <c r="L29" i="2"/>
  <c r="L25" i="2"/>
  <c r="P31" i="2"/>
  <c r="P29" i="2"/>
  <c r="P25" i="2"/>
  <c r="P30" i="2" s="1"/>
  <c r="P32" i="2" s="1"/>
  <c r="P60" i="2" s="1"/>
  <c r="Z12" i="2"/>
  <c r="Y12" i="2"/>
  <c r="Y19" i="2" s="1"/>
  <c r="X12" i="2"/>
  <c r="X18" i="2" s="1"/>
  <c r="W12" i="2"/>
  <c r="AA12" i="2" s="1"/>
  <c r="AA15" i="2" s="1"/>
  <c r="V12" i="2"/>
  <c r="AH12" i="2" s="1"/>
  <c r="U12" i="2"/>
  <c r="T12" i="2"/>
  <c r="S12" i="2"/>
  <c r="R12" i="2"/>
  <c r="V15" i="2" s="1"/>
  <c r="Q12" i="2"/>
  <c r="P12" i="2"/>
  <c r="O12" i="2"/>
  <c r="N12" i="2"/>
  <c r="M12" i="2"/>
  <c r="M15" i="2" s="1"/>
  <c r="L12" i="2"/>
  <c r="K12" i="2"/>
  <c r="K15" i="2" s="1"/>
  <c r="Z13" i="2"/>
  <c r="AD13" i="2" s="1"/>
  <c r="AD16" i="2" s="1"/>
  <c r="Y13" i="2"/>
  <c r="AC13" i="2" s="1"/>
  <c r="AC16" i="2" s="1"/>
  <c r="X13" i="2"/>
  <c r="AB13" i="2" s="1"/>
  <c r="AB16" i="2" s="1"/>
  <c r="W13" i="2"/>
  <c r="AA13" i="2" s="1"/>
  <c r="AA16" i="2" s="1"/>
  <c r="V13" i="2"/>
  <c r="U13" i="2"/>
  <c r="T13" i="2"/>
  <c r="T19" i="2" s="1"/>
  <c r="S13" i="2"/>
  <c r="S18" i="2" s="1"/>
  <c r="R13" i="2"/>
  <c r="R18" i="2" s="1"/>
  <c r="Q13" i="2"/>
  <c r="P13" i="2"/>
  <c r="P19" i="2" s="1"/>
  <c r="O13" i="2"/>
  <c r="O19" i="2" s="1"/>
  <c r="N13" i="2"/>
  <c r="N19" i="2" s="1"/>
  <c r="M13" i="2"/>
  <c r="M16" i="2" s="1"/>
  <c r="L13" i="2"/>
  <c r="L16" i="2" s="1"/>
  <c r="K13" i="2"/>
  <c r="K16" i="2" s="1"/>
  <c r="K31" i="2"/>
  <c r="K29" i="2"/>
  <c r="K25" i="2"/>
  <c r="O31" i="2"/>
  <c r="AJ2" i="2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O29" i="2"/>
  <c r="O25" i="2"/>
  <c r="O58" i="2" s="1"/>
  <c r="J13" i="2"/>
  <c r="J19" i="2" s="1"/>
  <c r="F13" i="2"/>
  <c r="J12" i="2"/>
  <c r="J18" i="2" s="1"/>
  <c r="F12" i="2"/>
  <c r="F18" i="2" s="1"/>
  <c r="F29" i="2"/>
  <c r="F25" i="2"/>
  <c r="J31" i="2"/>
  <c r="J29" i="2"/>
  <c r="J25" i="2"/>
  <c r="J30" i="2" s="1"/>
  <c r="I16" i="2"/>
  <c r="H16" i="2"/>
  <c r="G16" i="2"/>
  <c r="I12" i="2"/>
  <c r="I19" i="2" s="1"/>
  <c r="E12" i="2"/>
  <c r="E19" i="2" s="1"/>
  <c r="E31" i="2"/>
  <c r="E29" i="2"/>
  <c r="E25" i="2"/>
  <c r="I31" i="2"/>
  <c r="H12" i="2"/>
  <c r="H19" i="2" s="1"/>
  <c r="D12" i="2"/>
  <c r="D19" i="2" s="1"/>
  <c r="I29" i="2"/>
  <c r="I25" i="2"/>
  <c r="D31" i="2"/>
  <c r="D29" i="2"/>
  <c r="D25" i="2"/>
  <c r="H31" i="2"/>
  <c r="H29" i="2"/>
  <c r="H25" i="2"/>
  <c r="C12" i="2"/>
  <c r="C18" i="2" s="1"/>
  <c r="G12" i="2"/>
  <c r="G19" i="2" s="1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5" i="2"/>
  <c r="G54" i="2"/>
  <c r="G53" i="2"/>
  <c r="Z58" i="2"/>
  <c r="G52" i="2"/>
  <c r="C31" i="2"/>
  <c r="C29" i="2"/>
  <c r="C25" i="2"/>
  <c r="G29" i="2"/>
  <c r="G31" i="2"/>
  <c r="G25" i="2"/>
  <c r="G58" i="2" s="1"/>
  <c r="Q19" i="2" l="1"/>
  <c r="H30" i="2"/>
  <c r="U19" i="2"/>
  <c r="K30" i="2"/>
  <c r="K32" i="2" s="1"/>
  <c r="V19" i="2"/>
  <c r="I30" i="2"/>
  <c r="M30" i="2"/>
  <c r="M32" i="2" s="1"/>
  <c r="Z30" i="2"/>
  <c r="Z32" i="2" s="1"/>
  <c r="W19" i="2"/>
  <c r="AI13" i="2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L18" i="2"/>
  <c r="N18" i="2"/>
  <c r="AI52" i="2"/>
  <c r="P18" i="2"/>
  <c r="W18" i="2"/>
  <c r="Z19" i="2"/>
  <c r="X19" i="2"/>
  <c r="D18" i="2"/>
  <c r="O18" i="2"/>
  <c r="Q18" i="2"/>
  <c r="T18" i="2"/>
  <c r="U18" i="2"/>
  <c r="V18" i="2"/>
  <c r="AI27" i="2"/>
  <c r="AJ27" i="2" s="1"/>
  <c r="AK27" i="2" s="1"/>
  <c r="AB12" i="2"/>
  <c r="AB15" i="2" s="1"/>
  <c r="AH33" i="2"/>
  <c r="AH34" i="2"/>
  <c r="AI54" i="2"/>
  <c r="AJ54" i="2"/>
  <c r="AH18" i="2"/>
  <c r="AH21" i="2" s="1"/>
  <c r="AI12" i="2"/>
  <c r="AI25" i="2"/>
  <c r="AI24" i="2" s="1"/>
  <c r="H18" i="2"/>
  <c r="AA25" i="2"/>
  <c r="AA24" i="2" s="1"/>
  <c r="S19" i="2"/>
  <c r="Z18" i="2"/>
  <c r="AI26" i="2"/>
  <c r="AJ26" i="2" s="1"/>
  <c r="AA18" i="2"/>
  <c r="AD12" i="2"/>
  <c r="G18" i="2"/>
  <c r="AA54" i="2"/>
  <c r="K19" i="2"/>
  <c r="AH24" i="2"/>
  <c r="F19" i="2"/>
  <c r="L19" i="2"/>
  <c r="M19" i="2"/>
  <c r="K18" i="2"/>
  <c r="Y18" i="2"/>
  <c r="AB25" i="2"/>
  <c r="AB24" i="2" s="1"/>
  <c r="AC25" i="2"/>
  <c r="AC24" i="2" s="1"/>
  <c r="M18" i="2"/>
  <c r="AD25" i="2"/>
  <c r="AD24" i="2" s="1"/>
  <c r="AC12" i="2"/>
  <c r="AB18" i="2"/>
  <c r="AI28" i="2"/>
  <c r="AJ28" i="2" s="1"/>
  <c r="AK28" i="2" s="1"/>
  <c r="C19" i="2"/>
  <c r="AD58" i="2"/>
  <c r="AA29" i="2"/>
  <c r="J15" i="2"/>
  <c r="AB29" i="2"/>
  <c r="AC29" i="2"/>
  <c r="O16" i="2"/>
  <c r="AD29" i="2"/>
  <c r="R19" i="2"/>
  <c r="AH13" i="2"/>
  <c r="M58" i="2"/>
  <c r="I15" i="2"/>
  <c r="AC35" i="2"/>
  <c r="AD35" i="2" s="1"/>
  <c r="AH35" i="2" s="1"/>
  <c r="V30" i="2"/>
  <c r="J16" i="2"/>
  <c r="O15" i="2"/>
  <c r="T30" i="2"/>
  <c r="T59" i="2" s="1"/>
  <c r="N15" i="2"/>
  <c r="H15" i="2"/>
  <c r="H58" i="2"/>
  <c r="J58" i="2"/>
  <c r="G15" i="2"/>
  <c r="E30" i="2"/>
  <c r="E32" i="2" s="1"/>
  <c r="L30" i="2"/>
  <c r="L32" i="2" s="1"/>
  <c r="L58" i="2"/>
  <c r="U15" i="2"/>
  <c r="I58" i="2"/>
  <c r="V16" i="2"/>
  <c r="Z16" i="2"/>
  <c r="Y15" i="2"/>
  <c r="C30" i="2"/>
  <c r="C59" i="2" s="1"/>
  <c r="D30" i="2"/>
  <c r="D32" i="2" s="1"/>
  <c r="N16" i="2"/>
  <c r="L15" i="2"/>
  <c r="Z15" i="2"/>
  <c r="R30" i="2"/>
  <c r="R32" i="2" s="1"/>
  <c r="U16" i="2"/>
  <c r="X15" i="2"/>
  <c r="Y16" i="2"/>
  <c r="U30" i="2"/>
  <c r="Y30" i="2"/>
  <c r="Y32" i="2" s="1"/>
  <c r="Y60" i="2" s="1"/>
  <c r="Y59" i="2"/>
  <c r="Y34" i="2"/>
  <c r="X16" i="2"/>
  <c r="T15" i="2"/>
  <c r="T16" i="2"/>
  <c r="T58" i="2"/>
  <c r="X30" i="2"/>
  <c r="W16" i="2"/>
  <c r="W15" i="2"/>
  <c r="S58" i="2"/>
  <c r="S59" i="2"/>
  <c r="S32" i="2"/>
  <c r="W30" i="2"/>
  <c r="F30" i="2"/>
  <c r="F32" i="2" s="1"/>
  <c r="N58" i="2"/>
  <c r="N32" i="2"/>
  <c r="N59" i="2"/>
  <c r="R58" i="2"/>
  <c r="R16" i="2"/>
  <c r="R15" i="2"/>
  <c r="Q16" i="2"/>
  <c r="Q15" i="2"/>
  <c r="Q58" i="2"/>
  <c r="Q32" i="2"/>
  <c r="Q59" i="2"/>
  <c r="P16" i="2"/>
  <c r="P15" i="2"/>
  <c r="P58" i="2"/>
  <c r="P34" i="2"/>
  <c r="P59" i="2"/>
  <c r="S16" i="2"/>
  <c r="S15" i="2"/>
  <c r="K58" i="2"/>
  <c r="K59" i="2"/>
  <c r="O30" i="2"/>
  <c r="F58" i="2"/>
  <c r="J32" i="2"/>
  <c r="J59" i="2"/>
  <c r="C58" i="2"/>
  <c r="E58" i="2"/>
  <c r="I32" i="2"/>
  <c r="I59" i="2"/>
  <c r="D58" i="2"/>
  <c r="H32" i="2"/>
  <c r="H59" i="2"/>
  <c r="G30" i="2"/>
  <c r="G59" i="2" s="1"/>
  <c r="Z34" i="2" l="1"/>
  <c r="Z60" i="2"/>
  <c r="M34" i="2"/>
  <c r="M60" i="2"/>
  <c r="Q34" i="2"/>
  <c r="Q60" i="2"/>
  <c r="D34" i="2"/>
  <c r="D36" i="2" s="1"/>
  <c r="D60" i="2"/>
  <c r="AI35" i="2"/>
  <c r="AJ35" i="2" s="1"/>
  <c r="N34" i="2"/>
  <c r="N36" i="2" s="1"/>
  <c r="N60" i="2"/>
  <c r="J34" i="2"/>
  <c r="J36" i="2" s="1"/>
  <c r="J60" i="2"/>
  <c r="M59" i="2"/>
  <c r="I34" i="2"/>
  <c r="I60" i="2"/>
  <c r="L34" i="2"/>
  <c r="L60" i="2"/>
  <c r="AJ25" i="2"/>
  <c r="AJ58" i="2" s="1"/>
  <c r="E34" i="2"/>
  <c r="E60" i="2"/>
  <c r="F34" i="2"/>
  <c r="F36" i="2" s="1"/>
  <c r="F60" i="2"/>
  <c r="Z59" i="2"/>
  <c r="AL27" i="2"/>
  <c r="AK54" i="2"/>
  <c r="AJ29" i="2"/>
  <c r="AK26" i="2"/>
  <c r="AD30" i="2"/>
  <c r="H34" i="2"/>
  <c r="H60" i="2"/>
  <c r="AK55" i="2"/>
  <c r="AL28" i="2"/>
  <c r="S34" i="2"/>
  <c r="S60" i="2"/>
  <c r="K34" i="2"/>
  <c r="K36" i="2" s="1"/>
  <c r="K60" i="2"/>
  <c r="R34" i="2"/>
  <c r="R36" i="2" s="1"/>
  <c r="R60" i="2"/>
  <c r="AB30" i="2"/>
  <c r="AC30" i="2"/>
  <c r="AA30" i="2"/>
  <c r="AA59" i="2" s="1"/>
  <c r="AC58" i="2"/>
  <c r="AB58" i="2"/>
  <c r="AJ55" i="2"/>
  <c r="AI55" i="2"/>
  <c r="AJ52" i="2"/>
  <c r="AI53" i="2"/>
  <c r="AI29" i="2"/>
  <c r="AI30" i="2" s="1"/>
  <c r="AJ53" i="2"/>
  <c r="AA58" i="2"/>
  <c r="AJ12" i="2"/>
  <c r="AI18" i="2"/>
  <c r="AI21" i="2" s="1"/>
  <c r="AD15" i="2"/>
  <c r="AD18" i="2"/>
  <c r="AI58" i="2"/>
  <c r="AC15" i="2"/>
  <c r="AC18" i="2"/>
  <c r="AH36" i="2"/>
  <c r="R59" i="2"/>
  <c r="T32" i="2"/>
  <c r="E59" i="2"/>
  <c r="AD32" i="2"/>
  <c r="AD59" i="2"/>
  <c r="AB32" i="2"/>
  <c r="AB59" i="2"/>
  <c r="AC32" i="2"/>
  <c r="AC59" i="2"/>
  <c r="V59" i="2"/>
  <c r="V32" i="2"/>
  <c r="L59" i="2"/>
  <c r="C32" i="2"/>
  <c r="F59" i="2"/>
  <c r="D59" i="2"/>
  <c r="Z36" i="2"/>
  <c r="U32" i="2"/>
  <c r="U59" i="2"/>
  <c r="Y36" i="2"/>
  <c r="X32" i="2"/>
  <c r="X59" i="2"/>
  <c r="S36" i="2"/>
  <c r="W32" i="2"/>
  <c r="W59" i="2"/>
  <c r="M36" i="2"/>
  <c r="Q36" i="2"/>
  <c r="L36" i="2"/>
  <c r="P36" i="2"/>
  <c r="O32" i="2"/>
  <c r="O59" i="2"/>
  <c r="G32" i="2"/>
  <c r="H36" i="2"/>
  <c r="E36" i="2"/>
  <c r="I36" i="2"/>
  <c r="AK35" i="2" l="1"/>
  <c r="AM28" i="2"/>
  <c r="AL55" i="2"/>
  <c r="W34" i="2"/>
  <c r="W60" i="2"/>
  <c r="AL35" i="2"/>
  <c r="AM35" i="2" s="1"/>
  <c r="AA32" i="2"/>
  <c r="AA33" i="2" s="1"/>
  <c r="AA60" i="2" s="1"/>
  <c r="AJ24" i="2"/>
  <c r="G34" i="2"/>
  <c r="G36" i="2" s="1"/>
  <c r="G60" i="2"/>
  <c r="O34" i="2"/>
  <c r="O60" i="2"/>
  <c r="T34" i="2"/>
  <c r="T36" i="2" s="1"/>
  <c r="T60" i="2"/>
  <c r="AM27" i="2"/>
  <c r="AL54" i="2"/>
  <c r="X34" i="2"/>
  <c r="X60" i="2"/>
  <c r="C34" i="2"/>
  <c r="C36" i="2" s="1"/>
  <c r="C60" i="2"/>
  <c r="AK25" i="2"/>
  <c r="U34" i="2"/>
  <c r="U60" i="2"/>
  <c r="AK53" i="2"/>
  <c r="AK29" i="2"/>
  <c r="AL26" i="2"/>
  <c r="V34" i="2"/>
  <c r="V60" i="2"/>
  <c r="AJ30" i="2"/>
  <c r="AI59" i="2"/>
  <c r="AI32" i="2"/>
  <c r="AK52" i="2"/>
  <c r="AJ18" i="2"/>
  <c r="AK12" i="2"/>
  <c r="AB33" i="2"/>
  <c r="AB60" i="2" s="1"/>
  <c r="AC33" i="2"/>
  <c r="AC60" i="2" s="1"/>
  <c r="AD33" i="2"/>
  <c r="AD60" i="2" s="1"/>
  <c r="V36" i="2"/>
  <c r="U36" i="2"/>
  <c r="X36" i="2"/>
  <c r="W36" i="2"/>
  <c r="O36" i="2"/>
  <c r="AN35" i="2" l="1"/>
  <c r="AP35" i="2" s="1"/>
  <c r="AJ59" i="2"/>
  <c r="AJ32" i="2"/>
  <c r="AK30" i="2"/>
  <c r="AK59" i="2" s="1"/>
  <c r="AK58" i="2"/>
  <c r="AM55" i="2"/>
  <c r="AN28" i="2"/>
  <c r="AL53" i="2"/>
  <c r="AL29" i="2"/>
  <c r="AM26" i="2"/>
  <c r="AK24" i="2"/>
  <c r="AL25" i="2"/>
  <c r="AL24" i="2" s="1"/>
  <c r="AM54" i="2"/>
  <c r="AN27" i="2"/>
  <c r="AO35" i="2"/>
  <c r="AK18" i="2"/>
  <c r="AK21" i="2" s="1"/>
  <c r="AL12" i="2"/>
  <c r="AL52" i="2"/>
  <c r="AI33" i="2"/>
  <c r="AI60" i="2" s="1"/>
  <c r="AD34" i="2"/>
  <c r="AD36" i="2" s="1"/>
  <c r="AC34" i="2"/>
  <c r="AC36" i="2" s="1"/>
  <c r="AA34" i="2"/>
  <c r="AA36" i="2" s="1"/>
  <c r="AB34" i="2"/>
  <c r="AB36" i="2" s="1"/>
  <c r="AQ35" i="2" l="1"/>
  <c r="AR35" i="2"/>
  <c r="AS35" i="2"/>
  <c r="AM25" i="2"/>
  <c r="AM24" i="2" s="1"/>
  <c r="AJ33" i="2"/>
  <c r="AJ60" i="2" s="1"/>
  <c r="AO28" i="2"/>
  <c r="AN55" i="2"/>
  <c r="AM29" i="2"/>
  <c r="AM53" i="2"/>
  <c r="AN26" i="2"/>
  <c r="AL30" i="2"/>
  <c r="AL59" i="2" s="1"/>
  <c r="AL58" i="2"/>
  <c r="AO27" i="2"/>
  <c r="AN54" i="2"/>
  <c r="AT35" i="2"/>
  <c r="AI34" i="2"/>
  <c r="AI36" i="2" s="1"/>
  <c r="AM52" i="2"/>
  <c r="AM12" i="2"/>
  <c r="AL18" i="2"/>
  <c r="AL21" i="2" s="1"/>
  <c r="AJ34" i="2" l="1"/>
  <c r="AN25" i="2"/>
  <c r="AN58" i="2" s="1"/>
  <c r="AJ62" i="2"/>
  <c r="AJ36" i="2"/>
  <c r="AO55" i="2"/>
  <c r="AP28" i="2"/>
  <c r="AM30" i="2"/>
  <c r="AM59" i="2" s="1"/>
  <c r="AM58" i="2"/>
  <c r="AN29" i="2"/>
  <c r="AN30" i="2" s="1"/>
  <c r="AN59" i="2" s="1"/>
  <c r="AO26" i="2"/>
  <c r="AN53" i="2"/>
  <c r="AP27" i="2"/>
  <c r="AO54" i="2"/>
  <c r="AU35" i="2"/>
  <c r="AN12" i="2"/>
  <c r="AM18" i="2"/>
  <c r="AM21" i="2" s="1"/>
  <c r="AN52" i="2"/>
  <c r="AO25" i="2" l="1"/>
  <c r="AO58" i="2" s="1"/>
  <c r="AK31" i="2"/>
  <c r="AK32" i="2" s="1"/>
  <c r="AP54" i="2"/>
  <c r="AQ27" i="2"/>
  <c r="AO29" i="2"/>
  <c r="AO30" i="2" s="1"/>
  <c r="AO59" i="2" s="1"/>
  <c r="AP26" i="2"/>
  <c r="AO53" i="2"/>
  <c r="AP55" i="2"/>
  <c r="AQ28" i="2"/>
  <c r="AN24" i="2"/>
  <c r="AV35" i="2"/>
  <c r="AW35" i="2" s="1"/>
  <c r="AO52" i="2"/>
  <c r="AO12" i="2"/>
  <c r="AN18" i="2"/>
  <c r="AN21" i="2" s="1"/>
  <c r="AP29" i="2" l="1"/>
  <c r="AP53" i="2"/>
  <c r="AQ26" i="2"/>
  <c r="AP25" i="2"/>
  <c r="AP58" i="2" s="1"/>
  <c r="AK33" i="2"/>
  <c r="AK60" i="2" s="1"/>
  <c r="AR28" i="2"/>
  <c r="AQ55" i="2"/>
  <c r="AQ54" i="2"/>
  <c r="AR27" i="2"/>
  <c r="AO24" i="2"/>
  <c r="AX35" i="2"/>
  <c r="AY35" i="2" s="1"/>
  <c r="AP52" i="2"/>
  <c r="AP12" i="2"/>
  <c r="AO18" i="2"/>
  <c r="AO21" i="2" s="1"/>
  <c r="AP24" i="2" l="1"/>
  <c r="AK34" i="2"/>
  <c r="AS27" i="2"/>
  <c r="AR54" i="2"/>
  <c r="AR55" i="2"/>
  <c r="AS28" i="2"/>
  <c r="AQ29" i="2"/>
  <c r="AR26" i="2"/>
  <c r="AQ53" i="2"/>
  <c r="AQ25" i="2"/>
  <c r="AQ58" i="2" s="1"/>
  <c r="AK36" i="2"/>
  <c r="AK62" i="2"/>
  <c r="AP30" i="2"/>
  <c r="AP59" i="2" s="1"/>
  <c r="AQ12" i="2"/>
  <c r="AP18" i="2"/>
  <c r="AP21" i="2" s="1"/>
  <c r="AQ52" i="2"/>
  <c r="L8" i="1"/>
  <c r="L7" i="1"/>
  <c r="L6" i="1"/>
  <c r="L5" i="1"/>
  <c r="AS55" i="2" l="1"/>
  <c r="AT28" i="2"/>
  <c r="AQ24" i="2"/>
  <c r="AR29" i="2"/>
  <c r="AR53" i="2"/>
  <c r="AS26" i="2"/>
  <c r="AL31" i="2"/>
  <c r="AL32" i="2" s="1"/>
  <c r="AR25" i="2"/>
  <c r="AR58" i="2" s="1"/>
  <c r="AQ30" i="2"/>
  <c r="AQ59" i="2" s="1"/>
  <c r="AS54" i="2"/>
  <c r="AT27" i="2"/>
  <c r="AR52" i="2"/>
  <c r="AR12" i="2"/>
  <c r="AQ18" i="2"/>
  <c r="AQ21" i="2" s="1"/>
  <c r="AR24" i="2" l="1"/>
  <c r="AL33" i="2"/>
  <c r="AL60" i="2" s="1"/>
  <c r="AS29" i="2"/>
  <c r="AS53" i="2"/>
  <c r="AT26" i="2"/>
  <c r="AU28" i="2"/>
  <c r="AT55" i="2"/>
  <c r="AU27" i="2"/>
  <c r="AT54" i="2"/>
  <c r="AS25" i="2"/>
  <c r="AS58" i="2" s="1"/>
  <c r="AR30" i="2"/>
  <c r="AR59" i="2" s="1"/>
  <c r="AS12" i="2"/>
  <c r="AR18" i="2"/>
  <c r="AR21" i="2" s="1"/>
  <c r="AS52" i="2"/>
  <c r="AS24" i="2" l="1"/>
  <c r="AU54" i="2"/>
  <c r="AV27" i="2"/>
  <c r="AV28" i="2"/>
  <c r="AU55" i="2"/>
  <c r="AL34" i="2"/>
  <c r="AT25" i="2"/>
  <c r="AT58" i="2" s="1"/>
  <c r="AT29" i="2"/>
  <c r="AU26" i="2"/>
  <c r="AT53" i="2"/>
  <c r="AS30" i="2"/>
  <c r="AS59" i="2" s="1"/>
  <c r="AT52" i="2"/>
  <c r="AT12" i="2"/>
  <c r="AS18" i="2"/>
  <c r="AS21" i="2" s="1"/>
  <c r="AT30" i="2" l="1"/>
  <c r="AT59" i="2" s="1"/>
  <c r="AT24" i="2"/>
  <c r="AU25" i="2"/>
  <c r="AU58" i="2" s="1"/>
  <c r="AU29" i="2"/>
  <c r="AV26" i="2"/>
  <c r="AU53" i="2"/>
  <c r="AL36" i="2"/>
  <c r="AL62" i="2"/>
  <c r="AV55" i="2"/>
  <c r="AW28" i="2"/>
  <c r="AW27" i="2"/>
  <c r="AV54" i="2"/>
  <c r="AU12" i="2"/>
  <c r="AT18" i="2"/>
  <c r="AT21" i="2" s="1"/>
  <c r="AU52" i="2"/>
  <c r="AU30" i="2" l="1"/>
  <c r="AU59" i="2" s="1"/>
  <c r="AW55" i="2"/>
  <c r="AX28" i="2"/>
  <c r="AM31" i="2"/>
  <c r="AM32" i="2" s="1"/>
  <c r="AV25" i="2"/>
  <c r="AV58" i="2" s="1"/>
  <c r="AV29" i="2"/>
  <c r="AW26" i="2"/>
  <c r="AV53" i="2"/>
  <c r="AW54" i="2"/>
  <c r="AX27" i="2"/>
  <c r="AU24" i="2"/>
  <c r="AV52" i="2"/>
  <c r="AV12" i="2"/>
  <c r="AU18" i="2"/>
  <c r="AU21" i="2" s="1"/>
  <c r="AV30" i="2" l="1"/>
  <c r="AV59" i="2" s="1"/>
  <c r="AX54" i="2"/>
  <c r="AY27" i="2"/>
  <c r="AY54" i="2" s="1"/>
  <c r="AW25" i="2"/>
  <c r="AW58" i="2" s="1"/>
  <c r="AV24" i="2"/>
  <c r="AX55" i="2"/>
  <c r="AY28" i="2"/>
  <c r="AY55" i="2" s="1"/>
  <c r="AW29" i="2"/>
  <c r="AW30" i="2" s="1"/>
  <c r="AW59" i="2" s="1"/>
  <c r="AX26" i="2"/>
  <c r="AW53" i="2"/>
  <c r="AM33" i="2"/>
  <c r="AM60" i="2" s="1"/>
  <c r="AW12" i="2"/>
  <c r="AV18" i="2"/>
  <c r="AV21" i="2" s="1"/>
  <c r="AW52" i="2"/>
  <c r="AM34" i="2" l="1"/>
  <c r="AM36" i="2" s="1"/>
  <c r="AX29" i="2"/>
  <c r="AY26" i="2"/>
  <c r="AX53" i="2"/>
  <c r="AX25" i="2"/>
  <c r="AX58" i="2" s="1"/>
  <c r="AW24" i="2"/>
  <c r="AX52" i="2"/>
  <c r="AX12" i="2"/>
  <c r="AW18" i="2"/>
  <c r="AW21" i="2" s="1"/>
  <c r="AM62" i="2" l="1"/>
  <c r="AY53" i="2"/>
  <c r="AY29" i="2"/>
  <c r="AY52" i="2"/>
  <c r="AY25" i="2"/>
  <c r="AX24" i="2"/>
  <c r="AX30" i="2"/>
  <c r="AX59" i="2" s="1"/>
  <c r="AN31" i="2"/>
  <c r="AN32" i="2" s="1"/>
  <c r="AY12" i="2"/>
  <c r="AY18" i="2" s="1"/>
  <c r="AY21" i="2" s="1"/>
  <c r="AX18" i="2"/>
  <c r="AX21" i="2" s="1"/>
  <c r="AN33" i="2" l="1"/>
  <c r="AN60" i="2" s="1"/>
  <c r="AN34" i="2"/>
  <c r="AY30" i="2"/>
  <c r="AY59" i="2" s="1"/>
  <c r="AY58" i="2"/>
  <c r="AY24" i="2"/>
  <c r="AN36" i="2" l="1"/>
  <c r="AN62" i="2"/>
  <c r="AO31" i="2" l="1"/>
  <c r="AO32" i="2" s="1"/>
  <c r="AO33" i="2" l="1"/>
  <c r="AO60" i="2" s="1"/>
  <c r="AO34" i="2" l="1"/>
  <c r="AO36" i="2" s="1"/>
  <c r="AO62" i="2"/>
  <c r="AP31" i="2" l="1"/>
  <c r="AP32" i="2" s="1"/>
  <c r="AP33" i="2" l="1"/>
  <c r="AP60" i="2" s="1"/>
  <c r="AP34" i="2" l="1"/>
  <c r="AP36" i="2" l="1"/>
  <c r="AP62" i="2"/>
  <c r="AQ31" i="2" l="1"/>
  <c r="AQ32" i="2" s="1"/>
  <c r="AQ33" i="2" l="1"/>
  <c r="AQ60" i="2" s="1"/>
  <c r="AQ34" i="2" l="1"/>
  <c r="AQ36" i="2" s="1"/>
  <c r="AQ62" i="2"/>
  <c r="AR31" i="2" s="1"/>
  <c r="AR32" i="2" s="1"/>
  <c r="AR33" i="2" l="1"/>
  <c r="AR60" i="2" s="1"/>
  <c r="AR34" i="2" l="1"/>
  <c r="AR62" i="2"/>
  <c r="AS31" i="2" s="1"/>
  <c r="AS32" i="2" s="1"/>
  <c r="AS33" i="2" s="1"/>
  <c r="AS60" i="2" s="1"/>
  <c r="AR36" i="2"/>
  <c r="AS34" i="2" l="1"/>
  <c r="AS36" i="2" l="1"/>
  <c r="AS62" i="2"/>
  <c r="AT31" i="2" l="1"/>
  <c r="AT32" i="2" s="1"/>
  <c r="AT33" i="2" l="1"/>
  <c r="AT60" i="2" s="1"/>
  <c r="AT34" i="2" l="1"/>
  <c r="AT36" i="2" l="1"/>
  <c r="AT62" i="2"/>
  <c r="AU31" i="2" l="1"/>
  <c r="AU32" i="2" s="1"/>
  <c r="AU33" i="2" l="1"/>
  <c r="AU60" i="2" s="1"/>
  <c r="AU34" i="2" l="1"/>
  <c r="AU36" i="2" l="1"/>
  <c r="AU62" i="2"/>
  <c r="AV31" i="2" l="1"/>
  <c r="AV32" i="2" s="1"/>
  <c r="AV33" i="2" l="1"/>
  <c r="AV60" i="2" s="1"/>
  <c r="AV34" i="2" l="1"/>
  <c r="AV36" i="2" l="1"/>
  <c r="AV62" i="2"/>
  <c r="AW31" i="2" l="1"/>
  <c r="AW32" i="2" s="1"/>
  <c r="AW33" i="2" l="1"/>
  <c r="AW60" i="2" s="1"/>
  <c r="AW34" i="2" l="1"/>
  <c r="AW36" i="2" l="1"/>
  <c r="AW62" i="2"/>
  <c r="AX31" i="2" l="1"/>
  <c r="AX32" i="2" s="1"/>
  <c r="AX33" i="2" l="1"/>
  <c r="AX60" i="2" s="1"/>
  <c r="AX34" i="2" l="1"/>
  <c r="AX36" i="2" l="1"/>
  <c r="AX62" i="2"/>
  <c r="AY31" i="2" l="1"/>
  <c r="AY32" i="2" s="1"/>
  <c r="AY33" i="2" l="1"/>
  <c r="AY60" i="2" s="1"/>
  <c r="AY34" i="2" l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BA41" i="2" s="1"/>
  <c r="BA43" i="2" s="1"/>
  <c r="BA44" i="2" s="1"/>
  <c r="BA47" i="2" s="1"/>
  <c r="AY62" i="2" l="1"/>
  <c r="AY36" i="2"/>
</calcChain>
</file>

<file path=xl/sharedStrings.xml><?xml version="1.0" encoding="utf-8"?>
<sst xmlns="http://schemas.openxmlformats.org/spreadsheetml/2006/main" count="88" uniqueCount="82">
  <si>
    <t>Price</t>
  </si>
  <si>
    <t>Shares</t>
  </si>
  <si>
    <t>MC</t>
  </si>
  <si>
    <t>Cash</t>
  </si>
  <si>
    <t>Debt</t>
  </si>
  <si>
    <t>EV</t>
  </si>
  <si>
    <t>Q424</t>
  </si>
  <si>
    <t>Revenue</t>
  </si>
  <si>
    <t>Q122</t>
  </si>
  <si>
    <t>Q222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</si>
  <si>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</si>
  <si>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</si>
  <si>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</si>
  <si>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</si>
  <si>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</si>
  <si>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</si>
  <si>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</si>
  <si>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</si>
  <si>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</si>
  <si>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</si>
  <si>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</si>
  <si>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</si>
  <si>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</si>
  <si>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</si>
  <si>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</si>
  <si>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</si>
  <si>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</si>
  <si>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</si>
  <si>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</si>
  <si>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</si>
  <si>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</si>
  <si>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EMEA Paid Membership</t>
  </si>
  <si>
    <t>EMEA ARPU</t>
  </si>
  <si>
    <t>LATAM Paid Memberships</t>
  </si>
  <si>
    <t>LATAM ARPU</t>
  </si>
  <si>
    <t>User / ARPU</t>
  </si>
  <si>
    <t>COGs</t>
  </si>
  <si>
    <t>Gross Profit</t>
  </si>
  <si>
    <t>R&amp;D</t>
  </si>
  <si>
    <t>G&amp;A</t>
  </si>
  <si>
    <t>Operating Expense</t>
  </si>
  <si>
    <t>Operating Income</t>
  </si>
  <si>
    <t>Revenue YY</t>
  </si>
  <si>
    <t>OM %</t>
  </si>
  <si>
    <t>GM %</t>
  </si>
  <si>
    <t>Interest Income</t>
  </si>
  <si>
    <t>Pretax Income</t>
  </si>
  <si>
    <t>Taxes</t>
  </si>
  <si>
    <t>Net Income</t>
  </si>
  <si>
    <t>EPS</t>
  </si>
  <si>
    <t>S&amp;M</t>
  </si>
  <si>
    <t>SM YY</t>
  </si>
  <si>
    <t>RD YY</t>
  </si>
  <si>
    <t>GA YY</t>
  </si>
  <si>
    <t>APAC Paid memberships</t>
  </si>
  <si>
    <t>APAC ARPU</t>
  </si>
  <si>
    <t>Paid Memberships</t>
  </si>
  <si>
    <t>ARPU</t>
  </si>
  <si>
    <t>Taxes %</t>
  </si>
  <si>
    <t>UCAN Paid Memberships</t>
  </si>
  <si>
    <t>UCAN ARPU</t>
  </si>
  <si>
    <t>End of Period</t>
  </si>
  <si>
    <t>ARPU YY</t>
  </si>
  <si>
    <t>Memberships YY</t>
  </si>
  <si>
    <t>Q4 pos taxes</t>
  </si>
  <si>
    <t>Q125</t>
  </si>
  <si>
    <t>Q225</t>
  </si>
  <si>
    <t>Q325</t>
  </si>
  <si>
    <t>Q425</t>
  </si>
  <si>
    <t>Revenue-to-sub ratio</t>
  </si>
  <si>
    <t>Sub revenue</t>
  </si>
  <si>
    <t>Projected 3-to-1 rev</t>
  </si>
  <si>
    <t>This could be bad metric cuz they said they are gonna increase ad revenue</t>
  </si>
  <si>
    <t>Net Cash</t>
  </si>
  <si>
    <t>ROIC</t>
  </si>
  <si>
    <t>Maturity</t>
  </si>
  <si>
    <t>NPV</t>
  </si>
  <si>
    <t>Share Price</t>
  </si>
  <si>
    <t>Difference</t>
  </si>
  <si>
    <t>Discount</t>
  </si>
  <si>
    <t>Value</t>
  </si>
  <si>
    <t>Spot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</si>
</sst>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right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0" xfId="0" applyNumberForma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4" fontId="0" fillId="0" borderId="0" xfId="0" applyNumberFormat="1"/>
    <xf numFmtId="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horizontal="right"/>
    </xf>
    <xf numFmtId="1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812800</xdr:colOff>
      <xdr:row>0</xdr:row>
      <xdr:rowOff>63500</xdr:rowOff>
    </xdr:from>
    <xdr:to>
      <xdr:col>25</xdr:col>
      <xdr:colOff>812800</xdr:colOff>
      <xdr:row>78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7A2434E-4C3E-7431-BA26-6F5FE63866D6}"/>
            </a:ext>
          </a:extLst>
        </xdr:cNvPr>
        <xdr:cNvCxnSpPr/>
      </xdr:nvCxnSpPr>
      <xdr:spPr>
        <a:xfrm>
          <a:off x="22682200" y="63500"/>
          <a:ext cx="0" cy="15163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0</xdr:row>
      <xdr:rowOff>50800</xdr:rowOff>
    </xdr:from>
    <xdr:to>
      <xdr:col>35</xdr:col>
      <xdr:colOff>0</xdr:colOff>
      <xdr:row>72</xdr:row>
      <xdr:rowOff>114300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678FD2E-6BA6-1E0C-F982-604603925E17}"/>
            </a:ext>
          </a:extLst>
        </xdr:cNvPr>
        <xdr:cNvCxnSpPr/>
      </xdr:nvCxnSpPr>
      <xdr:spPr>
        <a:xfrm>
          <a:off x="30124400" y="50800"/>
          <a:ext cx="0" cy="13881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7077-0674-FB41-B837-9AD1A8B9DC10}">
  <dimension ref="K1:M11"/>
  <sheetViews>
    <sheetView workbookViewId="0">
      <selection activeCell="L5" sqref="L5"/>
    </sheetView>
  </sheetViews>
  <sheetFormatPr baseColWidth="10" defaultRowHeight="16" x14ac:dyDescent="0.2"/>
  <cols>
    <col min="12" max="12" width="10.83203125" style="2"/>
  </cols>
  <sheetData>
    <row r="1" spans="11:13" x14ac:dyDescent="0.2">
      <c r="L1"/>
    </row>
    <row r="2" spans="11:13" x14ac:dyDescent="0.2">
      <c r="L2"/>
    </row>
    <row r="3" spans="11:13" x14ac:dyDescent="0.2">
      <c r="K3" s="1" t="s">
        <v>0</v>
      </c>
      <c r="L3">
        <v>964.44</v>
      </c>
    </row>
    <row r="4" spans="11:13" x14ac:dyDescent="0.2">
      <c r="K4" s="1" t="s">
        <v>1</v>
      </c>
      <c r="L4" s="2">
        <v>427.75700000000001</v>
      </c>
      <c r="M4" t="s">
        <v>6</v>
      </c>
    </row>
    <row r="5" spans="11:13" x14ac:dyDescent="0.2">
      <c r="K5" s="1" t="s">
        <v>2</v>
      </c>
      <c r="L5" s="2">
        <f>L3*L4</f>
        <v>412545.96108000004</v>
      </c>
    </row>
    <row r="6" spans="11:13" x14ac:dyDescent="0.2">
      <c r="K6" s="1" t="s">
        <v>3</v>
      </c>
      <c r="L6" s="2">
        <f>7804.733+1779</f>
        <v>9583.7330000000002</v>
      </c>
      <c r="M6" t="s">
        <v>6</v>
      </c>
    </row>
    <row r="7" spans="11:13" x14ac:dyDescent="0.2">
      <c r="K7" s="1" t="s">
        <v>4</v>
      </c>
      <c r="L7" s="2">
        <f>1784.453+137987.531</f>
        <v>139771.984</v>
      </c>
      <c r="M7" t="s">
        <v>6</v>
      </c>
    </row>
    <row r="8" spans="11:13" x14ac:dyDescent="0.2">
      <c r="K8" s="1" t="s">
        <v>5</v>
      </c>
      <c r="L8" s="2">
        <f>L5-L6+L7</f>
        <v>542734.21207999997</v>
      </c>
    </row>
    <row r="11" spans="11:13" x14ac:dyDescent="0.2">
      <c r="K11" s="1" t="s">
        <v>73</v>
      </c>
      <c r="L11" s="2">
        <f>L6-L7</f>
        <v>-130188.25099999999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CF09-C182-0A45-B5C8-78D3A0D7F964}">
  <dimension ref="A2:GG62"/>
  <sheetViews>
    <sheetView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A58" sqref="A58:XFD58"/>
    </sheetView>
  </sheetViews>
  <sheetFormatPr baseColWidth="10" defaultRowHeight="16" x14ac:dyDescent="0.2"/>
  <cols>
    <col min="1" max="1" width="12.83203125" customWidth="1"/>
    <col min="2" max="2" width="21.6640625" bestFit="1" customWidth="1"/>
    <col min="3" max="3" width="12.83203125" style="3" customWidth="1"/>
    <col min="4" max="5" width="10.83203125" style="3"/>
    <col min="6" max="6" width="12.1640625" style="3" bestFit="1" customWidth="1"/>
    <col min="7" max="26" width="10.83203125" style="3"/>
    <col min="51" max="51" width="7.6640625" bestFit="1" customWidth="1"/>
    <col min="52" max="52" width="17" customWidth="1"/>
    <col min="53" max="53" width="13.33203125" bestFit="1" customWidth="1"/>
  </cols>
  <sheetData>
    <row r="2" spans="1:51" x14ac:dyDescent="0.2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3" t="s">
        <v>8</v>
      </c>
      <c r="P2" s="3" t="s">
        <v>9</v>
      </c>
      <c r="Q2" s="3" t="s">
        <v>22</v>
      </c>
      <c r="R2" s="3" t="s">
        <v>23</v>
      </c>
      <c r="S2" s="3" t="s">
        <v>24</v>
      </c>
      <c r="T2" s="3" t="s">
        <v>25</v>
      </c>
      <c r="U2" s="3" t="s">
        <v>26</v>
      </c>
      <c r="V2" s="3" t="s">
        <v>27</v>
      </c>
      <c r="W2" s="3" t="s">
        <v>28</v>
      </c>
      <c r="X2" s="3" t="s">
        <v>29</v>
      </c>
      <c r="Y2" s="3" t="s">
        <v>30</v>
      </c>
      <c r="Z2" s="3" t="s">
        <v>6</v>
      </c>
      <c r="AA2" s="3" t="s">
        <v>65</v>
      </c>
      <c r="AB2" s="3" t="s">
        <v>66</v>
      </c>
      <c r="AC2" s="3" t="s">
        <v>67</v>
      </c>
      <c r="AD2" s="3" t="s">
        <v>68</v>
      </c>
      <c r="AH2">
        <v>2023</v>
      </c>
      <c r="AI2">
        <v>2024</v>
      </c>
      <c r="AJ2">
        <f>AI2+1</f>
        <v>2025</v>
      </c>
      <c r="AK2">
        <f t="shared" ref="AK2:AY2" si="0">AJ2+1</f>
        <v>2026</v>
      </c>
      <c r="AL2">
        <f t="shared" si="0"/>
        <v>2027</v>
      </c>
      <c r="AM2">
        <f t="shared" si="0"/>
        <v>2028</v>
      </c>
      <c r="AN2">
        <f t="shared" si="0"/>
        <v>2029</v>
      </c>
      <c r="AO2">
        <f t="shared" si="0"/>
        <v>2030</v>
      </c>
      <c r="AP2">
        <f t="shared" si="0"/>
        <v>2031</v>
      </c>
      <c r="AQ2">
        <f t="shared" si="0"/>
        <v>2032</v>
      </c>
      <c r="AR2">
        <f t="shared" si="0"/>
        <v>2033</v>
      </c>
      <c r="AS2">
        <f t="shared" si="0"/>
        <v>2034</v>
      </c>
      <c r="AT2">
        <f t="shared" si="0"/>
        <v>2035</v>
      </c>
      <c r="AU2">
        <f t="shared" si="0"/>
        <v>2036</v>
      </c>
      <c r="AV2">
        <f t="shared" si="0"/>
        <v>2037</v>
      </c>
      <c r="AW2">
        <f t="shared" si="0"/>
        <v>2038</v>
      </c>
      <c r="AX2">
        <f t="shared" si="0"/>
        <v>2039</v>
      </c>
      <c r="AY2">
        <f t="shared" si="0"/>
        <v>2040</v>
      </c>
    </row>
    <row r="3" spans="1:51" s="2" customFormat="1" x14ac:dyDescent="0.2">
      <c r="B3" s="9" t="s">
        <v>35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51" s="2" customFormat="1" x14ac:dyDescent="0.2">
      <c r="A4" s="2" t="s">
        <v>61</v>
      </c>
      <c r="B4" s="2" t="s">
        <v>59</v>
      </c>
      <c r="C4" s="11">
        <v>66.632999999999996</v>
      </c>
      <c r="D4" s="11">
        <v>66.501000000000005</v>
      </c>
      <c r="E4" s="11">
        <v>67.114000000000004</v>
      </c>
      <c r="F4" s="11">
        <v>67.66</v>
      </c>
      <c r="G4" s="11">
        <v>69.968999999999994</v>
      </c>
      <c r="H4" s="11">
        <v>72.903999999999996</v>
      </c>
      <c r="I4" s="11">
        <v>73.081000000000003</v>
      </c>
      <c r="J4" s="11">
        <v>73.94</v>
      </c>
      <c r="K4" s="11">
        <v>74.384</v>
      </c>
      <c r="L4" s="11">
        <v>73.950999999999993</v>
      </c>
      <c r="M4" s="11">
        <v>74.024000000000001</v>
      </c>
      <c r="N4" s="11">
        <v>75.22</v>
      </c>
      <c r="O4" s="11">
        <v>74.578999999999994</v>
      </c>
      <c r="P4" s="11">
        <v>73.283000000000001</v>
      </c>
      <c r="Q4" s="11">
        <v>73.387</v>
      </c>
      <c r="R4" s="11">
        <v>74.3</v>
      </c>
      <c r="S4" s="11">
        <v>74.397999999999996</v>
      </c>
      <c r="T4" s="11">
        <v>75.570999999999998</v>
      </c>
      <c r="U4" s="11">
        <v>77.320999999999998</v>
      </c>
      <c r="V4" s="11">
        <v>80.13</v>
      </c>
      <c r="W4" s="11">
        <v>82.658000000000001</v>
      </c>
      <c r="X4" s="11">
        <v>84.108999999999995</v>
      </c>
      <c r="Y4" s="11">
        <v>84.802999999999997</v>
      </c>
      <c r="Z4" s="11">
        <v>89.63</v>
      </c>
    </row>
    <row r="5" spans="1:51" s="14" customFormat="1" x14ac:dyDescent="0.2">
      <c r="B5" s="14" t="s">
        <v>60</v>
      </c>
      <c r="C5" s="15">
        <v>11.45</v>
      </c>
      <c r="D5" s="15">
        <v>12.52</v>
      </c>
      <c r="E5" s="15">
        <v>13.08</v>
      </c>
      <c r="F5" s="15">
        <v>13.22</v>
      </c>
      <c r="G5" s="15">
        <v>13.09</v>
      </c>
      <c r="H5" s="15">
        <v>13.25</v>
      </c>
      <c r="I5" s="15">
        <v>13.4</v>
      </c>
      <c r="J5" s="15">
        <v>13.51</v>
      </c>
      <c r="K5" s="15">
        <v>14.25</v>
      </c>
      <c r="L5" s="15">
        <v>14.54</v>
      </c>
      <c r="M5" s="15">
        <v>14.68</v>
      </c>
      <c r="N5" s="15">
        <v>14.78</v>
      </c>
      <c r="O5" s="15">
        <v>14.91</v>
      </c>
      <c r="P5" s="15">
        <v>15.95</v>
      </c>
      <c r="Q5" s="15">
        <v>16.37</v>
      </c>
      <c r="R5" s="15">
        <v>16.37</v>
      </c>
      <c r="S5" s="15">
        <v>16.18</v>
      </c>
      <c r="T5" s="15">
        <v>16</v>
      </c>
      <c r="U5" s="15">
        <v>16.29</v>
      </c>
      <c r="V5" s="15">
        <v>16.64</v>
      </c>
      <c r="W5" s="15">
        <v>17.3</v>
      </c>
      <c r="X5" s="15">
        <v>17.170000000000002</v>
      </c>
      <c r="Y5" s="15">
        <v>17.059999999999999</v>
      </c>
      <c r="Z5" s="15">
        <v>17.260000000000002</v>
      </c>
    </row>
    <row r="6" spans="1:51" s="2" customFormat="1" x14ac:dyDescent="0.2">
      <c r="B6" s="2" t="s">
        <v>31</v>
      </c>
      <c r="C6" s="11">
        <v>42.542000000000002</v>
      </c>
      <c r="D6" s="11">
        <v>44.228999999999999</v>
      </c>
      <c r="E6" s="11">
        <v>47.354999999999997</v>
      </c>
      <c r="F6" s="11">
        <v>51.78</v>
      </c>
      <c r="G6" s="11">
        <v>58.734000000000002</v>
      </c>
      <c r="H6" s="11">
        <v>61.482999999999997</v>
      </c>
      <c r="I6" s="11">
        <v>62.241999999999997</v>
      </c>
      <c r="J6" s="11">
        <v>66.7</v>
      </c>
      <c r="K6" s="11">
        <v>68.507999999999996</v>
      </c>
      <c r="L6" s="11">
        <v>68.695999999999998</v>
      </c>
      <c r="M6" s="11">
        <v>70.5</v>
      </c>
      <c r="N6" s="11">
        <v>74.040000000000006</v>
      </c>
      <c r="O6" s="11">
        <v>73.733000000000004</v>
      </c>
      <c r="P6" s="11">
        <v>72.965999999999994</v>
      </c>
      <c r="Q6" s="11">
        <v>73.534000000000006</v>
      </c>
      <c r="R6" s="11">
        <v>76.73</v>
      </c>
      <c r="S6" s="11">
        <v>77.373000000000005</v>
      </c>
      <c r="T6" s="11">
        <v>79.807000000000002</v>
      </c>
      <c r="U6" s="11">
        <v>83.76</v>
      </c>
      <c r="V6" s="11">
        <v>88.81</v>
      </c>
      <c r="W6" s="11">
        <v>91.728999999999999</v>
      </c>
      <c r="X6" s="11">
        <v>93.963999999999999</v>
      </c>
      <c r="Y6" s="11">
        <v>96.131</v>
      </c>
      <c r="Z6" s="11">
        <v>101.13</v>
      </c>
    </row>
    <row r="7" spans="1:51" s="14" customFormat="1" x14ac:dyDescent="0.2">
      <c r="B7" s="14" t="s">
        <v>32</v>
      </c>
      <c r="C7" s="15">
        <v>10.23</v>
      </c>
      <c r="D7" s="15">
        <v>10.130000000000001</v>
      </c>
      <c r="E7" s="15">
        <v>10.4</v>
      </c>
      <c r="F7" s="15">
        <v>10.51</v>
      </c>
      <c r="G7" s="15">
        <v>10.4</v>
      </c>
      <c r="H7" s="15">
        <v>10.5</v>
      </c>
      <c r="I7" s="15">
        <v>10.88</v>
      </c>
      <c r="J7" s="15">
        <v>11.05</v>
      </c>
      <c r="K7" s="15">
        <v>11.56</v>
      </c>
      <c r="L7" s="15">
        <v>11.66</v>
      </c>
      <c r="M7" s="15">
        <v>11.65</v>
      </c>
      <c r="N7" s="15">
        <v>11.64</v>
      </c>
      <c r="O7" s="15">
        <v>11.56</v>
      </c>
      <c r="P7" s="15">
        <v>11.17</v>
      </c>
      <c r="Q7" s="15">
        <v>10.81</v>
      </c>
      <c r="R7" s="15">
        <v>10.43</v>
      </c>
      <c r="S7" s="15">
        <v>10.89</v>
      </c>
      <c r="T7" s="15">
        <v>10.87</v>
      </c>
      <c r="U7" s="15">
        <v>10.98</v>
      </c>
      <c r="V7" s="15">
        <v>10.75</v>
      </c>
      <c r="W7" s="15">
        <v>10.92</v>
      </c>
      <c r="X7" s="15">
        <v>10.8</v>
      </c>
      <c r="Y7" s="15">
        <v>10.99</v>
      </c>
      <c r="Z7" s="15">
        <v>11.11</v>
      </c>
    </row>
    <row r="8" spans="1:51" s="2" customFormat="1" x14ac:dyDescent="0.2">
      <c r="B8" s="2" t="s">
        <v>33</v>
      </c>
      <c r="C8" s="11">
        <v>27.547000000000001</v>
      </c>
      <c r="D8" s="11">
        <v>27.89</v>
      </c>
      <c r="E8" s="11">
        <v>29.38</v>
      </c>
      <c r="F8" s="11">
        <v>31.42</v>
      </c>
      <c r="G8" s="11">
        <v>34.317999999999998</v>
      </c>
      <c r="H8" s="11">
        <v>36.067999999999998</v>
      </c>
      <c r="I8" s="11">
        <v>36.323999999999998</v>
      </c>
      <c r="J8" s="11">
        <v>37.54</v>
      </c>
      <c r="K8" s="11">
        <v>37.893999999999998</v>
      </c>
      <c r="L8" s="11">
        <v>38.658000000000001</v>
      </c>
      <c r="M8" s="11">
        <v>38.988</v>
      </c>
      <c r="N8" s="11">
        <v>39.96</v>
      </c>
      <c r="O8" s="11">
        <v>39.61</v>
      </c>
      <c r="P8" s="11">
        <v>39.624000000000002</v>
      </c>
      <c r="Q8" s="11">
        <v>39.936</v>
      </c>
      <c r="R8" s="11">
        <v>41.7</v>
      </c>
      <c r="S8" s="11">
        <v>41.249000000000002</v>
      </c>
      <c r="T8" s="11">
        <v>42.466000000000001</v>
      </c>
      <c r="U8" s="11">
        <v>43.645000000000003</v>
      </c>
      <c r="V8" s="11">
        <v>46</v>
      </c>
      <c r="W8" s="11">
        <v>47.72</v>
      </c>
      <c r="X8" s="11">
        <v>49.25</v>
      </c>
      <c r="Y8" s="11">
        <v>49.182000000000002</v>
      </c>
      <c r="Z8" s="11">
        <v>53.33</v>
      </c>
    </row>
    <row r="9" spans="1:51" s="14" customFormat="1" x14ac:dyDescent="0.2">
      <c r="B9" s="14" t="s">
        <v>34</v>
      </c>
      <c r="C9" s="15">
        <v>7.84</v>
      </c>
      <c r="D9" s="15">
        <v>8.14</v>
      </c>
      <c r="E9" s="15">
        <v>8.6300000000000008</v>
      </c>
      <c r="F9" s="15">
        <v>8.18</v>
      </c>
      <c r="G9" s="15">
        <v>8.0500000000000007</v>
      </c>
      <c r="H9" s="15">
        <v>7.44</v>
      </c>
      <c r="I9" s="15">
        <v>7.27</v>
      </c>
      <c r="J9" s="15">
        <v>7.12</v>
      </c>
      <c r="K9" s="15">
        <v>7.39</v>
      </c>
      <c r="L9" s="15">
        <v>7.5</v>
      </c>
      <c r="M9" s="15">
        <v>7.86</v>
      </c>
      <c r="N9" s="15">
        <v>8.14</v>
      </c>
      <c r="O9" s="15">
        <v>8.3699999999999992</v>
      </c>
      <c r="P9" s="15">
        <v>8.67</v>
      </c>
      <c r="Q9" s="15">
        <v>8.58</v>
      </c>
      <c r="R9" s="15">
        <v>8.3000000000000007</v>
      </c>
      <c r="S9" s="15">
        <v>8.6</v>
      </c>
      <c r="T9" s="15">
        <v>8.58</v>
      </c>
      <c r="U9" s="15">
        <v>8.85</v>
      </c>
      <c r="V9" s="15">
        <v>8.6</v>
      </c>
      <c r="W9" s="15">
        <v>8.2899999999999991</v>
      </c>
      <c r="X9" s="15">
        <v>8.2799999999999994</v>
      </c>
      <c r="Y9" s="15">
        <v>8.4</v>
      </c>
      <c r="Z9" s="15">
        <v>8</v>
      </c>
    </row>
    <row r="10" spans="1:51" s="2" customFormat="1" x14ac:dyDescent="0.2">
      <c r="B10" s="2" t="s">
        <v>54</v>
      </c>
      <c r="C10" s="11">
        <v>12.141</v>
      </c>
      <c r="D10" s="11">
        <v>12.942</v>
      </c>
      <c r="E10" s="11">
        <v>14.484999999999999</v>
      </c>
      <c r="F10" s="11">
        <v>16.23</v>
      </c>
      <c r="G10" s="11">
        <v>19.835000000000001</v>
      </c>
      <c r="H10" s="11">
        <v>22.492000000000001</v>
      </c>
      <c r="I10" s="11">
        <v>23.504000000000001</v>
      </c>
      <c r="J10" s="11">
        <v>25.49</v>
      </c>
      <c r="K10" s="11">
        <v>26.853000000000002</v>
      </c>
      <c r="L10" s="11">
        <v>27.875</v>
      </c>
      <c r="M10" s="11">
        <v>30.050999999999998</v>
      </c>
      <c r="N10" s="11">
        <v>32.630000000000003</v>
      </c>
      <c r="O10" s="11">
        <v>33.719000000000001</v>
      </c>
      <c r="P10" s="11">
        <v>34.798999999999999</v>
      </c>
      <c r="Q10" s="11">
        <v>36.228000000000002</v>
      </c>
      <c r="R10" s="11">
        <v>38.020000000000003</v>
      </c>
      <c r="S10" s="11">
        <v>39.478000000000002</v>
      </c>
      <c r="T10" s="11">
        <v>40.545999999999999</v>
      </c>
      <c r="U10" s="11">
        <v>42.427</v>
      </c>
      <c r="V10" s="11">
        <v>45.34</v>
      </c>
      <c r="W10" s="11">
        <v>47.494999999999997</v>
      </c>
      <c r="X10" s="11">
        <v>50.323999999999998</v>
      </c>
      <c r="Y10" s="11">
        <v>52.603999999999999</v>
      </c>
      <c r="Z10" s="11">
        <v>57.54</v>
      </c>
    </row>
    <row r="11" spans="1:51" x14ac:dyDescent="0.2">
      <c r="B11" s="14" t="s">
        <v>55</v>
      </c>
      <c r="C11" s="3">
        <v>9.3699999999999992</v>
      </c>
      <c r="D11" s="3">
        <v>9.2899999999999991</v>
      </c>
      <c r="E11" s="3">
        <v>9.2899999999999991</v>
      </c>
      <c r="F11" s="3">
        <v>9.07</v>
      </c>
      <c r="G11" s="3">
        <v>8.94</v>
      </c>
      <c r="H11" s="3">
        <v>8.9600000000000009</v>
      </c>
      <c r="I11" s="3">
        <v>9.1999999999999993</v>
      </c>
      <c r="J11" s="3">
        <v>9.32</v>
      </c>
      <c r="K11" s="3">
        <v>9.7100000000000009</v>
      </c>
      <c r="L11" s="3">
        <v>9.74</v>
      </c>
      <c r="M11" s="3">
        <v>9.6</v>
      </c>
      <c r="N11" s="3">
        <v>9.26</v>
      </c>
      <c r="O11" s="3">
        <v>9.2100000000000009</v>
      </c>
      <c r="P11" s="3">
        <v>8.83</v>
      </c>
      <c r="Q11" s="3">
        <v>8.34</v>
      </c>
      <c r="R11" s="3">
        <v>7.69</v>
      </c>
      <c r="S11" s="3">
        <v>8.0299999999999994</v>
      </c>
      <c r="T11" s="3">
        <v>7.66</v>
      </c>
      <c r="U11" s="3">
        <v>7.62</v>
      </c>
      <c r="V11" s="3">
        <v>7.31</v>
      </c>
      <c r="W11" s="3">
        <v>7.35</v>
      </c>
      <c r="X11" s="3">
        <v>7.17</v>
      </c>
      <c r="Y11" s="3">
        <v>7.31</v>
      </c>
      <c r="Z11" s="3">
        <v>7.34</v>
      </c>
    </row>
    <row r="12" spans="1:51" s="17" customFormat="1" x14ac:dyDescent="0.2">
      <c r="B12" s="17" t="s">
        <v>56</v>
      </c>
      <c r="C12" s="18">
        <f>C10+C8+C6+C4</f>
        <v>148.863</v>
      </c>
      <c r="D12" s="18">
        <f>D10+D8+D6+D4</f>
        <v>151.56200000000001</v>
      </c>
      <c r="E12" s="18">
        <f>E10+E8+E6+E4</f>
        <v>158.334</v>
      </c>
      <c r="F12" s="18">
        <f>F10+F8+F6+F4</f>
        <v>167.09</v>
      </c>
      <c r="G12" s="18">
        <f>G10+G8+G6+G4</f>
        <v>182.85599999999999</v>
      </c>
      <c r="H12" s="18">
        <f>H10+H8+H6+H4</f>
        <v>192.947</v>
      </c>
      <c r="I12" s="18">
        <f>I10+I8+I6+I4</f>
        <v>195.15100000000001</v>
      </c>
      <c r="J12" s="18">
        <f>J10+J8+J6+J4</f>
        <v>203.67000000000002</v>
      </c>
      <c r="K12" s="18">
        <f t="shared" ref="K12:Z12" si="1">K10+K8+K6+K4</f>
        <v>207.63900000000001</v>
      </c>
      <c r="L12" s="18">
        <f t="shared" si="1"/>
        <v>209.17999999999998</v>
      </c>
      <c r="M12" s="18">
        <f t="shared" si="1"/>
        <v>213.56299999999999</v>
      </c>
      <c r="N12" s="18">
        <f t="shared" si="1"/>
        <v>221.85</v>
      </c>
      <c r="O12" s="18">
        <f t="shared" si="1"/>
        <v>221.64100000000002</v>
      </c>
      <c r="P12" s="18">
        <f t="shared" si="1"/>
        <v>220.67200000000003</v>
      </c>
      <c r="Q12" s="18">
        <f t="shared" si="1"/>
        <v>223.08500000000001</v>
      </c>
      <c r="R12" s="18">
        <f t="shared" si="1"/>
        <v>230.75</v>
      </c>
      <c r="S12" s="18">
        <f t="shared" si="1"/>
        <v>232.49800000000002</v>
      </c>
      <c r="T12" s="18">
        <f t="shared" si="1"/>
        <v>238.39000000000001</v>
      </c>
      <c r="U12" s="18">
        <f t="shared" si="1"/>
        <v>247.15299999999999</v>
      </c>
      <c r="V12" s="18">
        <f t="shared" si="1"/>
        <v>260.27999999999997</v>
      </c>
      <c r="W12" s="18">
        <f t="shared" si="1"/>
        <v>269.60200000000003</v>
      </c>
      <c r="X12" s="18">
        <f t="shared" si="1"/>
        <v>277.64699999999999</v>
      </c>
      <c r="Y12" s="18">
        <f t="shared" si="1"/>
        <v>282.72000000000003</v>
      </c>
      <c r="Z12" s="18">
        <f t="shared" si="1"/>
        <v>301.63</v>
      </c>
      <c r="AA12" s="19">
        <f>W12*1.12</f>
        <v>301.95424000000008</v>
      </c>
      <c r="AB12" s="19">
        <f t="shared" ref="AB12:AD12" si="2">X12*1.12</f>
        <v>310.96464000000003</v>
      </c>
      <c r="AC12" s="19">
        <f t="shared" si="2"/>
        <v>316.64640000000009</v>
      </c>
      <c r="AD12" s="19">
        <f t="shared" si="2"/>
        <v>337.82560000000001</v>
      </c>
      <c r="AE12" s="19"/>
      <c r="AH12" s="17">
        <f>SUM(V12)</f>
        <v>260.27999999999997</v>
      </c>
      <c r="AI12" s="17">
        <f>Z12</f>
        <v>301.63</v>
      </c>
      <c r="AJ12" s="17">
        <f>AI12*1.12</f>
        <v>337.82560000000001</v>
      </c>
      <c r="AK12" s="17">
        <f t="shared" ref="AK12:AY12" si="3">AJ12*1.12</f>
        <v>378.36467200000004</v>
      </c>
      <c r="AL12" s="17">
        <f t="shared" si="3"/>
        <v>423.76843264000007</v>
      </c>
      <c r="AM12" s="17">
        <f t="shared" si="3"/>
        <v>474.62064455680013</v>
      </c>
      <c r="AN12" s="17">
        <f t="shared" si="3"/>
        <v>531.57512190361615</v>
      </c>
      <c r="AO12" s="17">
        <f t="shared" si="3"/>
        <v>595.36413653205011</v>
      </c>
      <c r="AP12" s="17">
        <f t="shared" si="3"/>
        <v>666.80783291589614</v>
      </c>
      <c r="AQ12" s="17">
        <f t="shared" si="3"/>
        <v>746.82477286580377</v>
      </c>
      <c r="AR12" s="17">
        <f t="shared" si="3"/>
        <v>836.44374560970027</v>
      </c>
      <c r="AS12" s="17">
        <f t="shared" si="3"/>
        <v>936.81699508286442</v>
      </c>
      <c r="AT12" s="17">
        <f t="shared" si="3"/>
        <v>1049.2350344928082</v>
      </c>
      <c r="AU12" s="17">
        <f t="shared" si="3"/>
        <v>1175.1432386319452</v>
      </c>
      <c r="AV12" s="17">
        <f t="shared" si="3"/>
        <v>1316.1604272677787</v>
      </c>
      <c r="AW12" s="17">
        <f t="shared" si="3"/>
        <v>1474.0996785399122</v>
      </c>
      <c r="AX12" s="17">
        <f t="shared" si="3"/>
        <v>1650.9916399647018</v>
      </c>
      <c r="AY12" s="17">
        <f t="shared" si="3"/>
        <v>1849.1106367604662</v>
      </c>
    </row>
    <row r="13" spans="1:51" s="8" customFormat="1" x14ac:dyDescent="0.2">
      <c r="B13" s="8" t="s">
        <v>57</v>
      </c>
      <c r="C13" s="7">
        <v>10.27</v>
      </c>
      <c r="D13" s="7">
        <v>10.76</v>
      </c>
      <c r="E13" s="7">
        <v>11.13</v>
      </c>
      <c r="F13" s="7">
        <f>(F4*F5+F6*F7+F8*F9+F10*F11)/(F4+F6+F8+F10)</f>
        <v>11.029353641749955</v>
      </c>
      <c r="G13" s="7">
        <v>10.87</v>
      </c>
      <c r="H13" s="7">
        <v>10.8</v>
      </c>
      <c r="I13" s="7">
        <v>10.95</v>
      </c>
      <c r="J13" s="7">
        <f>(J4*J5+J6*J7+J8*J9+J10*J11)/(J4+J6+J8+J10)</f>
        <v>11.002189816860609</v>
      </c>
      <c r="K13" s="7">
        <f t="shared" ref="K13:Z13" si="4">(K4*K5+K6*K7+K8*K9+K10*K11)/(K4+K6+K8+K10)</f>
        <v>11.523383227621018</v>
      </c>
      <c r="L13" s="7">
        <f t="shared" si="4"/>
        <v>11.653506071326129</v>
      </c>
      <c r="M13" s="7">
        <f t="shared" si="4"/>
        <v>11.719879379855124</v>
      </c>
      <c r="N13" s="7">
        <f t="shared" si="4"/>
        <v>11.724162271805275</v>
      </c>
      <c r="O13" s="7">
        <f t="shared" si="4"/>
        <v>11.759620557568319</v>
      </c>
      <c r="P13" s="7">
        <f t="shared" si="4"/>
        <v>11.939481764791184</v>
      </c>
      <c r="Q13" s="7">
        <f t="shared" si="4"/>
        <v>11.838716767151535</v>
      </c>
      <c r="R13" s="7">
        <f t="shared" si="4"/>
        <v>11.506256554712891</v>
      </c>
      <c r="S13" s="7">
        <f t="shared" si="4"/>
        <v>11.690859061153214</v>
      </c>
      <c r="T13" s="7">
        <f t="shared" si="4"/>
        <v>11.54234124753555</v>
      </c>
      <c r="U13" s="7">
        <f t="shared" si="4"/>
        <v>11.688289763830502</v>
      </c>
      <c r="V13" s="7">
        <f t="shared" si="4"/>
        <v>11.584086752727833</v>
      </c>
      <c r="W13" s="7">
        <f t="shared" si="4"/>
        <v>11.781630440427</v>
      </c>
      <c r="X13" s="7">
        <f t="shared" si="4"/>
        <v>11.62474584634446</v>
      </c>
      <c r="Y13" s="7">
        <f t="shared" si="4"/>
        <v>11.675448889360499</v>
      </c>
      <c r="Z13" s="7">
        <f t="shared" si="4"/>
        <v>11.66844047342771</v>
      </c>
      <c r="AA13" s="8">
        <f>W13</f>
        <v>11.781630440427</v>
      </c>
      <c r="AB13" s="8">
        <f t="shared" ref="AB13:AD13" si="5">X13</f>
        <v>11.62474584634446</v>
      </c>
      <c r="AC13" s="8">
        <f t="shared" si="5"/>
        <v>11.675448889360499</v>
      </c>
      <c r="AD13" s="8">
        <f t="shared" si="5"/>
        <v>11.66844047342771</v>
      </c>
      <c r="AH13" s="8">
        <f>SUM(S13:V13)</f>
        <v>46.505576825247104</v>
      </c>
      <c r="AI13" s="8">
        <f>SUM(W13:Z13)</f>
        <v>46.750265649559665</v>
      </c>
      <c r="AJ13" s="8">
        <f>AI13</f>
        <v>46.750265649559665</v>
      </c>
      <c r="AK13" s="8">
        <f t="shared" ref="AK13:AY13" si="6">AJ13</f>
        <v>46.750265649559665</v>
      </c>
      <c r="AL13" s="8">
        <f t="shared" si="6"/>
        <v>46.750265649559665</v>
      </c>
      <c r="AM13" s="8">
        <f t="shared" si="6"/>
        <v>46.750265649559665</v>
      </c>
      <c r="AN13" s="8">
        <f t="shared" si="6"/>
        <v>46.750265649559665</v>
      </c>
      <c r="AO13" s="8">
        <f t="shared" si="6"/>
        <v>46.750265649559665</v>
      </c>
      <c r="AP13" s="8">
        <f t="shared" si="6"/>
        <v>46.750265649559665</v>
      </c>
      <c r="AQ13" s="8">
        <f t="shared" si="6"/>
        <v>46.750265649559665</v>
      </c>
      <c r="AR13" s="8">
        <f t="shared" si="6"/>
        <v>46.750265649559665</v>
      </c>
      <c r="AS13" s="8">
        <f t="shared" si="6"/>
        <v>46.750265649559665</v>
      </c>
      <c r="AT13" s="8">
        <f t="shared" si="6"/>
        <v>46.750265649559665</v>
      </c>
      <c r="AU13" s="8">
        <f t="shared" si="6"/>
        <v>46.750265649559665</v>
      </c>
      <c r="AV13" s="8">
        <f t="shared" si="6"/>
        <v>46.750265649559665</v>
      </c>
      <c r="AW13" s="8">
        <f t="shared" si="6"/>
        <v>46.750265649559665</v>
      </c>
      <c r="AX13" s="8">
        <f t="shared" si="6"/>
        <v>46.750265649559665</v>
      </c>
      <c r="AY13" s="8">
        <f t="shared" si="6"/>
        <v>46.750265649559665</v>
      </c>
    </row>
    <row r="14" spans="1:51" x14ac:dyDescent="0.2">
      <c r="B14" s="14"/>
    </row>
    <row r="15" spans="1:51" s="4" customFormat="1" x14ac:dyDescent="0.2">
      <c r="B15" s="4" t="s">
        <v>63</v>
      </c>
      <c r="C15" s="5"/>
      <c r="D15" s="5"/>
      <c r="E15" s="5"/>
      <c r="F15" s="5"/>
      <c r="G15" s="5">
        <f>G12/C12-1</f>
        <v>0.2283508998206405</v>
      </c>
      <c r="H15" s="5">
        <f t="shared" ref="H15:Z15" si="7">H12/D12-1</f>
        <v>0.27305657090827506</v>
      </c>
      <c r="I15" s="5">
        <f t="shared" si="7"/>
        <v>0.23252744198971809</v>
      </c>
      <c r="J15" s="5">
        <f t="shared" si="7"/>
        <v>0.21892393320964754</v>
      </c>
      <c r="K15" s="5">
        <f t="shared" si="7"/>
        <v>0.13553287833048966</v>
      </c>
      <c r="L15" s="5">
        <f t="shared" si="7"/>
        <v>8.4131911872171949E-2</v>
      </c>
      <c r="M15" s="5">
        <f t="shared" si="7"/>
        <v>9.4347454022782218E-2</v>
      </c>
      <c r="N15" s="5">
        <f t="shared" si="7"/>
        <v>8.9262041537781611E-2</v>
      </c>
      <c r="O15" s="5">
        <f t="shared" si="7"/>
        <v>6.7434345185634736E-2</v>
      </c>
      <c r="P15" s="5">
        <f t="shared" si="7"/>
        <v>5.4938330624342946E-2</v>
      </c>
      <c r="Q15" s="5">
        <f t="shared" si="7"/>
        <v>4.4586374980684962E-2</v>
      </c>
      <c r="R15" s="5">
        <f t="shared" si="7"/>
        <v>4.0117196303808944E-2</v>
      </c>
      <c r="S15" s="5">
        <f t="shared" si="7"/>
        <v>4.8984619271705165E-2</v>
      </c>
      <c r="T15" s="5">
        <f t="shared" si="7"/>
        <v>8.0291110788863085E-2</v>
      </c>
      <c r="U15" s="5">
        <f t="shared" si="7"/>
        <v>0.10788712822466762</v>
      </c>
      <c r="V15" s="5">
        <f t="shared" si="7"/>
        <v>0.12797399783315266</v>
      </c>
      <c r="W15" s="5">
        <f t="shared" si="7"/>
        <v>0.15958846957823303</v>
      </c>
      <c r="X15" s="5">
        <f t="shared" si="7"/>
        <v>0.16467553169176541</v>
      </c>
      <c r="Y15" s="5">
        <f t="shared" si="7"/>
        <v>0.1439068107609458</v>
      </c>
      <c r="Z15" s="5">
        <f t="shared" si="7"/>
        <v>0.15886737359766423</v>
      </c>
      <c r="AA15" s="5">
        <f t="shared" ref="AA15:AA16" si="8">AA12/W12-1</f>
        <v>0.12000000000000011</v>
      </c>
      <c r="AB15" s="5">
        <f t="shared" ref="AB15:AB16" si="9">AB12/X12-1</f>
        <v>0.12000000000000011</v>
      </c>
      <c r="AC15" s="5">
        <f t="shared" ref="AC15:AC16" si="10">AC12/Y12-1</f>
        <v>0.12000000000000011</v>
      </c>
      <c r="AD15" s="5">
        <f t="shared" ref="AD15:AD16" si="11">AD12/Z12-1</f>
        <v>0.12000000000000011</v>
      </c>
    </row>
    <row r="16" spans="1:51" s="4" customFormat="1" x14ac:dyDescent="0.2">
      <c r="B16" s="4" t="s">
        <v>62</v>
      </c>
      <c r="C16" s="5"/>
      <c r="D16" s="5"/>
      <c r="E16" s="5"/>
      <c r="F16" s="5"/>
      <c r="G16" s="5">
        <f>G13/C13-1</f>
        <v>5.8422590068159641E-2</v>
      </c>
      <c r="H16" s="5">
        <f t="shared" ref="H16:Z16" si="12">H13/D13-1</f>
        <v>3.7174721189592308E-3</v>
      </c>
      <c r="I16" s="5">
        <f t="shared" si="12"/>
        <v>-1.6172506738544645E-2</v>
      </c>
      <c r="J16" s="5">
        <f t="shared" si="12"/>
        <v>-2.4628664354836571E-3</v>
      </c>
      <c r="K16" s="5">
        <f t="shared" si="12"/>
        <v>6.0108852587030137E-2</v>
      </c>
      <c r="L16" s="5">
        <f t="shared" si="12"/>
        <v>7.9028339937604386E-2</v>
      </c>
      <c r="M16" s="5">
        <f t="shared" si="12"/>
        <v>7.0308619164851649E-2</v>
      </c>
      <c r="N16" s="5">
        <f t="shared" si="12"/>
        <v>6.5620796128990522E-2</v>
      </c>
      <c r="O16" s="5">
        <f t="shared" si="12"/>
        <v>2.0500691965277262E-2</v>
      </c>
      <c r="P16" s="5">
        <f t="shared" si="12"/>
        <v>2.4539884539015011E-2</v>
      </c>
      <c r="Q16" s="5">
        <f t="shared" si="12"/>
        <v>1.0139813170831458E-2</v>
      </c>
      <c r="R16" s="5">
        <f t="shared" si="12"/>
        <v>-1.8586037282715906E-2</v>
      </c>
      <c r="S16" s="5">
        <f t="shared" si="12"/>
        <v>-5.8472546863640451E-3</v>
      </c>
      <c r="T16" s="5">
        <f t="shared" si="12"/>
        <v>-3.3262793568375582E-2</v>
      </c>
      <c r="U16" s="5">
        <f t="shared" si="12"/>
        <v>-1.2706360518600857E-2</v>
      </c>
      <c r="V16" s="5">
        <f t="shared" si="12"/>
        <v>6.7641632745503166E-3</v>
      </c>
      <c r="W16" s="5">
        <f t="shared" si="12"/>
        <v>7.7643036152410527E-3</v>
      </c>
      <c r="X16" s="5">
        <f t="shared" si="12"/>
        <v>7.1393313576224582E-3</v>
      </c>
      <c r="Y16" s="5">
        <f t="shared" si="12"/>
        <v>-1.0986102098305972E-3</v>
      </c>
      <c r="Z16" s="5">
        <f t="shared" si="12"/>
        <v>7.2818619629220205E-3</v>
      </c>
      <c r="AA16" s="5">
        <f t="shared" si="8"/>
        <v>0</v>
      </c>
      <c r="AB16" s="5">
        <f t="shared" si="9"/>
        <v>0</v>
      </c>
      <c r="AC16" s="5">
        <f t="shared" si="10"/>
        <v>0</v>
      </c>
      <c r="AD16" s="5">
        <f t="shared" si="11"/>
        <v>0</v>
      </c>
    </row>
    <row r="17" spans="2:51" s="4" customFormat="1" x14ac:dyDescent="0.2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2:51" s="4" customFormat="1" x14ac:dyDescent="0.2">
      <c r="B18" s="4" t="s">
        <v>70</v>
      </c>
      <c r="C18" s="16">
        <f>C12*C13</f>
        <v>1528.8230099999998</v>
      </c>
      <c r="D18" s="16">
        <f t="shared" ref="D18:AD18" si="13">D12*D13</f>
        <v>1630.8071200000002</v>
      </c>
      <c r="E18" s="16">
        <f t="shared" si="13"/>
        <v>1762.2574200000001</v>
      </c>
      <c r="F18" s="16">
        <f t="shared" si="13"/>
        <v>1842.8947000000001</v>
      </c>
      <c r="G18" s="16">
        <f t="shared" si="13"/>
        <v>1987.6447199999998</v>
      </c>
      <c r="H18" s="16">
        <f t="shared" si="13"/>
        <v>2083.8276000000001</v>
      </c>
      <c r="I18" s="16">
        <f t="shared" si="13"/>
        <v>2136.9034499999998</v>
      </c>
      <c r="J18" s="16">
        <f t="shared" si="13"/>
        <v>2240.8160000000003</v>
      </c>
      <c r="K18" s="16">
        <f t="shared" si="13"/>
        <v>2392.7037700000005</v>
      </c>
      <c r="L18" s="16">
        <f t="shared" si="13"/>
        <v>2437.6803999999993</v>
      </c>
      <c r="M18" s="16">
        <f t="shared" si="13"/>
        <v>2502.9325999999996</v>
      </c>
      <c r="N18" s="16">
        <f t="shared" si="13"/>
        <v>2601.0054</v>
      </c>
      <c r="O18" s="16">
        <f t="shared" si="13"/>
        <v>2606.4140600000001</v>
      </c>
      <c r="P18" s="16">
        <f t="shared" si="13"/>
        <v>2634.7093200000004</v>
      </c>
      <c r="Q18" s="16">
        <f t="shared" si="13"/>
        <v>2641.0401300000003</v>
      </c>
      <c r="R18" s="16">
        <f t="shared" si="13"/>
        <v>2655.0686999999998</v>
      </c>
      <c r="S18" s="16">
        <f t="shared" si="13"/>
        <v>2718.1013499999999</v>
      </c>
      <c r="T18" s="16">
        <f t="shared" si="13"/>
        <v>2751.5787299999997</v>
      </c>
      <c r="U18" s="16">
        <f t="shared" si="13"/>
        <v>2888.7958800000001</v>
      </c>
      <c r="V18" s="16">
        <f t="shared" si="13"/>
        <v>3015.1061</v>
      </c>
      <c r="W18" s="16">
        <f t="shared" si="13"/>
        <v>3176.3511300000005</v>
      </c>
      <c r="X18" s="16">
        <f t="shared" si="13"/>
        <v>3227.5758100000003</v>
      </c>
      <c r="Y18" s="16">
        <f t="shared" si="13"/>
        <v>3300.8829100000007</v>
      </c>
      <c r="Z18" s="16">
        <f t="shared" si="13"/>
        <v>3519.5517</v>
      </c>
      <c r="AA18" s="16">
        <f t="shared" si="13"/>
        <v>3557.513265600001</v>
      </c>
      <c r="AB18" s="16">
        <f t="shared" si="13"/>
        <v>3614.8849072000007</v>
      </c>
      <c r="AC18" s="16">
        <f t="shared" si="13"/>
        <v>3696.9888592000016</v>
      </c>
      <c r="AD18" s="16">
        <f t="shared" si="13"/>
        <v>3941.8979040000004</v>
      </c>
      <c r="AH18" s="16">
        <f t="shared" ref="AH18:AY18" si="14">AH12*AH13</f>
        <v>12104.471536075314</v>
      </c>
      <c r="AI18" s="16">
        <f t="shared" si="14"/>
        <v>14101.282627876682</v>
      </c>
      <c r="AJ18" s="16">
        <f t="shared" si="14"/>
        <v>15793.436543221884</v>
      </c>
      <c r="AK18" s="16">
        <f t="shared" si="14"/>
        <v>17688.648928408511</v>
      </c>
      <c r="AL18" s="16">
        <f t="shared" si="14"/>
        <v>19811.286799817535</v>
      </c>
      <c r="AM18" s="16">
        <f t="shared" si="14"/>
        <v>22188.64121579564</v>
      </c>
      <c r="AN18" s="16">
        <f t="shared" si="14"/>
        <v>24851.278161691116</v>
      </c>
      <c r="AO18" s="16">
        <f t="shared" si="14"/>
        <v>27833.431541094054</v>
      </c>
      <c r="AP18" s="16">
        <f t="shared" si="14"/>
        <v>31173.443326025339</v>
      </c>
      <c r="AQ18" s="16">
        <f t="shared" si="14"/>
        <v>34914.256525148383</v>
      </c>
      <c r="AR18" s="16">
        <f t="shared" si="14"/>
        <v>39103.967308166197</v>
      </c>
      <c r="AS18" s="16">
        <f t="shared" si="14"/>
        <v>43796.443385146144</v>
      </c>
      <c r="AT18" s="16">
        <f t="shared" si="14"/>
        <v>49052.016591363681</v>
      </c>
      <c r="AU18" s="16">
        <f t="shared" si="14"/>
        <v>54938.258582327326</v>
      </c>
      <c r="AV18" s="16">
        <f t="shared" si="14"/>
        <v>61530.849612206606</v>
      </c>
      <c r="AW18" s="16">
        <f t="shared" si="14"/>
        <v>68914.551565671398</v>
      </c>
      <c r="AX18" s="16">
        <f t="shared" si="14"/>
        <v>77184.297753551975</v>
      </c>
      <c r="AY18" s="16">
        <f t="shared" si="14"/>
        <v>86446.41348397822</v>
      </c>
    </row>
    <row r="19" spans="2:51" s="4" customFormat="1" x14ac:dyDescent="0.2">
      <c r="B19" s="4" t="s">
        <v>69</v>
      </c>
      <c r="C19" s="7">
        <f>C23/(C13*C12)</f>
        <v>2.9571716087658837</v>
      </c>
      <c r="D19" s="7">
        <f t="shared" ref="D19:Z19" si="15">D23/(D13*D12)</f>
        <v>3.0188217476018866</v>
      </c>
      <c r="E19" s="7">
        <f t="shared" si="15"/>
        <v>2.9762422563668363</v>
      </c>
      <c r="F19" s="7">
        <f t="shared" si="15"/>
        <v>2.966764188968583</v>
      </c>
      <c r="G19" s="7">
        <f t="shared" si="15"/>
        <v>2.9017716003089329</v>
      </c>
      <c r="H19" s="7">
        <f t="shared" si="15"/>
        <v>2.9504772851650491</v>
      </c>
      <c r="I19" s="7">
        <f t="shared" si="15"/>
        <v>3.0116648461585855</v>
      </c>
      <c r="J19" s="7">
        <f t="shared" si="15"/>
        <v>2.9651885741622692</v>
      </c>
      <c r="K19" s="7">
        <f t="shared" si="15"/>
        <v>2.9938022791680554</v>
      </c>
      <c r="L19" s="7">
        <f t="shared" si="15"/>
        <v>3.0117881737080885</v>
      </c>
      <c r="M19" s="7">
        <f t="shared" si="15"/>
        <v>2.9898795516906849</v>
      </c>
      <c r="N19" s="7">
        <f t="shared" si="15"/>
        <v>2.9639761609107</v>
      </c>
      <c r="O19" s="7">
        <f t="shared" si="15"/>
        <v>3.0186174640264176</v>
      </c>
      <c r="P19" s="7">
        <f t="shared" si="15"/>
        <v>3.0250551510555246</v>
      </c>
      <c r="Q19" s="7">
        <f t="shared" si="15"/>
        <v>3.0009347112798315</v>
      </c>
      <c r="R19" s="7">
        <f t="shared" si="15"/>
        <v>2.957382232708329</v>
      </c>
      <c r="S19" s="7">
        <f t="shared" si="15"/>
        <v>3.0026485215497942</v>
      </c>
      <c r="T19" s="7">
        <f t="shared" si="15"/>
        <v>2.9754921822643983</v>
      </c>
      <c r="U19" s="7">
        <f t="shared" si="15"/>
        <v>2.9568264269332865</v>
      </c>
      <c r="V19" s="7">
        <f t="shared" si="15"/>
        <v>3.2584932914964417</v>
      </c>
      <c r="W19" s="7">
        <f t="shared" si="15"/>
        <v>2.9500642770561702</v>
      </c>
      <c r="X19" s="7">
        <f t="shared" si="15"/>
        <v>2.9617615705206313</v>
      </c>
      <c r="Y19" s="7">
        <f t="shared" si="15"/>
        <v>2.9763863996011897</v>
      </c>
      <c r="Z19" s="7">
        <f t="shared" si="15"/>
        <v>2.9113119719196057</v>
      </c>
    </row>
    <row r="20" spans="2:51" s="8" customFormat="1" x14ac:dyDescent="0.2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H20" s="8" t="s">
        <v>72</v>
      </c>
      <c r="AJ20" s="8">
        <v>3</v>
      </c>
      <c r="AK20" s="8">
        <f>AJ20*1.005</f>
        <v>3.0149999999999997</v>
      </c>
      <c r="AL20" s="8">
        <f t="shared" ref="AL20:AY20" si="16">AK20*1.02</f>
        <v>3.0752999999999999</v>
      </c>
      <c r="AM20" s="8">
        <f t="shared" si="16"/>
        <v>3.136806</v>
      </c>
      <c r="AN20" s="8">
        <f t="shared" si="16"/>
        <v>3.1995421199999998</v>
      </c>
      <c r="AO20" s="8">
        <f t="shared" si="16"/>
        <v>3.2635329623999998</v>
      </c>
      <c r="AP20" s="8">
        <f t="shared" si="16"/>
        <v>3.3288036216479999</v>
      </c>
      <c r="AQ20" s="8">
        <f t="shared" si="16"/>
        <v>3.39537969408096</v>
      </c>
      <c r="AR20" s="8">
        <f t="shared" si="16"/>
        <v>3.4632872879625793</v>
      </c>
      <c r="AS20" s="8">
        <f t="shared" si="16"/>
        <v>3.5325530337218312</v>
      </c>
      <c r="AT20" s="8">
        <f t="shared" si="16"/>
        <v>3.603204094396268</v>
      </c>
      <c r="AU20" s="8">
        <f t="shared" si="16"/>
        <v>3.6752681762841934</v>
      </c>
      <c r="AV20" s="8">
        <f t="shared" si="16"/>
        <v>3.7487735398098776</v>
      </c>
      <c r="AW20" s="8">
        <f t="shared" si="16"/>
        <v>3.8237490106060754</v>
      </c>
      <c r="AX20" s="8">
        <f t="shared" si="16"/>
        <v>3.9002239908181968</v>
      </c>
      <c r="AY20" s="8">
        <f t="shared" si="16"/>
        <v>3.9782284706345608</v>
      </c>
    </row>
    <row r="21" spans="2:51" s="2" customFormat="1" x14ac:dyDescent="0.2">
      <c r="B21" s="2" t="s">
        <v>71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 t="s">
        <v>64</v>
      </c>
      <c r="W21" s="11"/>
      <c r="X21" s="11"/>
      <c r="Y21" s="11"/>
      <c r="Z21" s="11"/>
      <c r="AH21" s="2">
        <f>AH18*3</f>
        <v>36313.414608225939</v>
      </c>
      <c r="AI21" s="2">
        <f t="shared" ref="AI21:AY23" si="17">AI18*3</f>
        <v>42303.847883630049</v>
      </c>
      <c r="AJ21" s="2">
        <f>AJ18*AJ20</f>
        <v>47380.309629665651</v>
      </c>
      <c r="AK21" s="2">
        <f t="shared" si="17"/>
        <v>53065.946785225533</v>
      </c>
      <c r="AL21" s="2">
        <f t="shared" si="17"/>
        <v>59433.860399452606</v>
      </c>
      <c r="AM21" s="2">
        <f t="shared" si="17"/>
        <v>66565.923647386924</v>
      </c>
      <c r="AN21" s="2">
        <f t="shared" si="17"/>
        <v>74553.834485073341</v>
      </c>
      <c r="AO21" s="2">
        <f t="shared" si="17"/>
        <v>83500.294623282156</v>
      </c>
      <c r="AP21" s="2">
        <f t="shared" si="17"/>
        <v>93520.329978076014</v>
      </c>
      <c r="AQ21" s="2">
        <f t="shared" si="17"/>
        <v>104742.76957544516</v>
      </c>
      <c r="AR21" s="2">
        <f t="shared" si="17"/>
        <v>117311.90192449858</v>
      </c>
      <c r="AS21" s="2">
        <f t="shared" si="17"/>
        <v>131389.33015543842</v>
      </c>
      <c r="AT21" s="2">
        <f t="shared" si="17"/>
        <v>147156.04977409105</v>
      </c>
      <c r="AU21" s="2">
        <f t="shared" si="17"/>
        <v>164814.77574698196</v>
      </c>
      <c r="AV21" s="2">
        <f t="shared" si="17"/>
        <v>184592.54883661983</v>
      </c>
      <c r="AW21" s="2">
        <f t="shared" si="17"/>
        <v>206743.65469701419</v>
      </c>
      <c r="AX21" s="2">
        <f t="shared" si="17"/>
        <v>231552.89326065592</v>
      </c>
      <c r="AY21" s="2">
        <f t="shared" si="17"/>
        <v>259339.24045193466</v>
      </c>
    </row>
    <row r="23" spans="2:51" s="9" customFormat="1" x14ac:dyDescent="0.2">
      <c r="B23" s="9" t="s">
        <v>7</v>
      </c>
      <c r="C23" s="10">
        <v>4520.9920000000002</v>
      </c>
      <c r="D23" s="10">
        <v>4923.116</v>
      </c>
      <c r="E23" s="10">
        <v>5244.9049999999997</v>
      </c>
      <c r="F23" s="10">
        <v>5467.4340000000002</v>
      </c>
      <c r="G23" s="10">
        <v>5767.6909999999998</v>
      </c>
      <c r="H23" s="10">
        <v>6148.2860000000001</v>
      </c>
      <c r="I23" s="10">
        <v>6435.6369999999997</v>
      </c>
      <c r="J23" s="10">
        <v>6644.442</v>
      </c>
      <c r="K23" s="10">
        <v>7163.2820000000002</v>
      </c>
      <c r="L23" s="10">
        <v>7341.777</v>
      </c>
      <c r="M23" s="10">
        <v>7483.4669999999996</v>
      </c>
      <c r="N23" s="10">
        <v>7709.3180000000002</v>
      </c>
      <c r="O23" s="10">
        <v>7867.7669999999998</v>
      </c>
      <c r="P23" s="10">
        <v>7970.1409999999996</v>
      </c>
      <c r="Q23" s="10">
        <v>7925.5889999999999</v>
      </c>
      <c r="R23" s="10">
        <v>7852.0529999999999</v>
      </c>
      <c r="S23" s="10">
        <v>8161.5029999999997</v>
      </c>
      <c r="T23" s="10">
        <v>8187.3010000000004</v>
      </c>
      <c r="U23" s="10">
        <v>8541.6679999999997</v>
      </c>
      <c r="V23" s="10">
        <v>9824.7029999999995</v>
      </c>
      <c r="W23" s="10">
        <v>9370.44</v>
      </c>
      <c r="X23" s="10">
        <v>9559.31</v>
      </c>
      <c r="Y23" s="10">
        <v>9824.7029999999995</v>
      </c>
      <c r="Z23" s="10">
        <v>10246.513000000001</v>
      </c>
      <c r="AA23" s="9">
        <f>W23*1.14</f>
        <v>10682.301599999999</v>
      </c>
      <c r="AB23" s="9">
        <f t="shared" ref="AB23:AD23" si="18">X23*1.14</f>
        <v>10897.613399999998</v>
      </c>
      <c r="AC23" s="9">
        <f t="shared" si="18"/>
        <v>11200.161419999999</v>
      </c>
      <c r="AD23" s="9">
        <f t="shared" si="18"/>
        <v>11681.024820000001</v>
      </c>
      <c r="AH23" s="9">
        <f>SUM(W23:Z23)</f>
        <v>39000.966</v>
      </c>
      <c r="AI23" s="9">
        <f>SUM(AA23:AD23)</f>
        <v>44461.101239999996</v>
      </c>
      <c r="AJ23" s="9">
        <f>AI23*1.14</f>
        <v>50685.65541359999</v>
      </c>
      <c r="AK23" s="9">
        <f t="shared" ref="AK23:AY23" si="19">AJ23*1.14</f>
        <v>57781.647171503981</v>
      </c>
      <c r="AL23" s="9">
        <f t="shared" si="19"/>
        <v>65871.077775514539</v>
      </c>
      <c r="AM23" s="9">
        <f t="shared" si="19"/>
        <v>75093.028664086567</v>
      </c>
      <c r="AN23" s="9">
        <f t="shared" si="19"/>
        <v>85606.052677058673</v>
      </c>
      <c r="AO23" s="9">
        <f t="shared" si="19"/>
        <v>97590.900051846882</v>
      </c>
      <c r="AP23" s="9">
        <f t="shared" si="19"/>
        <v>111253.62605910543</v>
      </c>
      <c r="AQ23" s="9">
        <f t="shared" si="19"/>
        <v>126829.13370738018</v>
      </c>
      <c r="AR23" s="9">
        <f t="shared" si="19"/>
        <v>144585.2124264134</v>
      </c>
      <c r="AS23" s="9">
        <f t="shared" si="19"/>
        <v>164827.14216611127</v>
      </c>
      <c r="AT23" s="9">
        <f t="shared" si="19"/>
        <v>187902.94206936684</v>
      </c>
      <c r="AU23" s="9">
        <f t="shared" si="19"/>
        <v>214209.35395907817</v>
      </c>
      <c r="AV23" s="9">
        <f t="shared" si="19"/>
        <v>244198.66351334911</v>
      </c>
      <c r="AW23" s="9">
        <f t="shared" si="19"/>
        <v>278386.47640521795</v>
      </c>
      <c r="AX23" s="9">
        <f t="shared" si="19"/>
        <v>317360.58310194843</v>
      </c>
      <c r="AY23" s="9">
        <f t="shared" si="19"/>
        <v>361791.06473622116</v>
      </c>
    </row>
    <row r="24" spans="2:51" s="2" customFormat="1" x14ac:dyDescent="0.2">
      <c r="B24" s="2" t="s">
        <v>36</v>
      </c>
      <c r="C24" s="11">
        <v>2870.614</v>
      </c>
      <c r="D24" s="11">
        <v>3005.6570000000002</v>
      </c>
      <c r="E24" s="11">
        <v>3097.9189999999999</v>
      </c>
      <c r="F24" s="11">
        <v>3466.0230000000001</v>
      </c>
      <c r="G24" s="11">
        <v>3599.701</v>
      </c>
      <c r="H24" s="11">
        <v>3643.7069999999999</v>
      </c>
      <c r="I24" s="11">
        <v>3867.7510000000002</v>
      </c>
      <c r="J24" s="11">
        <v>4165.16</v>
      </c>
      <c r="K24" s="11">
        <v>3868.511</v>
      </c>
      <c r="L24" s="11">
        <v>4018.0079999999998</v>
      </c>
      <c r="M24" s="11">
        <v>4206.5889999999999</v>
      </c>
      <c r="N24" s="11">
        <v>5239.5749999999998</v>
      </c>
      <c r="O24" s="11">
        <v>4284.7049999999999</v>
      </c>
      <c r="P24" s="11">
        <v>4690.7550000000001</v>
      </c>
      <c r="Q24" s="11">
        <v>4788.665</v>
      </c>
      <c r="R24" s="11">
        <v>5404.16</v>
      </c>
      <c r="S24" s="11">
        <v>4803.625</v>
      </c>
      <c r="T24" s="11">
        <v>4673.47</v>
      </c>
      <c r="U24" s="11">
        <v>4930.7879999999996</v>
      </c>
      <c r="V24" s="11">
        <v>5119.884</v>
      </c>
      <c r="W24" s="11">
        <v>4977.0730000000003</v>
      </c>
      <c r="X24" s="11">
        <v>5174.143</v>
      </c>
      <c r="Y24" s="11">
        <v>5119.884</v>
      </c>
      <c r="Z24" s="11">
        <v>5767.3639999999996</v>
      </c>
      <c r="AA24" s="2">
        <f>AA23-AA25</f>
        <v>6088.9119119999996</v>
      </c>
      <c r="AB24" s="2">
        <f t="shared" ref="AB24:AD24" si="20">AB23-AB25</f>
        <v>6211.6396379999987</v>
      </c>
      <c r="AC24" s="2">
        <f t="shared" si="20"/>
        <v>6384.0920093999994</v>
      </c>
      <c r="AD24" s="2">
        <f t="shared" si="20"/>
        <v>6658.1841474000003</v>
      </c>
      <c r="AH24" s="2">
        <f t="shared" ref="AH24:AI24" si="21">AH23-AH25</f>
        <v>22230.550620000002</v>
      </c>
      <c r="AI24" s="2">
        <f t="shared" si="21"/>
        <v>25342.827706799999</v>
      </c>
      <c r="AJ24" s="2">
        <f t="shared" ref="AJ24" si="22">AJ23-AJ25</f>
        <v>28890.823585751994</v>
      </c>
      <c r="AK24" s="2">
        <f t="shared" ref="AK24" si="23">AK23-AK25</f>
        <v>32935.53888775727</v>
      </c>
      <c r="AL24" s="2">
        <f t="shared" ref="AL24" si="24">AL23-AL25</f>
        <v>37546.514332043284</v>
      </c>
      <c r="AM24" s="2">
        <f t="shared" ref="AM24" si="25">AM23-AM25</f>
        <v>42803.026338529344</v>
      </c>
      <c r="AN24" s="2">
        <f t="shared" ref="AN24" si="26">AN23-AN25</f>
        <v>48795.450025923441</v>
      </c>
      <c r="AO24" s="2">
        <f t="shared" ref="AO24" si="27">AO23-AO25</f>
        <v>55626.813029552723</v>
      </c>
      <c r="AP24" s="2">
        <f t="shared" ref="AP24" si="28">AP23-AP25</f>
        <v>63414.566853690099</v>
      </c>
      <c r="AQ24" s="2">
        <f t="shared" ref="AQ24" si="29">AQ23-AQ25</f>
        <v>72292.606213206716</v>
      </c>
      <c r="AR24" s="2">
        <f t="shared" ref="AR24" si="30">AR23-AR25</f>
        <v>82413.571083055635</v>
      </c>
      <c r="AS24" s="2">
        <f t="shared" ref="AS24" si="31">AS23-AS25</f>
        <v>93951.471034683418</v>
      </c>
      <c r="AT24" s="2">
        <f t="shared" ref="AT24" si="32">AT23-AT25</f>
        <v>107104.6769795391</v>
      </c>
      <c r="AU24" s="2">
        <f t="shared" ref="AU24" si="33">AU23-AU25</f>
        <v>122099.33175667455</v>
      </c>
      <c r="AV24" s="2">
        <f t="shared" ref="AV24" si="34">AV23-AV25</f>
        <v>139193.23820260901</v>
      </c>
      <c r="AW24" s="2">
        <f t="shared" ref="AW24" si="35">AW23-AW25</f>
        <v>158680.29155097425</v>
      </c>
      <c r="AX24" s="2">
        <f t="shared" ref="AX24" si="36">AX23-AX25</f>
        <v>180895.53236811061</v>
      </c>
      <c r="AY24" s="2">
        <f t="shared" ref="AY24" si="37">AY23-AY25</f>
        <v>206220.90689964607</v>
      </c>
    </row>
    <row r="25" spans="2:51" s="9" customFormat="1" x14ac:dyDescent="0.2">
      <c r="B25" s="9" t="s">
        <v>37</v>
      </c>
      <c r="C25" s="10">
        <f>C23-C24</f>
        <v>1650.3780000000002</v>
      </c>
      <c r="D25" s="10">
        <f>D23-D24</f>
        <v>1917.4589999999998</v>
      </c>
      <c r="E25" s="10">
        <f>E23-E24</f>
        <v>2146.9859999999999</v>
      </c>
      <c r="F25" s="10">
        <f>F23-F24</f>
        <v>2001.4110000000001</v>
      </c>
      <c r="G25" s="10">
        <f>G23-G24</f>
        <v>2167.9899999999998</v>
      </c>
      <c r="H25" s="10">
        <f>H23-H24</f>
        <v>2504.5790000000002</v>
      </c>
      <c r="I25" s="10">
        <f>I23-I24</f>
        <v>2567.8859999999995</v>
      </c>
      <c r="J25" s="10">
        <f>J23-J24</f>
        <v>2479.2820000000002</v>
      </c>
      <c r="K25" s="10">
        <f>K23-K24</f>
        <v>3294.7710000000002</v>
      </c>
      <c r="L25" s="10">
        <f>L23-L24</f>
        <v>3323.7690000000002</v>
      </c>
      <c r="M25" s="10">
        <f>M23-M24</f>
        <v>3276.8779999999997</v>
      </c>
      <c r="N25" s="10">
        <f>N23-N24</f>
        <v>2469.7430000000004</v>
      </c>
      <c r="O25" s="10">
        <f>O23-O24</f>
        <v>3583.0619999999999</v>
      </c>
      <c r="P25" s="10">
        <f>P23-P24</f>
        <v>3279.3859999999995</v>
      </c>
      <c r="Q25" s="10">
        <f>Q23-Q24</f>
        <v>3136.924</v>
      </c>
      <c r="R25" s="10">
        <f>R23-R24</f>
        <v>2447.893</v>
      </c>
      <c r="S25" s="10">
        <f>S23-S24</f>
        <v>3357.8779999999997</v>
      </c>
      <c r="T25" s="10">
        <f>T23-T24</f>
        <v>3513.8310000000001</v>
      </c>
      <c r="U25" s="10">
        <f>U23-U24</f>
        <v>3610.88</v>
      </c>
      <c r="V25" s="10">
        <f>V23-V24</f>
        <v>4704.8189999999995</v>
      </c>
      <c r="W25" s="10">
        <f>W23-W24</f>
        <v>4393.3670000000002</v>
      </c>
      <c r="X25" s="10">
        <f>X23-X24</f>
        <v>4385.1669999999995</v>
      </c>
      <c r="Y25" s="10">
        <f>Y23-Y24</f>
        <v>4704.8189999999995</v>
      </c>
      <c r="Z25" s="10">
        <f>Z23-Z24</f>
        <v>4479.1490000000013</v>
      </c>
      <c r="AA25" s="9">
        <f>AA23*0.43</f>
        <v>4593.3896879999993</v>
      </c>
      <c r="AB25" s="9">
        <f t="shared" ref="AB25:AD25" si="38">AB23*0.43</f>
        <v>4685.9737619999996</v>
      </c>
      <c r="AC25" s="9">
        <f t="shared" si="38"/>
        <v>4816.0694105999992</v>
      </c>
      <c r="AD25" s="9">
        <f t="shared" si="38"/>
        <v>5022.8406726000003</v>
      </c>
      <c r="AH25" s="9">
        <f t="shared" ref="AH25:AY25" si="39">AH23*0.43</f>
        <v>16770.415379999999</v>
      </c>
      <c r="AI25" s="9">
        <f t="shared" si="39"/>
        <v>19118.273533199997</v>
      </c>
      <c r="AJ25" s="9">
        <f t="shared" si="39"/>
        <v>21794.831827847996</v>
      </c>
      <c r="AK25" s="9">
        <f t="shared" si="39"/>
        <v>24846.108283746711</v>
      </c>
      <c r="AL25" s="9">
        <f t="shared" si="39"/>
        <v>28324.563443471252</v>
      </c>
      <c r="AM25" s="9">
        <f t="shared" si="39"/>
        <v>32290.002325557223</v>
      </c>
      <c r="AN25" s="9">
        <f t="shared" si="39"/>
        <v>36810.602651135232</v>
      </c>
      <c r="AO25" s="9">
        <f t="shared" si="39"/>
        <v>41964.087022294159</v>
      </c>
      <c r="AP25" s="9">
        <f t="shared" si="39"/>
        <v>47839.059205415331</v>
      </c>
      <c r="AQ25" s="9">
        <f t="shared" si="39"/>
        <v>54536.527494173475</v>
      </c>
      <c r="AR25" s="9">
        <f t="shared" si="39"/>
        <v>62171.641343357762</v>
      </c>
      <c r="AS25" s="9">
        <f t="shared" si="39"/>
        <v>70875.671131427851</v>
      </c>
      <c r="AT25" s="9">
        <f t="shared" si="39"/>
        <v>80798.265089827735</v>
      </c>
      <c r="AU25" s="9">
        <f t="shared" si="39"/>
        <v>92110.022202403619</v>
      </c>
      <c r="AV25" s="9">
        <f t="shared" si="39"/>
        <v>105005.42531074012</v>
      </c>
      <c r="AW25" s="9">
        <f t="shared" si="39"/>
        <v>119706.18485424372</v>
      </c>
      <c r="AX25" s="9">
        <f t="shared" si="39"/>
        <v>136465.05073383782</v>
      </c>
      <c r="AY25" s="9">
        <f t="shared" si="39"/>
        <v>155570.15783657509</v>
      </c>
    </row>
    <row r="26" spans="2:51" s="12" customFormat="1" x14ac:dyDescent="0.2">
      <c r="B26" s="12" t="s">
        <v>50</v>
      </c>
      <c r="C26" s="13">
        <v>616.57799999999997</v>
      </c>
      <c r="D26" s="13">
        <v>603.15</v>
      </c>
      <c r="E26" s="13">
        <v>553.79700000000003</v>
      </c>
      <c r="F26" s="13">
        <v>878.93700000000001</v>
      </c>
      <c r="G26" s="13">
        <v>503.83</v>
      </c>
      <c r="H26" s="13">
        <v>434.37</v>
      </c>
      <c r="I26" s="13">
        <v>527.59699999999998</v>
      </c>
      <c r="J26" s="13">
        <v>762.56500000000005</v>
      </c>
      <c r="K26" s="13">
        <v>512.51199999999994</v>
      </c>
      <c r="L26" s="13">
        <v>603.97299999999996</v>
      </c>
      <c r="M26" s="13">
        <v>635.94799999999998</v>
      </c>
      <c r="N26" s="13">
        <v>792.71299999999997</v>
      </c>
      <c r="O26" s="13">
        <v>555.97799999999995</v>
      </c>
      <c r="P26" s="13">
        <v>574.96</v>
      </c>
      <c r="Q26" s="13">
        <v>567.95399999999995</v>
      </c>
      <c r="R26" s="13">
        <v>831.61</v>
      </c>
      <c r="S26" s="13">
        <v>555.36199999999997</v>
      </c>
      <c r="T26" s="13">
        <v>627.16800000000001</v>
      </c>
      <c r="U26" s="13">
        <v>558.73599999999999</v>
      </c>
      <c r="V26" s="13">
        <v>642.92600000000004</v>
      </c>
      <c r="W26" s="13">
        <v>654.34</v>
      </c>
      <c r="X26" s="13">
        <v>644.08399999999995</v>
      </c>
      <c r="Y26" s="13">
        <v>642.92600000000004</v>
      </c>
      <c r="Z26" s="13">
        <v>976.20399999999995</v>
      </c>
      <c r="AA26" s="12">
        <f>W26*1.09</f>
        <v>713.23060000000009</v>
      </c>
      <c r="AB26" s="12">
        <f t="shared" ref="AB26:AD26" si="40">X26*1.09</f>
        <v>702.05155999999999</v>
      </c>
      <c r="AC26" s="12">
        <f t="shared" si="40"/>
        <v>700.78934000000015</v>
      </c>
      <c r="AD26" s="12">
        <f t="shared" si="40"/>
        <v>1064.0623600000001</v>
      </c>
      <c r="AH26" s="9">
        <f t="shared" ref="AH26:AH28" si="41">SUM(W26:Z26)</f>
        <v>2917.5540000000001</v>
      </c>
      <c r="AI26" s="9">
        <f t="shared" ref="AI26:AI28" si="42">SUM(AA26:AD26)</f>
        <v>3180.1338600000008</v>
      </c>
      <c r="AJ26" s="12">
        <f>AI26*1.1</f>
        <v>3498.1472460000014</v>
      </c>
      <c r="AK26" s="12">
        <f t="shared" ref="AK26:AY26" si="43">AJ26*1.1</f>
        <v>3847.9619706000017</v>
      </c>
      <c r="AL26" s="12">
        <f t="shared" si="43"/>
        <v>4232.7581676600021</v>
      </c>
      <c r="AM26" s="12">
        <f t="shared" si="43"/>
        <v>4656.0339844260025</v>
      </c>
      <c r="AN26" s="12">
        <f t="shared" si="43"/>
        <v>5121.6373828686028</v>
      </c>
      <c r="AO26" s="12">
        <f t="shared" si="43"/>
        <v>5633.801121155464</v>
      </c>
      <c r="AP26" s="12">
        <f t="shared" si="43"/>
        <v>6197.1812332710106</v>
      </c>
      <c r="AQ26" s="12">
        <f t="shared" si="43"/>
        <v>6816.8993565981118</v>
      </c>
      <c r="AR26" s="12">
        <f t="shared" si="43"/>
        <v>7498.5892922579233</v>
      </c>
      <c r="AS26" s="12">
        <f t="shared" si="43"/>
        <v>8248.4482214837171</v>
      </c>
      <c r="AT26" s="12">
        <f t="shared" si="43"/>
        <v>9073.2930436320894</v>
      </c>
      <c r="AU26" s="12">
        <f t="shared" si="43"/>
        <v>9980.6223479952987</v>
      </c>
      <c r="AV26" s="12">
        <f t="shared" si="43"/>
        <v>10978.684582794829</v>
      </c>
      <c r="AW26" s="12">
        <f t="shared" si="43"/>
        <v>12076.553041074312</v>
      </c>
      <c r="AX26" s="12">
        <f t="shared" si="43"/>
        <v>13284.208345181745</v>
      </c>
      <c r="AY26" s="12">
        <f t="shared" si="43"/>
        <v>14612.629179699921</v>
      </c>
    </row>
    <row r="27" spans="2:51" s="2" customFormat="1" x14ac:dyDescent="0.2">
      <c r="B27" s="2" t="s">
        <v>38</v>
      </c>
      <c r="C27" s="11">
        <v>372.76400000000001</v>
      </c>
      <c r="D27" s="11">
        <v>383.33300000000003</v>
      </c>
      <c r="E27" s="11">
        <v>379.77600000000001</v>
      </c>
      <c r="F27" s="11">
        <v>409.37599999999998</v>
      </c>
      <c r="G27" s="11">
        <v>453.81700000000001</v>
      </c>
      <c r="H27" s="11">
        <v>435.04500000000002</v>
      </c>
      <c r="I27" s="11">
        <v>453.80200000000002</v>
      </c>
      <c r="J27" s="11">
        <v>486.93599999999998</v>
      </c>
      <c r="K27" s="11">
        <v>525.20699999999999</v>
      </c>
      <c r="L27" s="11">
        <v>537.32100000000003</v>
      </c>
      <c r="M27" s="11">
        <v>563.88699999999994</v>
      </c>
      <c r="N27" s="11">
        <v>647.47</v>
      </c>
      <c r="O27" s="11">
        <v>657.53</v>
      </c>
      <c r="P27" s="11">
        <v>716.846</v>
      </c>
      <c r="Q27" s="11">
        <v>662.73900000000003</v>
      </c>
      <c r="R27" s="11">
        <v>673.92600000000004</v>
      </c>
      <c r="S27" s="11">
        <v>687.27499999999998</v>
      </c>
      <c r="T27" s="11">
        <v>657.98299999999995</v>
      </c>
      <c r="U27" s="11">
        <v>657.15899999999999</v>
      </c>
      <c r="V27" s="11">
        <v>735.06299999999999</v>
      </c>
      <c r="W27" s="11">
        <v>702.47299999999996</v>
      </c>
      <c r="X27" s="11">
        <v>711.25400000000002</v>
      </c>
      <c r="Y27" s="11">
        <v>735.06299999999999</v>
      </c>
      <c r="Z27" s="11">
        <v>776.505</v>
      </c>
      <c r="AA27" s="2">
        <f>W27*1.05</f>
        <v>737.59664999999995</v>
      </c>
      <c r="AB27" s="2">
        <f t="shared" ref="AB27:AD27" si="44">X27*1.05</f>
        <v>746.81670000000008</v>
      </c>
      <c r="AC27" s="2">
        <f t="shared" si="44"/>
        <v>771.81614999999999</v>
      </c>
      <c r="AD27" s="2">
        <f t="shared" si="44"/>
        <v>815.33024999999998</v>
      </c>
      <c r="AH27" s="9">
        <f t="shared" si="41"/>
        <v>2925.2950000000001</v>
      </c>
      <c r="AI27" s="9">
        <f t="shared" si="42"/>
        <v>3071.5597499999999</v>
      </c>
      <c r="AJ27" s="2">
        <f>AI27*1.05</f>
        <v>3225.1377375000002</v>
      </c>
      <c r="AK27" s="2">
        <f t="shared" ref="AK27:AY27" si="45">AJ27*1.05</f>
        <v>3386.3946243750001</v>
      </c>
      <c r="AL27" s="2">
        <f t="shared" si="45"/>
        <v>3555.7143555937505</v>
      </c>
      <c r="AM27" s="2">
        <f t="shared" si="45"/>
        <v>3733.5000733734382</v>
      </c>
      <c r="AN27" s="2">
        <f t="shared" si="45"/>
        <v>3920.1750770421104</v>
      </c>
      <c r="AO27" s="2">
        <f t="shared" si="45"/>
        <v>4116.183830894216</v>
      </c>
      <c r="AP27" s="2">
        <f t="shared" si="45"/>
        <v>4321.9930224389273</v>
      </c>
      <c r="AQ27" s="2">
        <f t="shared" si="45"/>
        <v>4538.0926735608737</v>
      </c>
      <c r="AR27" s="2">
        <f t="shared" si="45"/>
        <v>4764.9973072389175</v>
      </c>
      <c r="AS27" s="2">
        <f t="shared" si="45"/>
        <v>5003.2471726008635</v>
      </c>
      <c r="AT27" s="2">
        <f t="shared" si="45"/>
        <v>5253.4095312309064</v>
      </c>
      <c r="AU27" s="2">
        <f t="shared" si="45"/>
        <v>5516.0800077924523</v>
      </c>
      <c r="AV27" s="2">
        <f t="shared" si="45"/>
        <v>5791.8840081820754</v>
      </c>
      <c r="AW27" s="2">
        <f t="shared" si="45"/>
        <v>6081.4782085911793</v>
      </c>
      <c r="AX27" s="2">
        <f t="shared" si="45"/>
        <v>6385.5521190207382</v>
      </c>
      <c r="AY27" s="2">
        <f t="shared" si="45"/>
        <v>6704.8297249717752</v>
      </c>
    </row>
    <row r="28" spans="2:51" s="2" customFormat="1" x14ac:dyDescent="0.2">
      <c r="B28" s="9" t="s">
        <v>39</v>
      </c>
      <c r="C28" s="11">
        <v>201.952</v>
      </c>
      <c r="D28" s="11">
        <v>224.65700000000001</v>
      </c>
      <c r="E28" s="11">
        <v>233.17400000000001</v>
      </c>
      <c r="F28" s="11">
        <v>254.58600000000001</v>
      </c>
      <c r="G28" s="11">
        <v>252.08699999999999</v>
      </c>
      <c r="H28" s="11">
        <v>277.23599999999999</v>
      </c>
      <c r="I28" s="11">
        <v>271.62400000000002</v>
      </c>
      <c r="J28" s="11">
        <v>275.53899999999999</v>
      </c>
      <c r="K28" s="11">
        <v>297.19600000000003</v>
      </c>
      <c r="L28" s="11">
        <v>334.84500000000003</v>
      </c>
      <c r="M28" s="11">
        <v>321.79000000000002</v>
      </c>
      <c r="N28" s="11">
        <v>397.79</v>
      </c>
      <c r="O28" s="11">
        <v>397.928</v>
      </c>
      <c r="P28" s="11">
        <v>409.29700000000003</v>
      </c>
      <c r="Q28" s="11">
        <v>373.21300000000002</v>
      </c>
      <c r="R28" s="11">
        <v>392.45299999999997</v>
      </c>
      <c r="S28" s="11">
        <v>400.92399999999998</v>
      </c>
      <c r="T28" s="11">
        <v>401.49700000000001</v>
      </c>
      <c r="U28" s="11">
        <v>478.59100000000001</v>
      </c>
      <c r="V28" s="11">
        <v>417.35300000000001</v>
      </c>
      <c r="W28" s="11">
        <v>404.02</v>
      </c>
      <c r="X28" s="11">
        <v>426.99200000000002</v>
      </c>
      <c r="Y28" s="11">
        <v>417.35300000000001</v>
      </c>
      <c r="Z28" s="11">
        <v>453.67399999999998</v>
      </c>
      <c r="AA28" s="2">
        <f>W28*1.05</f>
        <v>424.221</v>
      </c>
      <c r="AB28" s="2">
        <f t="shared" ref="AB28" si="46">X28*1.05</f>
        <v>448.34160000000003</v>
      </c>
      <c r="AC28" s="2">
        <f t="shared" ref="AC28" si="47">Y28*1.05</f>
        <v>438.22065000000003</v>
      </c>
      <c r="AD28" s="2">
        <f t="shared" ref="AD28" si="48">Z28*1.05</f>
        <v>476.35770000000002</v>
      </c>
      <c r="AH28" s="9">
        <f t="shared" si="41"/>
        <v>1702.039</v>
      </c>
      <c r="AI28" s="9">
        <f t="shared" si="42"/>
        <v>1787.14095</v>
      </c>
      <c r="AJ28" s="2">
        <f>AI28*1.05</f>
        <v>1876.4979975000001</v>
      </c>
      <c r="AK28" s="2">
        <f t="shared" ref="AK28:AY28" si="49">AJ28*1.05</f>
        <v>1970.3228973750001</v>
      </c>
      <c r="AL28" s="2">
        <f t="shared" si="49"/>
        <v>2068.8390422437501</v>
      </c>
      <c r="AM28" s="2">
        <f t="shared" si="49"/>
        <v>2172.2809943559378</v>
      </c>
      <c r="AN28" s="2">
        <f t="shared" si="49"/>
        <v>2280.8950440737349</v>
      </c>
      <c r="AO28" s="2">
        <f t="shared" si="49"/>
        <v>2394.9397962774219</v>
      </c>
      <c r="AP28" s="2">
        <f t="shared" si="49"/>
        <v>2514.686786091293</v>
      </c>
      <c r="AQ28" s="2">
        <f t="shared" si="49"/>
        <v>2640.4211253958579</v>
      </c>
      <c r="AR28" s="2">
        <f t="shared" si="49"/>
        <v>2772.4421816656509</v>
      </c>
      <c r="AS28" s="2">
        <f t="shared" si="49"/>
        <v>2911.0642907489337</v>
      </c>
      <c r="AT28" s="2">
        <f t="shared" si="49"/>
        <v>3056.6175052863805</v>
      </c>
      <c r="AU28" s="2">
        <f t="shared" si="49"/>
        <v>3209.4483805506998</v>
      </c>
      <c r="AV28" s="2">
        <f t="shared" si="49"/>
        <v>3369.9207995782349</v>
      </c>
      <c r="AW28" s="2">
        <f t="shared" si="49"/>
        <v>3538.4168395571469</v>
      </c>
      <c r="AX28" s="2">
        <f t="shared" si="49"/>
        <v>3715.3376815350043</v>
      </c>
      <c r="AY28" s="2">
        <f t="shared" si="49"/>
        <v>3901.1045656117549</v>
      </c>
    </row>
    <row r="29" spans="2:51" s="2" customFormat="1" x14ac:dyDescent="0.2">
      <c r="B29" s="2" t="s">
        <v>40</v>
      </c>
      <c r="C29" s="11">
        <f>SUM(C26:C28)</f>
        <v>1191.2939999999999</v>
      </c>
      <c r="D29" s="11">
        <f>SUM(D26:D28)</f>
        <v>1211.1399999999999</v>
      </c>
      <c r="E29" s="11">
        <f>SUM(E26:E28)</f>
        <v>1166.7470000000001</v>
      </c>
      <c r="F29" s="11">
        <f>SUM(F26:F28)</f>
        <v>1542.8990000000001</v>
      </c>
      <c r="G29" s="11">
        <f>SUM(G26:G28)</f>
        <v>1209.7339999999999</v>
      </c>
      <c r="H29" s="11">
        <f>SUM(H26:H28)</f>
        <v>1146.6509999999998</v>
      </c>
      <c r="I29" s="11">
        <f>SUM(I26:I28)</f>
        <v>1253.0230000000001</v>
      </c>
      <c r="J29" s="11">
        <f>SUM(J26:J28)</f>
        <v>1525.04</v>
      </c>
      <c r="K29" s="11">
        <f>SUM(K26:K28)</f>
        <v>1334.915</v>
      </c>
      <c r="L29" s="11">
        <f>SUM(L26:L28)</f>
        <v>1476.1389999999999</v>
      </c>
      <c r="M29" s="11">
        <f>SUM(M26:M28)</f>
        <v>1521.625</v>
      </c>
      <c r="N29" s="11">
        <f>SUM(N26:N28)</f>
        <v>1837.973</v>
      </c>
      <c r="O29" s="11">
        <f>SUM(O26:O28)</f>
        <v>1611.4359999999997</v>
      </c>
      <c r="P29" s="11">
        <f>SUM(P26:P28)</f>
        <v>1701.1030000000001</v>
      </c>
      <c r="Q29" s="11">
        <f>SUM(Q26:Q28)</f>
        <v>1603.9059999999999</v>
      </c>
      <c r="R29" s="11">
        <f>SUM(R26:R28)</f>
        <v>1897.989</v>
      </c>
      <c r="S29" s="11">
        <f>SUM(S26:S28)</f>
        <v>1643.5609999999999</v>
      </c>
      <c r="T29" s="11">
        <f>SUM(T26:T28)</f>
        <v>1686.6479999999999</v>
      </c>
      <c r="U29" s="11">
        <f>SUM(U26:U28)</f>
        <v>1694.4859999999999</v>
      </c>
      <c r="V29" s="11">
        <f>SUM(V26:V28)</f>
        <v>1795.3420000000001</v>
      </c>
      <c r="W29" s="11">
        <f>SUM(W26:W28)</f>
        <v>1760.8330000000001</v>
      </c>
      <c r="X29" s="11">
        <f>SUM(X26:X28)</f>
        <v>1782.33</v>
      </c>
      <c r="Y29" s="11">
        <f>SUM(Y26:Y28)</f>
        <v>1795.3420000000001</v>
      </c>
      <c r="Z29" s="11">
        <f>SUM(Z26:Z28)</f>
        <v>2206.3829999999998</v>
      </c>
      <c r="AA29" s="11">
        <f t="shared" ref="AA29:AD29" si="50">SUM(AA26:AA28)</f>
        <v>1875.0482500000001</v>
      </c>
      <c r="AB29" s="11">
        <f t="shared" si="50"/>
        <v>1897.2098600000002</v>
      </c>
      <c r="AC29" s="11">
        <f t="shared" si="50"/>
        <v>1910.8261400000001</v>
      </c>
      <c r="AD29" s="11">
        <f t="shared" si="50"/>
        <v>2355.7503100000004</v>
      </c>
      <c r="AH29" s="11">
        <f t="shared" ref="AH29:AI29" si="51">SUM(AH26:AH28)</f>
        <v>7544.8879999999999</v>
      </c>
      <c r="AI29" s="11">
        <f t="shared" si="51"/>
        <v>8038.8345600000002</v>
      </c>
      <c r="AJ29" s="11">
        <f t="shared" ref="AJ29" si="52">SUM(AJ26:AJ28)</f>
        <v>8599.7829810000021</v>
      </c>
      <c r="AK29" s="11">
        <f t="shared" ref="AK29" si="53">SUM(AK26:AK28)</f>
        <v>9204.679492350002</v>
      </c>
      <c r="AL29" s="11">
        <f t="shared" ref="AL29" si="54">SUM(AL26:AL28)</f>
        <v>9857.3115654975027</v>
      </c>
      <c r="AM29" s="11">
        <f t="shared" ref="AM29" si="55">SUM(AM26:AM28)</f>
        <v>10561.81505215538</v>
      </c>
      <c r="AN29" s="11">
        <f t="shared" ref="AN29" si="56">SUM(AN26:AN28)</f>
        <v>11322.707503984449</v>
      </c>
      <c r="AO29" s="11">
        <f t="shared" ref="AO29" si="57">SUM(AO26:AO28)</f>
        <v>12144.924748327101</v>
      </c>
      <c r="AP29" s="11">
        <f t="shared" ref="AP29" si="58">SUM(AP26:AP28)</f>
        <v>13033.861041801232</v>
      </c>
      <c r="AQ29" s="11">
        <f t="shared" ref="AQ29" si="59">SUM(AQ26:AQ28)</f>
        <v>13995.413155554843</v>
      </c>
      <c r="AR29" s="11">
        <f t="shared" ref="AR29" si="60">SUM(AR26:AR28)</f>
        <v>15036.028781162491</v>
      </c>
      <c r="AS29" s="11">
        <f t="shared" ref="AS29" si="61">SUM(AS26:AS28)</f>
        <v>16162.759684833516</v>
      </c>
      <c r="AT29" s="11">
        <f t="shared" ref="AT29" si="62">SUM(AT26:AT28)</f>
        <v>17383.320080149377</v>
      </c>
      <c r="AU29" s="11">
        <f t="shared" ref="AU29" si="63">SUM(AU26:AU28)</f>
        <v>18706.150736338452</v>
      </c>
      <c r="AV29" s="11">
        <f t="shared" ref="AV29" si="64">SUM(AV26:AV28)</f>
        <v>20140.48939055514</v>
      </c>
      <c r="AW29" s="11">
        <f t="shared" ref="AW29" si="65">SUM(AW26:AW28)</f>
        <v>21696.448089222638</v>
      </c>
      <c r="AX29" s="11">
        <f t="shared" ref="AX29" si="66">SUM(AX26:AX28)</f>
        <v>23385.098145737487</v>
      </c>
      <c r="AY29" s="11">
        <f t="shared" ref="AY29" si="67">SUM(AY26:AY28)</f>
        <v>25218.56347028345</v>
      </c>
    </row>
    <row r="30" spans="2:51" s="9" customFormat="1" x14ac:dyDescent="0.2">
      <c r="B30" s="9" t="s">
        <v>41</v>
      </c>
      <c r="C30" s="10">
        <f>C25-C29</f>
        <v>459.08400000000029</v>
      </c>
      <c r="D30" s="10">
        <f>D25-D29</f>
        <v>706.31899999999996</v>
      </c>
      <c r="E30" s="10">
        <f>E25-E29</f>
        <v>980.23899999999981</v>
      </c>
      <c r="F30" s="10">
        <f>F25-F29</f>
        <v>458.51199999999994</v>
      </c>
      <c r="G30" s="10">
        <f>G25-G29</f>
        <v>958.25599999999986</v>
      </c>
      <c r="H30" s="10">
        <f>H25-H29</f>
        <v>1357.9280000000003</v>
      </c>
      <c r="I30" s="10">
        <f>I25-I29</f>
        <v>1314.8629999999994</v>
      </c>
      <c r="J30" s="10">
        <f>J25-J29</f>
        <v>954.24200000000019</v>
      </c>
      <c r="K30" s="10">
        <f>K25-K29</f>
        <v>1959.8560000000002</v>
      </c>
      <c r="L30" s="10">
        <f>L25-L29</f>
        <v>1847.6300000000003</v>
      </c>
      <c r="M30" s="10">
        <f>M25-M29</f>
        <v>1755.2529999999997</v>
      </c>
      <c r="N30" s="10">
        <f>N25-N29</f>
        <v>631.77000000000044</v>
      </c>
      <c r="O30" s="10">
        <f>O25-O29</f>
        <v>1971.6260000000002</v>
      </c>
      <c r="P30" s="10">
        <f>P25-P29</f>
        <v>1578.2829999999994</v>
      </c>
      <c r="Q30" s="10">
        <f>Q25-Q29</f>
        <v>1533.018</v>
      </c>
      <c r="R30" s="10">
        <f>R25-R29</f>
        <v>549.904</v>
      </c>
      <c r="S30" s="10">
        <f>S25-S29</f>
        <v>1714.3169999999998</v>
      </c>
      <c r="T30" s="10">
        <f>T25-T29</f>
        <v>1827.1830000000002</v>
      </c>
      <c r="U30" s="10">
        <f>U25-U29</f>
        <v>1916.3940000000002</v>
      </c>
      <c r="V30" s="10">
        <f>V25-V29</f>
        <v>2909.4769999999994</v>
      </c>
      <c r="W30" s="10">
        <f>W25-W29</f>
        <v>2632.5340000000001</v>
      </c>
      <c r="X30" s="10">
        <f>X25-X29</f>
        <v>2602.8369999999995</v>
      </c>
      <c r="Y30" s="10">
        <f>Y25-Y29</f>
        <v>2909.4769999999994</v>
      </c>
      <c r="Z30" s="10">
        <f>Z25-Z29</f>
        <v>2272.7660000000014</v>
      </c>
      <c r="AA30" s="10">
        <f t="shared" ref="AA30:AD30" si="68">AA25-AA29</f>
        <v>2718.3414379999995</v>
      </c>
      <c r="AB30" s="10">
        <f t="shared" si="68"/>
        <v>2788.7639019999997</v>
      </c>
      <c r="AC30" s="10">
        <f t="shared" si="68"/>
        <v>2905.2432705999991</v>
      </c>
      <c r="AD30" s="10">
        <f t="shared" si="68"/>
        <v>2667.0903625999999</v>
      </c>
      <c r="AH30" s="10">
        <f t="shared" ref="AH30:AI30" si="69">AH25-AH29</f>
        <v>9225.5273799999995</v>
      </c>
      <c r="AI30" s="10">
        <f t="shared" si="69"/>
        <v>11079.438973199998</v>
      </c>
      <c r="AJ30" s="10">
        <f t="shared" ref="AJ30" si="70">AJ25-AJ29</f>
        <v>13195.048846847994</v>
      </c>
      <c r="AK30" s="10">
        <f t="shared" ref="AK30" si="71">AK25-AK29</f>
        <v>15641.428791396709</v>
      </c>
      <c r="AL30" s="10">
        <f t="shared" ref="AL30" si="72">AL25-AL29</f>
        <v>18467.251877973751</v>
      </c>
      <c r="AM30" s="10">
        <f t="shared" ref="AM30" si="73">AM25-AM29</f>
        <v>21728.187273401843</v>
      </c>
      <c r="AN30" s="10">
        <f t="shared" ref="AN30" si="74">AN25-AN29</f>
        <v>25487.895147150783</v>
      </c>
      <c r="AO30" s="10">
        <f t="shared" ref="AO30" si="75">AO25-AO29</f>
        <v>29819.162273967057</v>
      </c>
      <c r="AP30" s="10">
        <f t="shared" ref="AP30" si="76">AP25-AP29</f>
        <v>34805.198163614099</v>
      </c>
      <c r="AQ30" s="10">
        <f t="shared" ref="AQ30" si="77">AQ25-AQ29</f>
        <v>40541.11433861863</v>
      </c>
      <c r="AR30" s="10">
        <f t="shared" ref="AR30" si="78">AR25-AR29</f>
        <v>47135.612562195267</v>
      </c>
      <c r="AS30" s="10">
        <f t="shared" ref="AS30" si="79">AS25-AS29</f>
        <v>54712.911446594335</v>
      </c>
      <c r="AT30" s="10">
        <f t="shared" ref="AT30" si="80">AT25-AT29</f>
        <v>63414.945009678355</v>
      </c>
      <c r="AU30" s="10">
        <f t="shared" ref="AU30" si="81">AU25-AU29</f>
        <v>73403.871466065175</v>
      </c>
      <c r="AV30" s="10">
        <f t="shared" ref="AV30" si="82">AV25-AV29</f>
        <v>84864.935920184973</v>
      </c>
      <c r="AW30" s="10">
        <f t="shared" ref="AW30" si="83">AW25-AW29</f>
        <v>98009.73676502108</v>
      </c>
      <c r="AX30" s="10">
        <f t="shared" ref="AX30" si="84">AX25-AX29</f>
        <v>113079.95258810034</v>
      </c>
      <c r="AY30" s="10">
        <f t="shared" ref="AY30" si="85">AY25-AY29</f>
        <v>130351.59436629164</v>
      </c>
    </row>
    <row r="31" spans="2:51" s="2" customFormat="1" x14ac:dyDescent="0.2">
      <c r="B31" s="2" t="s">
        <v>45</v>
      </c>
      <c r="C31" s="11">
        <f>-135.529+76.104</f>
        <v>-59.424999999999997</v>
      </c>
      <c r="D31" s="11">
        <f>-152.033-53.47</f>
        <v>-205.50299999999999</v>
      </c>
      <c r="E31" s="11">
        <f>-160.66+192.744</f>
        <v>32.084000000000003</v>
      </c>
      <c r="F31" s="11">
        <f>-177.801-131.378</f>
        <v>-309.17899999999997</v>
      </c>
      <c r="G31" s="11">
        <f>-184.083+21.697</f>
        <v>-162.386</v>
      </c>
      <c r="H31" s="11">
        <f>-189.151-133.175</f>
        <v>-322.32600000000002</v>
      </c>
      <c r="I31" s="11">
        <f>-197.079-256.324</f>
        <v>-453.40300000000002</v>
      </c>
      <c r="J31" s="11">
        <f>-197.186-250.639</f>
        <v>-447.82500000000005</v>
      </c>
      <c r="K31" s="11">
        <f>-194.44+269.086</f>
        <v>74.646000000000015</v>
      </c>
      <c r="L31" s="11">
        <f>-191.322-62.519</f>
        <v>-253.84100000000001</v>
      </c>
      <c r="M31" s="11">
        <f>-190.426+96.135</f>
        <v>-94.290999999999983</v>
      </c>
      <c r="N31" s="11">
        <f>-189.429+108.512</f>
        <v>-80.917000000000002</v>
      </c>
      <c r="O31" s="11">
        <f>-187.579+195.645</f>
        <v>8.0660000000000025</v>
      </c>
      <c r="P31" s="11">
        <f>-175.455+220.226</f>
        <v>44.770999999999987</v>
      </c>
      <c r="Q31" s="11">
        <f>-172.575+261.404</f>
        <v>88.829000000000008</v>
      </c>
      <c r="R31" s="11">
        <f>-170.603-339.965</f>
        <v>-510.56799999999998</v>
      </c>
      <c r="S31" s="11">
        <f>-174.239-71.204</f>
        <v>-245.44299999999998</v>
      </c>
      <c r="T31" s="11">
        <f>-174.812+26.961</f>
        <v>-147.851</v>
      </c>
      <c r="U31" s="11">
        <f>-175.563+168.218</f>
        <v>-7.3449999999999989</v>
      </c>
      <c r="V31" s="11">
        <f>-184.83-21.693</f>
        <v>-206.52300000000002</v>
      </c>
      <c r="W31" s="11">
        <f>-173.314+155.359</f>
        <v>-17.954999999999984</v>
      </c>
      <c r="X31" s="11">
        <f>-167.986+79.005</f>
        <v>-88.980999999999995</v>
      </c>
      <c r="Y31" s="11">
        <f>-184.83-21.693</f>
        <v>-206.52300000000002</v>
      </c>
      <c r="Z31" s="11">
        <f>-192.603+54.105</f>
        <v>-138.49800000000002</v>
      </c>
      <c r="AJ31" s="2">
        <f>AI62*$BA$38</f>
        <v>-1301.8800000000001</v>
      </c>
      <c r="AK31" s="2">
        <f t="shared" ref="AK31:AY31" si="86">AJ62*$BA$38</f>
        <v>-1200.7880648017922</v>
      </c>
      <c r="AL31" s="2">
        <f t="shared" si="86"/>
        <v>-1078.0426186257353</v>
      </c>
      <c r="AM31" s="2">
        <f t="shared" si="86"/>
        <v>-930.23433992127718</v>
      </c>
      <c r="AN31" s="2">
        <f t="shared" si="86"/>
        <v>-753.45173998669225</v>
      </c>
      <c r="AO31" s="2">
        <f t="shared" si="86"/>
        <v>-543.2089710257975</v>
      </c>
      <c r="AP31" s="2">
        <f t="shared" si="86"/>
        <v>-294.36336795079683</v>
      </c>
      <c r="AQ31" s="2">
        <f t="shared" si="86"/>
        <v>-1.0212721876587603</v>
      </c>
      <c r="AR31" s="2">
        <f t="shared" si="86"/>
        <v>343.56951887700455</v>
      </c>
      <c r="AS31" s="2">
        <f t="shared" si="86"/>
        <v>747.14256656611894</v>
      </c>
      <c r="AT31" s="2">
        <f t="shared" si="86"/>
        <v>1218.5530256779828</v>
      </c>
      <c r="AU31" s="2">
        <f t="shared" si="86"/>
        <v>1767.9377589785115</v>
      </c>
      <c r="AV31" s="2">
        <f t="shared" si="86"/>
        <v>2406.898137391383</v>
      </c>
      <c r="AW31" s="2">
        <f t="shared" si="86"/>
        <v>3148.7087268807823</v>
      </c>
      <c r="AX31" s="2">
        <f t="shared" si="86"/>
        <v>4008.5555135619479</v>
      </c>
      <c r="AY31" s="2">
        <f t="shared" si="86"/>
        <v>5003.8078324260778</v>
      </c>
    </row>
    <row r="32" spans="2:51" s="9" customFormat="1" x14ac:dyDescent="0.2">
      <c r="B32" s="9" t="s">
        <v>46</v>
      </c>
      <c r="C32" s="10">
        <f>C30+C31</f>
        <v>399.65900000000028</v>
      </c>
      <c r="D32" s="10">
        <f>D30+D31</f>
        <v>500.81599999999997</v>
      </c>
      <c r="E32" s="10">
        <f>E30+E31</f>
        <v>1012.3229999999999</v>
      </c>
      <c r="F32" s="10">
        <f>F30+F31</f>
        <v>149.33299999999997</v>
      </c>
      <c r="G32" s="10">
        <f>G30+G31</f>
        <v>795.86999999999989</v>
      </c>
      <c r="H32" s="10">
        <f>H30+H31</f>
        <v>1035.6020000000003</v>
      </c>
      <c r="I32" s="10">
        <f>I30+I31</f>
        <v>861.45999999999935</v>
      </c>
      <c r="J32" s="10">
        <f>J30+J31</f>
        <v>506.41700000000014</v>
      </c>
      <c r="K32" s="10">
        <f>K30+K31</f>
        <v>2034.5020000000002</v>
      </c>
      <c r="L32" s="10">
        <f>L30+L31</f>
        <v>1593.7890000000002</v>
      </c>
      <c r="M32" s="10">
        <f>M30+M31</f>
        <v>1660.9619999999998</v>
      </c>
      <c r="N32" s="10">
        <f>N30+N31</f>
        <v>550.85300000000041</v>
      </c>
      <c r="O32" s="10">
        <f>O30+O31</f>
        <v>1979.6920000000002</v>
      </c>
      <c r="P32" s="10">
        <f>P30+P31</f>
        <v>1623.0539999999994</v>
      </c>
      <c r="Q32" s="10">
        <f>Q30+Q31</f>
        <v>1621.847</v>
      </c>
      <c r="R32" s="10">
        <f>R30+R31</f>
        <v>39.336000000000013</v>
      </c>
      <c r="S32" s="10">
        <f>S30+S31</f>
        <v>1468.8739999999998</v>
      </c>
      <c r="T32" s="10">
        <f>T30+T31</f>
        <v>1679.3320000000003</v>
      </c>
      <c r="U32" s="10">
        <f>U30+U31</f>
        <v>1909.0490000000002</v>
      </c>
      <c r="V32" s="10">
        <f>V30+V31</f>
        <v>2702.9539999999993</v>
      </c>
      <c r="W32" s="10">
        <f>W30+W31</f>
        <v>2614.5790000000002</v>
      </c>
      <c r="X32" s="10">
        <f>X30+X31</f>
        <v>2513.8559999999998</v>
      </c>
      <c r="Y32" s="10">
        <f>Y30+Y31</f>
        <v>2702.9539999999993</v>
      </c>
      <c r="Z32" s="10">
        <f>Z30+Z31</f>
        <v>2134.2680000000014</v>
      </c>
      <c r="AA32" s="10">
        <f t="shared" ref="AA32:AD32" si="87">AA30+AA31</f>
        <v>2718.3414379999995</v>
      </c>
      <c r="AB32" s="10">
        <f t="shared" si="87"/>
        <v>2788.7639019999997</v>
      </c>
      <c r="AC32" s="10">
        <f t="shared" si="87"/>
        <v>2905.2432705999991</v>
      </c>
      <c r="AD32" s="10">
        <f t="shared" si="87"/>
        <v>2667.0903625999999</v>
      </c>
      <c r="AH32" s="10">
        <f t="shared" ref="AH32:AI32" si="88">AH30+AH31</f>
        <v>9225.5273799999995</v>
      </c>
      <c r="AI32" s="10">
        <f t="shared" si="88"/>
        <v>11079.438973199998</v>
      </c>
      <c r="AJ32" s="10">
        <f t="shared" ref="AJ32" si="89">AJ30+AJ31</f>
        <v>11893.168846847995</v>
      </c>
      <c r="AK32" s="10">
        <f t="shared" ref="AK32" si="90">AK30+AK31</f>
        <v>14440.640726594916</v>
      </c>
      <c r="AL32" s="10">
        <f t="shared" ref="AL32" si="91">AL30+AL31</f>
        <v>17389.209259348016</v>
      </c>
      <c r="AM32" s="10">
        <f t="shared" ref="AM32" si="92">AM30+AM31</f>
        <v>20797.952933480567</v>
      </c>
      <c r="AN32" s="10">
        <f t="shared" ref="AN32" si="93">AN30+AN31</f>
        <v>24734.44340716409</v>
      </c>
      <c r="AO32" s="10">
        <f t="shared" ref="AO32" si="94">AO30+AO31</f>
        <v>29275.95330294126</v>
      </c>
      <c r="AP32" s="10">
        <f t="shared" ref="AP32" si="95">AP30+AP31</f>
        <v>34510.834795663301</v>
      </c>
      <c r="AQ32" s="10">
        <f t="shared" ref="AQ32" si="96">AQ30+AQ31</f>
        <v>40540.093066430971</v>
      </c>
      <c r="AR32" s="10">
        <f t="shared" ref="AR32" si="97">AR30+AR31</f>
        <v>47479.182081072271</v>
      </c>
      <c r="AS32" s="10">
        <f t="shared" ref="AS32" si="98">AS30+AS31</f>
        <v>55460.05401316045</v>
      </c>
      <c r="AT32" s="10">
        <f t="shared" ref="AT32" si="99">AT30+AT31</f>
        <v>64633.498035356337</v>
      </c>
      <c r="AU32" s="10">
        <f t="shared" ref="AU32" si="100">AU30+AU31</f>
        <v>75171.809225043689</v>
      </c>
      <c r="AV32" s="10">
        <f t="shared" ref="AV32" si="101">AV30+AV31</f>
        <v>87271.834057576358</v>
      </c>
      <c r="AW32" s="10">
        <f t="shared" ref="AW32" si="102">AW30+AW31</f>
        <v>101158.44549190186</v>
      </c>
      <c r="AX32" s="10">
        <f t="shared" ref="AX32" si="103">AX30+AX31</f>
        <v>117088.50810166229</v>
      </c>
      <c r="AY32" s="10">
        <f t="shared" ref="AY32" si="104">AY30+AY31</f>
        <v>135355.40219871773</v>
      </c>
    </row>
    <row r="33" spans="2:189" s="2" customFormat="1" x14ac:dyDescent="0.2">
      <c r="B33" s="2" t="s">
        <v>47</v>
      </c>
      <c r="C33" s="11">
        <v>55.606999999999999</v>
      </c>
      <c r="D33" s="11">
        <v>230.26599999999999</v>
      </c>
      <c r="E33" s="11">
        <v>347.07900000000001</v>
      </c>
      <c r="F33" s="11">
        <v>-437.637</v>
      </c>
      <c r="G33" s="11">
        <v>86.802999999999997</v>
      </c>
      <c r="H33" s="11">
        <v>315.40600000000001</v>
      </c>
      <c r="I33" s="11">
        <v>71.483999999999995</v>
      </c>
      <c r="J33" s="11">
        <v>-35.738999999999997</v>
      </c>
      <c r="K33" s="11">
        <v>327.78699999999998</v>
      </c>
      <c r="L33" s="11">
        <v>240.77600000000001</v>
      </c>
      <c r="M33" s="11">
        <v>211.88800000000001</v>
      </c>
      <c r="N33" s="11">
        <v>-56.576000000000001</v>
      </c>
      <c r="O33" s="11">
        <v>382.245</v>
      </c>
      <c r="P33" s="11">
        <v>182.10300000000001</v>
      </c>
      <c r="Q33" s="11">
        <v>223.60499999999999</v>
      </c>
      <c r="R33" s="11">
        <v>-15.948</v>
      </c>
      <c r="S33" s="11">
        <v>163.75399999999999</v>
      </c>
      <c r="T33" s="11">
        <v>191.72200000000001</v>
      </c>
      <c r="U33" s="11">
        <v>231.62700000000001</v>
      </c>
      <c r="V33" s="11">
        <v>339.44499999999999</v>
      </c>
      <c r="W33" s="11">
        <v>282.37</v>
      </c>
      <c r="X33" s="11">
        <v>366.55</v>
      </c>
      <c r="Y33" s="11">
        <v>339.44499999999999</v>
      </c>
      <c r="Z33" s="11">
        <v>265.661</v>
      </c>
      <c r="AA33" s="2">
        <f>AA32*0.15</f>
        <v>407.75121569999993</v>
      </c>
      <c r="AB33" s="2">
        <f t="shared" ref="AB33:AD33" si="105">AB32*0.15</f>
        <v>418.31458529999992</v>
      </c>
      <c r="AC33" s="2">
        <f t="shared" si="105"/>
        <v>435.78649058999986</v>
      </c>
      <c r="AD33" s="2">
        <f t="shared" si="105"/>
        <v>400.06355438999998</v>
      </c>
      <c r="AH33" s="2">
        <f t="shared" ref="AH33" si="106">AH32*0.15</f>
        <v>1383.8291069999998</v>
      </c>
      <c r="AI33" s="2">
        <f t="shared" ref="AI33" si="107">AI32*0.15</f>
        <v>1661.9158459799996</v>
      </c>
      <c r="AJ33" s="2">
        <f t="shared" ref="AJ33" si="108">AJ32*0.15</f>
        <v>1783.9753270271992</v>
      </c>
      <c r="AK33" s="2">
        <f t="shared" ref="AK33" si="109">AK32*0.15</f>
        <v>2166.0961089892376</v>
      </c>
      <c r="AL33" s="2">
        <f t="shared" ref="AL33" si="110">AL32*0.15</f>
        <v>2608.3813889022022</v>
      </c>
      <c r="AM33" s="2">
        <f t="shared" ref="AM33" si="111">AM32*0.15</f>
        <v>3119.6929400220847</v>
      </c>
      <c r="AN33" s="2">
        <f t="shared" ref="AN33" si="112">AN32*0.15</f>
        <v>3710.1665110746135</v>
      </c>
      <c r="AO33" s="2">
        <f t="shared" ref="AO33" si="113">AO32*0.15</f>
        <v>4391.3929954411888</v>
      </c>
      <c r="AP33" s="2">
        <f t="shared" ref="AP33" si="114">AP32*0.15</f>
        <v>5176.6252193494947</v>
      </c>
      <c r="AQ33" s="2">
        <f t="shared" ref="AQ33" si="115">AQ32*0.15</f>
        <v>6081.0139599646454</v>
      </c>
      <c r="AR33" s="2">
        <f t="shared" ref="AR33" si="116">AR32*0.15</f>
        <v>7121.8773121608401</v>
      </c>
      <c r="AS33" s="2">
        <f t="shared" ref="AS33" si="117">AS32*0.15</f>
        <v>8319.0081019740664</v>
      </c>
      <c r="AT33" s="2">
        <f t="shared" ref="AT33" si="118">AT32*0.15</f>
        <v>9695.0247053034509</v>
      </c>
      <c r="AU33" s="2">
        <f t="shared" ref="AU33" si="119">AU32*0.15</f>
        <v>11275.771383756553</v>
      </c>
      <c r="AV33" s="2">
        <f t="shared" ref="AV33" si="120">AV32*0.15</f>
        <v>13090.775108636453</v>
      </c>
      <c r="AW33" s="2">
        <f t="shared" ref="AW33" si="121">AW32*0.15</f>
        <v>15173.766823785278</v>
      </c>
      <c r="AX33" s="2">
        <f t="shared" ref="AX33" si="122">AX32*0.15</f>
        <v>17563.276215249341</v>
      </c>
      <c r="AY33" s="2">
        <f t="shared" ref="AY33" si="123">AY32*0.15</f>
        <v>20303.310329807657</v>
      </c>
    </row>
    <row r="34" spans="2:189" s="9" customFormat="1" x14ac:dyDescent="0.2">
      <c r="B34" s="9" t="s">
        <v>48</v>
      </c>
      <c r="C34" s="10">
        <f>C32-C33</f>
        <v>344.05200000000025</v>
      </c>
      <c r="D34" s="10">
        <f>D32-D33</f>
        <v>270.54999999999995</v>
      </c>
      <c r="E34" s="10">
        <f>E32-E33</f>
        <v>665.24399999999991</v>
      </c>
      <c r="F34" s="10">
        <f>F32-F33</f>
        <v>586.97</v>
      </c>
      <c r="G34" s="10">
        <f>G32-G33</f>
        <v>709.06699999999989</v>
      </c>
      <c r="H34" s="10">
        <f>H32-H33</f>
        <v>720.19600000000037</v>
      </c>
      <c r="I34" s="10">
        <f>I32-I33</f>
        <v>789.97599999999932</v>
      </c>
      <c r="J34" s="10">
        <f>J32-J33</f>
        <v>542.15600000000018</v>
      </c>
      <c r="K34" s="10">
        <f>K32-K33</f>
        <v>1706.7150000000001</v>
      </c>
      <c r="L34" s="10">
        <f>L32-L33</f>
        <v>1353.0130000000001</v>
      </c>
      <c r="M34" s="10">
        <f>M32-M33</f>
        <v>1449.0739999999998</v>
      </c>
      <c r="N34" s="10">
        <f>N32-N33</f>
        <v>607.42900000000043</v>
      </c>
      <c r="O34" s="10">
        <f>O32-O33</f>
        <v>1597.4470000000001</v>
      </c>
      <c r="P34" s="10">
        <f>P32-P33</f>
        <v>1440.9509999999993</v>
      </c>
      <c r="Q34" s="10">
        <f>Q32-Q33</f>
        <v>1398.242</v>
      </c>
      <c r="R34" s="10">
        <f>R32-R33</f>
        <v>55.284000000000013</v>
      </c>
      <c r="S34" s="10">
        <f>S32-S33</f>
        <v>1305.1199999999999</v>
      </c>
      <c r="T34" s="10">
        <f>T32-T33</f>
        <v>1487.6100000000004</v>
      </c>
      <c r="U34" s="10">
        <f>U32-U33</f>
        <v>1677.4220000000003</v>
      </c>
      <c r="V34" s="10">
        <f>V32-V33</f>
        <v>2363.5089999999991</v>
      </c>
      <c r="W34" s="10">
        <f>W32-W33</f>
        <v>2332.2090000000003</v>
      </c>
      <c r="X34" s="10">
        <f>X32-X33</f>
        <v>2147.3059999999996</v>
      </c>
      <c r="Y34" s="10">
        <f>Y32-Y33</f>
        <v>2363.5089999999991</v>
      </c>
      <c r="Z34" s="10">
        <f>Z32-Z33</f>
        <v>1868.6070000000013</v>
      </c>
      <c r="AA34" s="10">
        <f t="shared" ref="AA34:AD34" si="124">AA32-AA33</f>
        <v>2310.5902222999994</v>
      </c>
      <c r="AB34" s="10">
        <f t="shared" si="124"/>
        <v>2370.4493166999996</v>
      </c>
      <c r="AC34" s="10">
        <f t="shared" si="124"/>
        <v>2469.4567800099994</v>
      </c>
      <c r="AD34" s="10">
        <f t="shared" si="124"/>
        <v>2267.0268082100001</v>
      </c>
      <c r="AH34" s="10">
        <f t="shared" ref="AH34:AI34" si="125">AH32-AH33</f>
        <v>7841.698273</v>
      </c>
      <c r="AI34" s="10">
        <f t="shared" si="125"/>
        <v>9417.5231272199981</v>
      </c>
      <c r="AJ34" s="10">
        <f>AJ32-AJ33</f>
        <v>10109.193519820796</v>
      </c>
      <c r="AK34" s="10">
        <f t="shared" ref="AK34" si="126">AK32-AK33</f>
        <v>12274.544617605679</v>
      </c>
      <c r="AL34" s="10">
        <f t="shared" ref="AL34" si="127">AL32-AL33</f>
        <v>14780.827870445813</v>
      </c>
      <c r="AM34" s="10">
        <f t="shared" ref="AM34" si="128">AM32-AM33</f>
        <v>17678.259993458483</v>
      </c>
      <c r="AN34" s="10">
        <f t="shared" ref="AN34" si="129">AN32-AN33</f>
        <v>21024.276896089475</v>
      </c>
      <c r="AO34" s="10">
        <f t="shared" ref="AO34" si="130">AO32-AO33</f>
        <v>24884.560307500069</v>
      </c>
      <c r="AP34" s="10">
        <f t="shared" ref="AP34" si="131">AP32-AP33</f>
        <v>29334.209576313806</v>
      </c>
      <c r="AQ34" s="10">
        <f t="shared" ref="AQ34" si="132">AQ32-AQ33</f>
        <v>34459.079106466328</v>
      </c>
      <c r="AR34" s="10">
        <f t="shared" ref="AR34" si="133">AR32-AR33</f>
        <v>40357.304768911432</v>
      </c>
      <c r="AS34" s="10">
        <f t="shared" ref="AS34" si="134">AS32-AS33</f>
        <v>47141.045911186382</v>
      </c>
      <c r="AT34" s="10">
        <f t="shared" ref="AT34" si="135">AT32-AT33</f>
        <v>54938.47333005289</v>
      </c>
      <c r="AU34" s="10">
        <f t="shared" ref="AU34" si="136">AU32-AU33</f>
        <v>63896.037841287136</v>
      </c>
      <c r="AV34" s="10">
        <f t="shared" ref="AV34" si="137">AV32-AV33</f>
        <v>74181.058948939899</v>
      </c>
      <c r="AW34" s="10">
        <f t="shared" ref="AW34" si="138">AW32-AW33</f>
        <v>85984.678668116583</v>
      </c>
      <c r="AX34" s="10">
        <f t="shared" ref="AX34" si="139">AX32-AX33</f>
        <v>99525.231886412948</v>
      </c>
      <c r="AY34" s="10">
        <f t="shared" ref="AY34" si="140">AY32-AY33</f>
        <v>115052.09186891007</v>
      </c>
      <c r="AZ34" s="9">
        <f>AY34*(1+$BA$39)</f>
        <v>113901.57095022096</v>
      </c>
      <c r="BA34" s="9">
        <f t="shared" ref="BA34:DL34" si="141">AZ34*(1+$BA$39)</f>
        <v>112762.55524071875</v>
      </c>
      <c r="BB34" s="9">
        <f t="shared" si="141"/>
        <v>111634.92968831156</v>
      </c>
      <c r="BC34" s="9">
        <f t="shared" si="141"/>
        <v>110518.58039142845</v>
      </c>
      <c r="BD34" s="9">
        <f t="shared" si="141"/>
        <v>109413.39458751417</v>
      </c>
      <c r="BE34" s="9">
        <f t="shared" si="141"/>
        <v>108319.26064163902</v>
      </c>
      <c r="BF34" s="9">
        <f t="shared" si="141"/>
        <v>107236.06803522263</v>
      </c>
      <c r="BG34" s="9">
        <f t="shared" si="141"/>
        <v>106163.70735487041</v>
      </c>
      <c r="BH34" s="9">
        <f t="shared" si="141"/>
        <v>105102.07028132171</v>
      </c>
      <c r="BI34" s="9">
        <f t="shared" si="141"/>
        <v>104051.04957850849</v>
      </c>
      <c r="BJ34" s="9">
        <f t="shared" si="141"/>
        <v>103010.53908272341</v>
      </c>
      <c r="BK34" s="9">
        <f t="shared" si="141"/>
        <v>101980.43369189618</v>
      </c>
      <c r="BL34" s="9">
        <f t="shared" si="141"/>
        <v>100960.62935497721</v>
      </c>
      <c r="BM34" s="9">
        <f t="shared" si="141"/>
        <v>99951.023061427433</v>
      </c>
      <c r="BN34" s="9">
        <f t="shared" si="141"/>
        <v>98951.512830813153</v>
      </c>
      <c r="BO34" s="9">
        <f t="shared" si="141"/>
        <v>97961.997702505018</v>
      </c>
      <c r="BP34" s="9">
        <f t="shared" si="141"/>
        <v>96982.377725479964</v>
      </c>
      <c r="BQ34" s="9">
        <f t="shared" si="141"/>
        <v>96012.553948225162</v>
      </c>
      <c r="BR34" s="9">
        <f t="shared" si="141"/>
        <v>95052.428408742911</v>
      </c>
      <c r="BS34" s="9">
        <f t="shared" si="141"/>
        <v>94101.904124655484</v>
      </c>
      <c r="BT34" s="9">
        <f t="shared" si="141"/>
        <v>93160.885083408924</v>
      </c>
      <c r="BU34" s="9">
        <f t="shared" si="141"/>
        <v>92229.276232574834</v>
      </c>
      <c r="BV34" s="9">
        <f t="shared" si="141"/>
        <v>91306.983470249092</v>
      </c>
      <c r="BW34" s="9">
        <f t="shared" si="141"/>
        <v>90393.913635546603</v>
      </c>
      <c r="BX34" s="9">
        <f t="shared" si="141"/>
        <v>89489.974499191143</v>
      </c>
      <c r="BY34" s="9">
        <f t="shared" si="141"/>
        <v>88595.074754199231</v>
      </c>
      <c r="BZ34" s="9">
        <f t="shared" si="141"/>
        <v>87709.124006657235</v>
      </c>
      <c r="CA34" s="9">
        <f t="shared" si="141"/>
        <v>86832.032766590666</v>
      </c>
      <c r="CB34" s="9">
        <f t="shared" si="141"/>
        <v>85963.712438924762</v>
      </c>
      <c r="CC34" s="9">
        <f t="shared" si="141"/>
        <v>85104.075314535512</v>
      </c>
      <c r="CD34" s="9">
        <f t="shared" si="141"/>
        <v>84253.034561390159</v>
      </c>
      <c r="CE34" s="9">
        <f t="shared" si="141"/>
        <v>83410.504215776251</v>
      </c>
      <c r="CF34" s="9">
        <f t="shared" si="141"/>
        <v>82576.399173618483</v>
      </c>
      <c r="CG34" s="9">
        <f t="shared" si="141"/>
        <v>81750.635181882302</v>
      </c>
      <c r="CH34" s="9">
        <f t="shared" si="141"/>
        <v>80933.128830063477</v>
      </c>
      <c r="CI34" s="9">
        <f t="shared" si="141"/>
        <v>80123.797541762848</v>
      </c>
      <c r="CJ34" s="9">
        <f t="shared" si="141"/>
        <v>79322.559566345211</v>
      </c>
      <c r="CK34" s="9">
        <f t="shared" si="141"/>
        <v>78529.333970681764</v>
      </c>
      <c r="CL34" s="9">
        <f t="shared" si="141"/>
        <v>77744.040630974952</v>
      </c>
      <c r="CM34" s="9">
        <f t="shared" si="141"/>
        <v>76966.600224665206</v>
      </c>
      <c r="CN34" s="9">
        <f t="shared" si="141"/>
        <v>76196.934222418553</v>
      </c>
      <c r="CO34" s="9">
        <f t="shared" si="141"/>
        <v>75434.964880194369</v>
      </c>
      <c r="CP34" s="9">
        <f t="shared" si="141"/>
        <v>74680.615231392425</v>
      </c>
      <c r="CQ34" s="9">
        <f t="shared" si="141"/>
        <v>73933.809079078506</v>
      </c>
      <c r="CR34" s="9">
        <f t="shared" si="141"/>
        <v>73194.470988287721</v>
      </c>
      <c r="CS34" s="9">
        <f t="shared" si="141"/>
        <v>72462.526278404839</v>
      </c>
      <c r="CT34" s="9">
        <f t="shared" si="141"/>
        <v>71737.901015620795</v>
      </c>
      <c r="CU34" s="9">
        <f t="shared" si="141"/>
        <v>71020.522005464591</v>
      </c>
      <c r="CV34" s="9">
        <f t="shared" si="141"/>
        <v>70310.316785409945</v>
      </c>
      <c r="CW34" s="9">
        <f t="shared" si="141"/>
        <v>69607.213617555841</v>
      </c>
      <c r="CX34" s="9">
        <f t="shared" si="141"/>
        <v>68911.141481380284</v>
      </c>
      <c r="CY34" s="9">
        <f t="shared" si="141"/>
        <v>68222.030066566484</v>
      </c>
      <c r="CZ34" s="9">
        <f t="shared" si="141"/>
        <v>67539.80976590082</v>
      </c>
      <c r="DA34" s="9">
        <f t="shared" si="141"/>
        <v>66864.41166824181</v>
      </c>
      <c r="DB34" s="9">
        <f t="shared" si="141"/>
        <v>66195.767551559387</v>
      </c>
      <c r="DC34" s="9">
        <f t="shared" si="141"/>
        <v>65533.809876043793</v>
      </c>
      <c r="DD34" s="9">
        <f t="shared" si="141"/>
        <v>64878.471777283354</v>
      </c>
      <c r="DE34" s="9">
        <f t="shared" si="141"/>
        <v>64229.687059510521</v>
      </c>
      <c r="DF34" s="9">
        <f t="shared" si="141"/>
        <v>63587.390188915415</v>
      </c>
      <c r="DG34" s="9">
        <f t="shared" si="141"/>
        <v>62951.516287026257</v>
      </c>
      <c r="DH34" s="9">
        <f t="shared" si="141"/>
        <v>62322.001124155991</v>
      </c>
      <c r="DI34" s="9">
        <f t="shared" si="141"/>
        <v>61698.781112914432</v>
      </c>
      <c r="DJ34" s="9">
        <f t="shared" si="141"/>
        <v>61081.793301785285</v>
      </c>
      <c r="DK34" s="9">
        <f t="shared" si="141"/>
        <v>60470.975368767431</v>
      </c>
      <c r="DL34" s="9">
        <f t="shared" si="141"/>
        <v>59866.265615079756</v>
      </c>
      <c r="DM34" s="9">
        <f t="shared" ref="DM34:FX34" si="142">DL34*(1+$BA$39)</f>
        <v>59267.602958928961</v>
      </c>
      <c r="DN34" s="9">
        <f t="shared" si="142"/>
        <v>58674.926929339672</v>
      </c>
      <c r="DO34" s="9">
        <f t="shared" si="142"/>
        <v>58088.177660046276</v>
      </c>
      <c r="DP34" s="9">
        <f t="shared" si="142"/>
        <v>57507.295883445811</v>
      </c>
      <c r="DQ34" s="9">
        <f t="shared" si="142"/>
        <v>56932.222924611349</v>
      </c>
      <c r="DR34" s="9">
        <f t="shared" si="142"/>
        <v>56362.900695365235</v>
      </c>
      <c r="DS34" s="9">
        <f t="shared" si="142"/>
        <v>55799.27168841158</v>
      </c>
      <c r="DT34" s="9">
        <f t="shared" si="142"/>
        <v>55241.278971527463</v>
      </c>
      <c r="DU34" s="9">
        <f t="shared" si="142"/>
        <v>54688.866181812191</v>
      </c>
      <c r="DV34" s="9">
        <f t="shared" si="142"/>
        <v>54141.97751999407</v>
      </c>
      <c r="DW34" s="9">
        <f t="shared" si="142"/>
        <v>53600.557744794132</v>
      </c>
      <c r="DX34" s="9">
        <f t="shared" si="142"/>
        <v>53064.552167346192</v>
      </c>
      <c r="DY34" s="9">
        <f t="shared" si="142"/>
        <v>52533.906645672731</v>
      </c>
      <c r="DZ34" s="9">
        <f t="shared" si="142"/>
        <v>52008.567579216004</v>
      </c>
      <c r="EA34" s="9">
        <f t="shared" si="142"/>
        <v>51488.481903423846</v>
      </c>
      <c r="EB34" s="9">
        <f t="shared" si="142"/>
        <v>50973.597084389607</v>
      </c>
      <c r="EC34" s="9">
        <f t="shared" si="142"/>
        <v>50463.86111354571</v>
      </c>
      <c r="ED34" s="9">
        <f t="shared" si="142"/>
        <v>49959.222502410252</v>
      </c>
      <c r="EE34" s="9">
        <f t="shared" si="142"/>
        <v>49459.630277386146</v>
      </c>
      <c r="EF34" s="9">
        <f t="shared" si="142"/>
        <v>48965.033974612285</v>
      </c>
      <c r="EG34" s="9">
        <f t="shared" si="142"/>
        <v>48475.383634866164</v>
      </c>
      <c r="EH34" s="9">
        <f t="shared" si="142"/>
        <v>47990.629798517504</v>
      </c>
      <c r="EI34" s="9">
        <f t="shared" si="142"/>
        <v>47510.723500532331</v>
      </c>
      <c r="EJ34" s="9">
        <f t="shared" si="142"/>
        <v>47035.616265527009</v>
      </c>
      <c r="EK34" s="9">
        <f t="shared" si="142"/>
        <v>46565.26010287174</v>
      </c>
      <c r="EL34" s="9">
        <f t="shared" si="142"/>
        <v>46099.60750184302</v>
      </c>
      <c r="EM34" s="9">
        <f t="shared" si="142"/>
        <v>45638.611426824587</v>
      </c>
      <c r="EN34" s="9">
        <f t="shared" si="142"/>
        <v>45182.225312556344</v>
      </c>
      <c r="EO34" s="9">
        <f t="shared" si="142"/>
        <v>44730.403059430777</v>
      </c>
      <c r="EP34" s="9">
        <f t="shared" si="142"/>
        <v>44283.09902883647</v>
      </c>
      <c r="EQ34" s="9">
        <f t="shared" si="142"/>
        <v>43840.268038548107</v>
      </c>
      <c r="ER34" s="9">
        <f t="shared" si="142"/>
        <v>43401.865358162628</v>
      </c>
      <c r="ES34" s="9">
        <f t="shared" si="142"/>
        <v>42967.846704581003</v>
      </c>
      <c r="ET34" s="9">
        <f t="shared" si="142"/>
        <v>42538.168237535196</v>
      </c>
      <c r="EU34" s="9">
        <f t="shared" si="142"/>
        <v>42112.786555159844</v>
      </c>
      <c r="EV34" s="9">
        <f t="shared" si="142"/>
        <v>41691.658689608244</v>
      </c>
      <c r="EW34" s="9">
        <f t="shared" si="142"/>
        <v>41274.74210271216</v>
      </c>
      <c r="EX34" s="9">
        <f t="shared" si="142"/>
        <v>40861.994681685035</v>
      </c>
      <c r="EY34" s="9">
        <f t="shared" si="142"/>
        <v>40453.374734868186</v>
      </c>
      <c r="EZ34" s="9">
        <f t="shared" si="142"/>
        <v>40048.840987519507</v>
      </c>
      <c r="FA34" s="9">
        <f t="shared" si="142"/>
        <v>39648.352577644313</v>
      </c>
      <c r="FB34" s="9">
        <f t="shared" si="142"/>
        <v>39251.86905186787</v>
      </c>
      <c r="FC34" s="9">
        <f t="shared" si="142"/>
        <v>38859.350361349192</v>
      </c>
      <c r="FD34" s="9">
        <f t="shared" si="142"/>
        <v>38470.756857735701</v>
      </c>
      <c r="FE34" s="9">
        <f t="shared" si="142"/>
        <v>38086.049289158342</v>
      </c>
      <c r="FF34" s="9">
        <f t="shared" si="142"/>
        <v>37705.188796266761</v>
      </c>
      <c r="FG34" s="9">
        <f t="shared" si="142"/>
        <v>37328.136908304092</v>
      </c>
      <c r="FH34" s="9">
        <f t="shared" si="142"/>
        <v>36954.855539221047</v>
      </c>
      <c r="FI34" s="9">
        <f t="shared" si="142"/>
        <v>36585.306983828836</v>
      </c>
      <c r="FJ34" s="9">
        <f t="shared" si="142"/>
        <v>36219.453913990546</v>
      </c>
      <c r="FK34" s="9">
        <f t="shared" si="142"/>
        <v>35857.259374850641</v>
      </c>
      <c r="FL34" s="9">
        <f t="shared" si="142"/>
        <v>35498.686781102137</v>
      </c>
      <c r="FM34" s="9">
        <f t="shared" si="142"/>
        <v>35143.699913291115</v>
      </c>
      <c r="FN34" s="9">
        <f t="shared" si="142"/>
        <v>34792.2629141582</v>
      </c>
      <c r="FO34" s="9">
        <f t="shared" si="142"/>
        <v>34444.340285016617</v>
      </c>
      <c r="FP34" s="9">
        <f t="shared" si="142"/>
        <v>34099.896882166453</v>
      </c>
      <c r="FQ34" s="9">
        <f t="shared" si="142"/>
        <v>33758.897913344787</v>
      </c>
      <c r="FR34" s="9">
        <f t="shared" si="142"/>
        <v>33421.308934211338</v>
      </c>
      <c r="FS34" s="9">
        <f t="shared" si="142"/>
        <v>33087.095844869225</v>
      </c>
      <c r="FT34" s="9">
        <f t="shared" si="142"/>
        <v>32756.224886420532</v>
      </c>
      <c r="FU34" s="9">
        <f t="shared" si="142"/>
        <v>32428.662637556328</v>
      </c>
      <c r="FV34" s="9">
        <f t="shared" si="142"/>
        <v>32104.376011180764</v>
      </c>
      <c r="FW34" s="9">
        <f t="shared" si="142"/>
        <v>31783.332251068958</v>
      </c>
      <c r="FX34" s="9">
        <f t="shared" si="142"/>
        <v>31465.498928558267</v>
      </c>
      <c r="FY34" s="9">
        <f t="shared" ref="FY34:GG34" si="143">FX34*(1+$BA$39)</f>
        <v>31150.843939272683</v>
      </c>
      <c r="FZ34" s="9">
        <f t="shared" si="143"/>
        <v>30839.335499879955</v>
      </c>
      <c r="GA34" s="9">
        <f t="shared" si="143"/>
        <v>30530.942144881155</v>
      </c>
      <c r="GB34" s="9">
        <f t="shared" si="143"/>
        <v>30225.632723432343</v>
      </c>
      <c r="GC34" s="9">
        <f t="shared" si="143"/>
        <v>29923.376396198018</v>
      </c>
      <c r="GD34" s="9">
        <f t="shared" si="143"/>
        <v>29624.142632236038</v>
      </c>
      <c r="GE34" s="9">
        <f t="shared" si="143"/>
        <v>29327.901205913677</v>
      </c>
      <c r="GF34" s="9">
        <f t="shared" si="143"/>
        <v>29034.622193854539</v>
      </c>
      <c r="GG34" s="9">
        <f t="shared" si="143"/>
        <v>28744.275971915991</v>
      </c>
    </row>
    <row r="35" spans="2:189" s="2" customFormat="1" x14ac:dyDescent="0.2">
      <c r="B35" s="2" t="s">
        <v>1</v>
      </c>
      <c r="C35" s="11">
        <v>451.92200000000003</v>
      </c>
      <c r="D35" s="11">
        <v>452.19499999999999</v>
      </c>
      <c r="E35" s="11">
        <v>451.55200000000002</v>
      </c>
      <c r="F35" s="11">
        <v>451.36700000000002</v>
      </c>
      <c r="G35" s="11">
        <v>452.49400000000003</v>
      </c>
      <c r="H35" s="11">
        <v>453.94499999999999</v>
      </c>
      <c r="I35" s="11">
        <v>455.08800000000002</v>
      </c>
      <c r="J35" s="11">
        <v>455.28300000000002</v>
      </c>
      <c r="K35" s="11">
        <v>455.46100000000001</v>
      </c>
      <c r="L35" s="11">
        <v>455.12900000000002</v>
      </c>
      <c r="M35" s="11">
        <v>442.77800000000002</v>
      </c>
      <c r="N35" s="11">
        <v>455.79500000000002</v>
      </c>
      <c r="O35" s="11">
        <v>452.98399999999998</v>
      </c>
      <c r="P35" s="11">
        <v>450.16899999999998</v>
      </c>
      <c r="Q35" s="11">
        <v>450.34399999999999</v>
      </c>
      <c r="R35" s="11">
        <v>451.649</v>
      </c>
      <c r="S35" s="11">
        <v>452.41699999999997</v>
      </c>
      <c r="T35" s="11">
        <v>451.572</v>
      </c>
      <c r="U35" s="11">
        <v>450.01100000000002</v>
      </c>
      <c r="V35" s="11">
        <v>437.89800000000002</v>
      </c>
      <c r="W35" s="11">
        <v>441.654</v>
      </c>
      <c r="X35" s="11">
        <v>439.73899999999998</v>
      </c>
      <c r="Y35" s="11">
        <v>437.89800000000002</v>
      </c>
      <c r="Z35" s="11">
        <v>437.786</v>
      </c>
      <c r="AA35" s="2">
        <f>AVERAGE(W35:Z35)</f>
        <v>439.26925000000006</v>
      </c>
      <c r="AB35" s="2">
        <f t="shared" ref="AB35:AD35" si="144">AVERAGE(X35:AA35)</f>
        <v>438.67306250000001</v>
      </c>
      <c r="AC35" s="2">
        <f t="shared" si="144"/>
        <v>438.40657812500001</v>
      </c>
      <c r="AD35" s="2">
        <f t="shared" si="144"/>
        <v>438.53372265625001</v>
      </c>
      <c r="AH35" s="2">
        <f t="shared" ref="AH35:AI35" si="145">AVERAGE(AD35:AG35)</f>
        <v>438.53372265625001</v>
      </c>
      <c r="AI35" s="2">
        <f t="shared" si="145"/>
        <v>438.53372265625001</v>
      </c>
      <c r="AJ35" s="2">
        <f t="shared" ref="AJ35" si="146">AVERAGE(AF35:AI35)</f>
        <v>438.53372265625001</v>
      </c>
      <c r="AK35" s="2">
        <f t="shared" ref="AK35" si="147">AVERAGE(AG35:AJ35)</f>
        <v>438.53372265624995</v>
      </c>
      <c r="AL35" s="2">
        <f t="shared" ref="AL35" si="148">AVERAGE(AH35:AK35)</f>
        <v>438.53372265624995</v>
      </c>
      <c r="AM35" s="2">
        <f t="shared" ref="AM35" si="149">AVERAGE(AI35:AL35)</f>
        <v>438.53372265624995</v>
      </c>
      <c r="AN35" s="2">
        <f t="shared" ref="AN35" si="150">AVERAGE(AJ35:AM35)</f>
        <v>438.53372265624995</v>
      </c>
      <c r="AO35" s="2">
        <f t="shared" ref="AO35" si="151">AVERAGE(AK35:AN35)</f>
        <v>438.53372265624995</v>
      </c>
      <c r="AP35" s="2">
        <f t="shared" ref="AP35" si="152">AVERAGE(AL35:AO35)</f>
        <v>438.53372265624995</v>
      </c>
      <c r="AQ35" s="2">
        <f t="shared" ref="AQ35" si="153">AVERAGE(AM35:AP35)</f>
        <v>438.53372265624995</v>
      </c>
      <c r="AR35" s="2">
        <f t="shared" ref="AR35" si="154">AVERAGE(AN35:AQ35)</f>
        <v>438.53372265624995</v>
      </c>
      <c r="AS35" s="2">
        <f t="shared" ref="AS35" si="155">AVERAGE(AO35:AR35)</f>
        <v>438.53372265624995</v>
      </c>
      <c r="AT35" s="2">
        <f t="shared" ref="AT35" si="156">AVERAGE(AP35:AS35)</f>
        <v>438.53372265624995</v>
      </c>
      <c r="AU35" s="2">
        <f t="shared" ref="AU35" si="157">AVERAGE(AQ35:AT35)</f>
        <v>438.53372265624995</v>
      </c>
      <c r="AV35" s="2">
        <f t="shared" ref="AV35" si="158">AVERAGE(AR35:AU35)</f>
        <v>438.53372265624995</v>
      </c>
      <c r="AW35" s="2">
        <f t="shared" ref="AW35" si="159">AVERAGE(AS35:AV35)</f>
        <v>438.53372265624995</v>
      </c>
      <c r="AX35" s="2">
        <f t="shared" ref="AX35" si="160">AVERAGE(AT35:AW35)</f>
        <v>438.53372265624995</v>
      </c>
      <c r="AY35" s="2">
        <f t="shared" ref="AY35" si="161">AVERAGE(AU35:AX35)</f>
        <v>438.53372265624995</v>
      </c>
    </row>
    <row r="36" spans="2:189" s="8" customFormat="1" x14ac:dyDescent="0.2">
      <c r="B36" s="6" t="s">
        <v>49</v>
      </c>
      <c r="C36" s="7">
        <f>C34/C35</f>
        <v>0.76130836737313123</v>
      </c>
      <c r="D36" s="7">
        <f>D34/D35</f>
        <v>0.59830382910027746</v>
      </c>
      <c r="E36" s="7">
        <f>E34/E35</f>
        <v>1.4732389625115156</v>
      </c>
      <c r="F36" s="7">
        <f>F34/F35</f>
        <v>1.3004273684163885</v>
      </c>
      <c r="G36" s="7">
        <f>G34/G35</f>
        <v>1.5670196731890365</v>
      </c>
      <c r="H36" s="7">
        <f>H34/H35</f>
        <v>1.5865270021698672</v>
      </c>
      <c r="I36" s="7">
        <f>I34/I35</f>
        <v>1.7358752592905093</v>
      </c>
      <c r="J36" s="7">
        <f>J34/J35</f>
        <v>1.1908109900874844</v>
      </c>
      <c r="K36" s="7">
        <f>K34/K35</f>
        <v>3.7472253387227448</v>
      </c>
      <c r="L36" s="7">
        <f>L34/L35</f>
        <v>2.9728121038211146</v>
      </c>
      <c r="M36" s="7">
        <f>M34/M35</f>
        <v>3.2726874415621365</v>
      </c>
      <c r="N36" s="7">
        <f>N34/N35</f>
        <v>1.3326802619598732</v>
      </c>
      <c r="O36" s="7">
        <f>O34/O35</f>
        <v>3.5264976246401645</v>
      </c>
      <c r="P36" s="7">
        <f>P34/P35</f>
        <v>3.2009112133443205</v>
      </c>
      <c r="Q36" s="7">
        <f>Q34/Q35</f>
        <v>3.104830973655694</v>
      </c>
      <c r="R36" s="7">
        <f>R34/R35</f>
        <v>0.12240478778874749</v>
      </c>
      <c r="S36" s="7">
        <f>S34/S35</f>
        <v>2.8847722344651063</v>
      </c>
      <c r="T36" s="7">
        <f>T34/T35</f>
        <v>3.2942919401557234</v>
      </c>
      <c r="U36" s="7">
        <f>U34/U35</f>
        <v>3.7275133274519958</v>
      </c>
      <c r="V36" s="7">
        <f>V34/V35</f>
        <v>5.3973961972879509</v>
      </c>
      <c r="W36" s="7">
        <f>W34/W35</f>
        <v>5.280624651876809</v>
      </c>
      <c r="X36" s="7">
        <f>X34/X35</f>
        <v>4.8831374974700896</v>
      </c>
      <c r="Y36" s="7">
        <f>Y34/Y35</f>
        <v>5.3973961972879509</v>
      </c>
      <c r="Z36" s="7">
        <f>Z34/Z35</f>
        <v>4.2683114581096735</v>
      </c>
      <c r="AA36" s="7">
        <f t="shared" ref="AA36:AD36" si="162">AA34/AA35</f>
        <v>5.2600773268331418</v>
      </c>
      <c r="AB36" s="7">
        <f t="shared" si="162"/>
        <v>5.403681053928401</v>
      </c>
      <c r="AC36" s="7">
        <f t="shared" si="162"/>
        <v>5.6328004715884976</v>
      </c>
      <c r="AD36" s="7">
        <f t="shared" si="162"/>
        <v>5.1695609507026141</v>
      </c>
      <c r="AH36" s="7">
        <f t="shared" ref="AH36:AI36" si="163">AH34/AH35</f>
        <v>17.881631144583174</v>
      </c>
      <c r="AI36" s="7">
        <f t="shared" si="163"/>
        <v>21.475026071374764</v>
      </c>
      <c r="AJ36" s="7">
        <f t="shared" ref="AJ36" si="164">AJ34/AJ35</f>
        <v>23.052260288189991</v>
      </c>
      <c r="AK36" s="7">
        <f t="shared" ref="AK36" si="165">AK34/AK35</f>
        <v>27.989967437982489</v>
      </c>
      <c r="AL36" s="7">
        <f t="shared" ref="AL36" si="166">AL34/AL35</f>
        <v>33.705111162071219</v>
      </c>
      <c r="AM36" s="7">
        <f t="shared" ref="AM36" si="167">AM34/AM35</f>
        <v>40.312201958789394</v>
      </c>
      <c r="AN36" s="7">
        <f t="shared" ref="AN36" si="168">AN34/AN35</f>
        <v>47.94221244547164</v>
      </c>
      <c r="AO36" s="7">
        <f t="shared" ref="AO36" si="169">AO34/AO35</f>
        <v>56.744918399368203</v>
      </c>
      <c r="AP36" s="7">
        <f t="shared" ref="AP36" si="170">AP34/AP35</f>
        <v>66.891570843476018</v>
      </c>
      <c r="AQ36" s="7">
        <f t="shared" ref="AQ36" si="171">AQ34/AQ35</f>
        <v>78.577945836738991</v>
      </c>
      <c r="AR36" s="7">
        <f t="shared" ref="AR36" si="172">AR34/AR35</f>
        <v>92.027825190871354</v>
      </c>
      <c r="AS36" s="7">
        <f t="shared" ref="AS36" si="173">AS34/AS35</f>
        <v>107.49696882065891</v>
      </c>
      <c r="AT36" s="7">
        <f t="shared" ref="AT36" si="174">AT34/AT35</f>
        <v>125.27764797034112</v>
      </c>
      <c r="AU36" s="7">
        <f t="shared" ref="AU36" si="175">AU34/AU35</f>
        <v>145.70381829306393</v>
      </c>
      <c r="AV36" s="7">
        <f t="shared" ref="AV36" si="176">AV34/AV35</f>
        <v>169.15702286158648</v>
      </c>
      <c r="AW36" s="7">
        <f t="shared" ref="AW36" si="177">AW34/AW35</f>
        <v>196.07312784817859</v>
      </c>
      <c r="AX36" s="7">
        <f t="shared" ref="AX36" si="178">AX34/AX35</f>
        <v>226.95000804858745</v>
      </c>
      <c r="AY36" s="7">
        <f t="shared" ref="AY36" si="179">AY34/AY35</f>
        <v>262.35631588837936</v>
      </c>
    </row>
    <row r="38" spans="2:189" x14ac:dyDescent="0.2">
      <c r="AZ38" t="s">
        <v>74</v>
      </c>
      <c r="BA38" s="4">
        <v>0.01</v>
      </c>
    </row>
    <row r="39" spans="2:189" x14ac:dyDescent="0.2">
      <c r="AZ39" t="s">
        <v>75</v>
      </c>
      <c r="BA39" s="4">
        <v>-0.01</v>
      </c>
    </row>
    <row r="40" spans="2:189" x14ac:dyDescent="0.2">
      <c r="AZ40" t="s">
        <v>79</v>
      </c>
      <c r="BA40" s="4">
        <v>0.09</v>
      </c>
    </row>
    <row r="41" spans="2:189" x14ac:dyDescent="0.2">
      <c r="AZ41" t="s">
        <v>76</v>
      </c>
      <c r="BA41" s="20">
        <f>NPV(BA40,AJ34:GG34)</f>
        <v>580999.67379660369</v>
      </c>
    </row>
    <row r="42" spans="2:189" x14ac:dyDescent="0.2">
      <c r="AZ42" t="s">
        <v>73</v>
      </c>
      <c r="BA42" s="2">
        <v>-130188</v>
      </c>
    </row>
    <row r="43" spans="2:189" x14ac:dyDescent="0.2">
      <c r="AZ43" t="s">
        <v>80</v>
      </c>
      <c r="BA43" s="20">
        <f>BA41+BA42</f>
        <v>450811.67379660369</v>
      </c>
    </row>
    <row r="44" spans="2:189" x14ac:dyDescent="0.2">
      <c r="AZ44" t="s">
        <v>77</v>
      </c>
      <c r="BA44" s="8">
        <f>BA43/Main!L4</f>
        <v>1053.8966604792058</v>
      </c>
    </row>
    <row r="45" spans="2:189" x14ac:dyDescent="0.2">
      <c r="AZ45" t="s">
        <v>81</v>
      </c>
      <c r="BA45">
        <v>980</v>
      </c>
    </row>
    <row r="47" spans="2:189" x14ac:dyDescent="0.2">
      <c r="AZ47" t="s">
        <v>78</v>
      </c>
      <c r="BA47" s="4">
        <f>BA45/BA44-1</f>
        <v>-7.0117558248647516E-2</v>
      </c>
    </row>
    <row r="52" spans="2:51" s="4" customFormat="1" x14ac:dyDescent="0.2">
      <c r="B52" s="4" t="s">
        <v>42</v>
      </c>
      <c r="C52" s="5"/>
      <c r="D52" s="5"/>
      <c r="E52" s="5"/>
      <c r="F52" s="5"/>
      <c r="G52" s="5">
        <f>G23/C23-1</f>
        <v>0.27575784252659585</v>
      </c>
      <c r="H52" s="5">
        <f t="shared" ref="H52:Z52" si="180">H23/D23-1</f>
        <v>0.24886068091834512</v>
      </c>
      <c r="I52" s="5">
        <f t="shared" si="180"/>
        <v>0.22702641897231701</v>
      </c>
      <c r="J52" s="5">
        <f t="shared" si="180"/>
        <v>0.21527612404649044</v>
      </c>
      <c r="K52" s="5">
        <f t="shared" si="180"/>
        <v>0.24196701938436038</v>
      </c>
      <c r="L52" s="5">
        <f t="shared" si="180"/>
        <v>0.1941176776747211</v>
      </c>
      <c r="M52" s="5">
        <f t="shared" si="180"/>
        <v>0.16281682761162575</v>
      </c>
      <c r="N52" s="5">
        <f t="shared" si="180"/>
        <v>0.16026567768971423</v>
      </c>
      <c r="O52" s="5">
        <f t="shared" si="180"/>
        <v>9.834667963651289E-2</v>
      </c>
      <c r="P52" s="5">
        <f t="shared" si="180"/>
        <v>8.5587453827595139E-2</v>
      </c>
      <c r="Q52" s="5">
        <f t="shared" si="180"/>
        <v>5.9079835589573637E-2</v>
      </c>
      <c r="R52" s="5">
        <f t="shared" si="180"/>
        <v>1.851460790695092E-2</v>
      </c>
      <c r="S52" s="5">
        <f t="shared" si="180"/>
        <v>3.7334100005757653E-2</v>
      </c>
      <c r="T52" s="5">
        <f t="shared" si="180"/>
        <v>2.7246694882813394E-2</v>
      </c>
      <c r="U52" s="5">
        <f t="shared" si="180"/>
        <v>7.773289783257753E-2</v>
      </c>
      <c r="V52" s="5">
        <f t="shared" si="180"/>
        <v>0.25122729049332704</v>
      </c>
      <c r="W52" s="5">
        <f t="shared" si="180"/>
        <v>0.14812676047536844</v>
      </c>
      <c r="X52" s="5">
        <f t="shared" si="180"/>
        <v>0.16757769135396372</v>
      </c>
      <c r="Y52" s="5">
        <f t="shared" si="180"/>
        <v>0.15020895216250496</v>
      </c>
      <c r="Z52" s="5">
        <f t="shared" si="180"/>
        <v>4.2933613362154732E-2</v>
      </c>
      <c r="AA52" s="5">
        <f t="shared" ref="AA52" si="181">AA23/W23-1</f>
        <v>0.1399999999999999</v>
      </c>
      <c r="AB52" s="5">
        <f t="shared" ref="AB52" si="182">AB23/X23-1</f>
        <v>0.1399999999999999</v>
      </c>
      <c r="AC52" s="5">
        <f t="shared" ref="AC52" si="183">AC23/Y23-1</f>
        <v>0.1399999999999999</v>
      </c>
      <c r="AD52" s="5">
        <f t="shared" ref="AD52" si="184">AD23/Z23-1</f>
        <v>0.1399999999999999</v>
      </c>
      <c r="AI52" s="4">
        <f>AI23/AH23-1</f>
        <v>0.1399999999999999</v>
      </c>
      <c r="AJ52" s="4">
        <f t="shared" ref="AJ52:AY52" si="185">AJ23/AI23-1</f>
        <v>0.1399999999999999</v>
      </c>
      <c r="AK52" s="4">
        <f t="shared" si="185"/>
        <v>0.1399999999999999</v>
      </c>
      <c r="AL52" s="4">
        <f t="shared" si="185"/>
        <v>0.14000000000000012</v>
      </c>
      <c r="AM52" s="4">
        <f t="shared" si="185"/>
        <v>0.1399999999999999</v>
      </c>
      <c r="AN52" s="4">
        <f t="shared" si="185"/>
        <v>0.1399999999999999</v>
      </c>
      <c r="AO52" s="4">
        <f t="shared" si="185"/>
        <v>0.1399999999999999</v>
      </c>
      <c r="AP52" s="4">
        <f t="shared" si="185"/>
        <v>0.1399999999999999</v>
      </c>
      <c r="AQ52" s="4">
        <f t="shared" si="185"/>
        <v>0.1399999999999999</v>
      </c>
      <c r="AR52" s="4">
        <f t="shared" si="185"/>
        <v>0.1399999999999999</v>
      </c>
      <c r="AS52" s="4">
        <f t="shared" si="185"/>
        <v>0.1399999999999999</v>
      </c>
      <c r="AT52" s="4">
        <f t="shared" si="185"/>
        <v>0.1399999999999999</v>
      </c>
      <c r="AU52" s="4">
        <f t="shared" si="185"/>
        <v>0.1399999999999999</v>
      </c>
      <c r="AV52" s="4">
        <f t="shared" si="185"/>
        <v>0.1399999999999999</v>
      </c>
      <c r="AW52" s="4">
        <f t="shared" si="185"/>
        <v>0.1399999999999999</v>
      </c>
      <c r="AX52" s="4">
        <f t="shared" si="185"/>
        <v>0.1399999999999999</v>
      </c>
      <c r="AY52" s="4">
        <f t="shared" si="185"/>
        <v>0.1399999999999999</v>
      </c>
    </row>
    <row r="53" spans="2:51" x14ac:dyDescent="0.2">
      <c r="B53" t="s">
        <v>51</v>
      </c>
      <c r="G53" s="5">
        <f>G26/C26-1</f>
        <v>-0.18286088702483705</v>
      </c>
      <c r="H53" s="5">
        <f t="shared" ref="H53:Z53" si="186">H26/D26-1</f>
        <v>-0.27983088783884602</v>
      </c>
      <c r="I53" s="5">
        <f t="shared" si="186"/>
        <v>-4.7309754296249396E-2</v>
      </c>
      <c r="J53" s="5">
        <f t="shared" si="186"/>
        <v>-0.13240084329138491</v>
      </c>
      <c r="K53" s="5">
        <f t="shared" si="186"/>
        <v>1.7232002858106776E-2</v>
      </c>
      <c r="L53" s="5">
        <f t="shared" si="186"/>
        <v>0.39045744411446459</v>
      </c>
      <c r="M53" s="5">
        <f t="shared" si="186"/>
        <v>0.20536697517233793</v>
      </c>
      <c r="N53" s="5">
        <f t="shared" si="186"/>
        <v>3.9534990459829444E-2</v>
      </c>
      <c r="O53" s="5">
        <f t="shared" si="186"/>
        <v>8.4809721528471549E-2</v>
      </c>
      <c r="P53" s="5">
        <f t="shared" si="186"/>
        <v>-4.8036915557483351E-2</v>
      </c>
      <c r="Q53" s="5">
        <f t="shared" si="186"/>
        <v>-0.10691754671765619</v>
      </c>
      <c r="R53" s="5">
        <f t="shared" si="186"/>
        <v>4.9068199966444404E-2</v>
      </c>
      <c r="S53" s="5">
        <f t="shared" si="186"/>
        <v>-1.1079575091100802E-3</v>
      </c>
      <c r="T53" s="5">
        <f t="shared" si="186"/>
        <v>9.0802838458327484E-2</v>
      </c>
      <c r="U53" s="5">
        <f t="shared" si="186"/>
        <v>-1.623018765604245E-2</v>
      </c>
      <c r="V53" s="5">
        <f t="shared" si="186"/>
        <v>-0.22689000853765584</v>
      </c>
      <c r="W53" s="5">
        <f t="shared" si="186"/>
        <v>0.17822249271646262</v>
      </c>
      <c r="X53" s="5">
        <f t="shared" si="186"/>
        <v>2.6972039389764779E-2</v>
      </c>
      <c r="Y53" s="5">
        <f t="shared" si="186"/>
        <v>0.15067939062455271</v>
      </c>
      <c r="Z53" s="5">
        <f t="shared" si="186"/>
        <v>0.51837692051651341</v>
      </c>
      <c r="AA53" s="5">
        <f>AA26/W26-1</f>
        <v>9.000000000000008E-2</v>
      </c>
      <c r="AB53" s="5">
        <f>AB26/X26-1</f>
        <v>9.000000000000008E-2</v>
      </c>
      <c r="AC53" s="5">
        <f>AC26/Y26-1</f>
        <v>9.000000000000008E-2</v>
      </c>
      <c r="AD53" s="5">
        <f>AD26/Z26-1</f>
        <v>9.000000000000008E-2</v>
      </c>
      <c r="AI53" s="4">
        <f>AI26/AH26-1</f>
        <v>9.0000000000000302E-2</v>
      </c>
      <c r="AJ53" s="4">
        <f>AJ26/AI26-1</f>
        <v>0.10000000000000009</v>
      </c>
      <c r="AK53" s="4">
        <f>AK26/AJ26-1</f>
        <v>0.10000000000000009</v>
      </c>
      <c r="AL53" s="4">
        <f>AL26/AK26-1</f>
        <v>0.10000000000000009</v>
      </c>
      <c r="AM53" s="4">
        <f>AM26/AL26-1</f>
        <v>0.10000000000000009</v>
      </c>
      <c r="AN53" s="4">
        <f>AN26/AM26-1</f>
        <v>0.10000000000000009</v>
      </c>
      <c r="AO53" s="4">
        <f>AO26/AN26-1</f>
        <v>0.10000000000000009</v>
      </c>
      <c r="AP53" s="4">
        <f>AP26/AO26-1</f>
        <v>0.10000000000000009</v>
      </c>
      <c r="AQ53" s="4">
        <f>AQ26/AP26-1</f>
        <v>0.10000000000000009</v>
      </c>
      <c r="AR53" s="4">
        <f>AR26/AQ26-1</f>
        <v>0.10000000000000009</v>
      </c>
      <c r="AS53" s="4">
        <f>AS26/AR26-1</f>
        <v>0.10000000000000031</v>
      </c>
      <c r="AT53" s="4">
        <f>AT26/AS26-1</f>
        <v>0.10000000000000009</v>
      </c>
      <c r="AU53" s="4">
        <f>AU26/AT26-1</f>
        <v>0.10000000000000009</v>
      </c>
      <c r="AV53" s="4">
        <f>AV26/AU26-1</f>
        <v>0.10000000000000009</v>
      </c>
      <c r="AW53" s="4">
        <f>AW26/AV26-1</f>
        <v>0.10000000000000009</v>
      </c>
      <c r="AX53" s="4">
        <f>AX26/AW26-1</f>
        <v>0.10000000000000009</v>
      </c>
      <c r="AY53" s="4">
        <f>AY26/AX26-1</f>
        <v>0.10000000000000009</v>
      </c>
    </row>
    <row r="54" spans="2:51" x14ac:dyDescent="0.2">
      <c r="B54" t="s">
        <v>52</v>
      </c>
      <c r="G54" s="5">
        <f>G27/C27-1</f>
        <v>0.21743784271013289</v>
      </c>
      <c r="H54" s="5">
        <f t="shared" ref="H54:Z54" si="187">H27/D27-1</f>
        <v>0.1349009868704234</v>
      </c>
      <c r="I54" s="5">
        <f t="shared" si="187"/>
        <v>0.19492016346477925</v>
      </c>
      <c r="J54" s="5">
        <f t="shared" si="187"/>
        <v>0.18945907918392879</v>
      </c>
      <c r="K54" s="5">
        <f t="shared" si="187"/>
        <v>0.15731010517455268</v>
      </c>
      <c r="L54" s="5">
        <f t="shared" si="187"/>
        <v>0.23509292142192195</v>
      </c>
      <c r="M54" s="5">
        <f t="shared" si="187"/>
        <v>0.24258377001423503</v>
      </c>
      <c r="N54" s="5">
        <f t="shared" si="187"/>
        <v>0.32968192945274133</v>
      </c>
      <c r="O54" s="5">
        <f t="shared" si="187"/>
        <v>0.25194447141793619</v>
      </c>
      <c r="P54" s="5">
        <f t="shared" si="187"/>
        <v>0.33411126682188108</v>
      </c>
      <c r="Q54" s="5">
        <f t="shared" si="187"/>
        <v>0.17530462663618795</v>
      </c>
      <c r="R54" s="5">
        <f t="shared" si="187"/>
        <v>4.0860580412992231E-2</v>
      </c>
      <c r="S54" s="5">
        <f t="shared" si="187"/>
        <v>4.5237479658722712E-2</v>
      </c>
      <c r="T54" s="5">
        <f t="shared" si="187"/>
        <v>-8.211387104064205E-2</v>
      </c>
      <c r="U54" s="5">
        <f t="shared" si="187"/>
        <v>-8.4196040975407227E-3</v>
      </c>
      <c r="V54" s="5">
        <f t="shared" si="187"/>
        <v>9.0717675234372797E-2</v>
      </c>
      <c r="W54" s="5">
        <f t="shared" si="187"/>
        <v>2.211341893710661E-2</v>
      </c>
      <c r="X54" s="5">
        <f t="shared" si="187"/>
        <v>8.0961058264423347E-2</v>
      </c>
      <c r="Y54" s="5">
        <f t="shared" si="187"/>
        <v>0.11854665309308698</v>
      </c>
      <c r="Z54" s="5">
        <f t="shared" si="187"/>
        <v>5.6378840997302282E-2</v>
      </c>
      <c r="AA54" s="5">
        <f>AA27/W27-1</f>
        <v>5.0000000000000044E-2</v>
      </c>
      <c r="AB54" s="5">
        <f>AB27/X27-1</f>
        <v>5.0000000000000044E-2</v>
      </c>
      <c r="AC54" s="5">
        <f>AC27/Y27-1</f>
        <v>5.0000000000000044E-2</v>
      </c>
      <c r="AD54" s="5">
        <f>AD27/Z27-1</f>
        <v>5.0000000000000044E-2</v>
      </c>
      <c r="AI54" s="4">
        <f>AI27/AH27-1</f>
        <v>5.0000000000000044E-2</v>
      </c>
      <c r="AJ54" s="4">
        <f>AJ27/AI27-1</f>
        <v>5.0000000000000044E-2</v>
      </c>
      <c r="AK54" s="4">
        <f>AK27/AJ27-1</f>
        <v>5.0000000000000044E-2</v>
      </c>
      <c r="AL54" s="4">
        <f>AL27/AK27-1</f>
        <v>5.0000000000000044E-2</v>
      </c>
      <c r="AM54" s="4">
        <f>AM27/AL27-1</f>
        <v>5.0000000000000044E-2</v>
      </c>
      <c r="AN54" s="4">
        <f>AN27/AM27-1</f>
        <v>5.0000000000000044E-2</v>
      </c>
      <c r="AO54" s="4">
        <f>AO27/AN27-1</f>
        <v>5.0000000000000044E-2</v>
      </c>
      <c r="AP54" s="4">
        <f>AP27/AO27-1</f>
        <v>5.0000000000000044E-2</v>
      </c>
      <c r="AQ54" s="4">
        <f>AQ27/AP27-1</f>
        <v>5.0000000000000044E-2</v>
      </c>
      <c r="AR54" s="4">
        <f>AR27/AQ27-1</f>
        <v>5.0000000000000044E-2</v>
      </c>
      <c r="AS54" s="4">
        <f>AS27/AR27-1</f>
        <v>5.0000000000000044E-2</v>
      </c>
      <c r="AT54" s="4">
        <f>AT27/AS27-1</f>
        <v>5.0000000000000044E-2</v>
      </c>
      <c r="AU54" s="4">
        <f>AU27/AT27-1</f>
        <v>5.0000000000000044E-2</v>
      </c>
      <c r="AV54" s="4">
        <f>AV27/AU27-1</f>
        <v>5.0000000000000044E-2</v>
      </c>
      <c r="AW54" s="4">
        <f>AW27/AV27-1</f>
        <v>5.0000000000000044E-2</v>
      </c>
      <c r="AX54" s="4">
        <f>AX27/AW27-1</f>
        <v>5.0000000000000044E-2</v>
      </c>
      <c r="AY54" s="4">
        <f>AY27/AX27-1</f>
        <v>5.0000000000000044E-2</v>
      </c>
    </row>
    <row r="55" spans="2:51" x14ac:dyDescent="0.2">
      <c r="B55" t="s">
        <v>53</v>
      </c>
      <c r="G55" s="5">
        <f>G28/C28-1</f>
        <v>0.24825205989542054</v>
      </c>
      <c r="H55" s="5">
        <f t="shared" ref="H55:Z55" si="188">H28/D28-1</f>
        <v>0.23404122729316246</v>
      </c>
      <c r="I55" s="5">
        <f t="shared" si="188"/>
        <v>0.16489831627883045</v>
      </c>
      <c r="J55" s="5">
        <f t="shared" si="188"/>
        <v>8.2302247570565479E-2</v>
      </c>
      <c r="K55" s="5">
        <f t="shared" si="188"/>
        <v>0.17894219059293048</v>
      </c>
      <c r="L55" s="5">
        <f t="shared" si="188"/>
        <v>0.20779768861186865</v>
      </c>
      <c r="M55" s="5">
        <f t="shared" si="188"/>
        <v>0.18468912909021284</v>
      </c>
      <c r="N55" s="5">
        <f t="shared" si="188"/>
        <v>0.44367947912999628</v>
      </c>
      <c r="O55" s="5">
        <f t="shared" si="188"/>
        <v>0.33894130472819262</v>
      </c>
      <c r="P55" s="5">
        <f t="shared" si="188"/>
        <v>0.22234765339186779</v>
      </c>
      <c r="Q55" s="5">
        <f t="shared" si="188"/>
        <v>0.15980297709686431</v>
      </c>
      <c r="R55" s="5">
        <f t="shared" si="188"/>
        <v>-1.3416626863420489E-2</v>
      </c>
      <c r="S55" s="5">
        <f t="shared" si="188"/>
        <v>7.5290002211454432E-3</v>
      </c>
      <c r="T55" s="5">
        <f t="shared" si="188"/>
        <v>-1.9057066140235612E-2</v>
      </c>
      <c r="U55" s="5">
        <f t="shared" si="188"/>
        <v>0.28235350858624964</v>
      </c>
      <c r="V55" s="5">
        <f t="shared" si="188"/>
        <v>6.3447087931548518E-2</v>
      </c>
      <c r="W55" s="5">
        <f t="shared" si="188"/>
        <v>7.7221618062275343E-3</v>
      </c>
      <c r="X55" s="5">
        <f t="shared" si="188"/>
        <v>6.3499851804621255E-2</v>
      </c>
      <c r="Y55" s="5">
        <f t="shared" si="188"/>
        <v>-0.1279547672229524</v>
      </c>
      <c r="Z55" s="5">
        <f t="shared" si="188"/>
        <v>8.7027049044813287E-2</v>
      </c>
      <c r="AA55" s="5">
        <f>AA28/W28-1</f>
        <v>5.0000000000000044E-2</v>
      </c>
      <c r="AB55" s="5">
        <f>AB28/X28-1</f>
        <v>5.0000000000000044E-2</v>
      </c>
      <c r="AC55" s="5">
        <f>AC28/Y28-1</f>
        <v>5.0000000000000044E-2</v>
      </c>
      <c r="AD55" s="5">
        <f>AD28/Z28-1</f>
        <v>5.0000000000000044E-2</v>
      </c>
      <c r="AI55" s="4">
        <f>AI28/AH28-1</f>
        <v>5.0000000000000044E-2</v>
      </c>
      <c r="AJ55" s="4">
        <f>AJ28/AI28-1</f>
        <v>5.0000000000000044E-2</v>
      </c>
      <c r="AK55" s="4">
        <f>AK28/AJ28-1</f>
        <v>5.0000000000000044E-2</v>
      </c>
      <c r="AL55" s="4">
        <f>AL28/AK28-1</f>
        <v>5.0000000000000044E-2</v>
      </c>
      <c r="AM55" s="4">
        <f>AM28/AL28-1</f>
        <v>5.0000000000000044E-2</v>
      </c>
      <c r="AN55" s="4">
        <f>AN28/AM28-1</f>
        <v>5.0000000000000044E-2</v>
      </c>
      <c r="AO55" s="4">
        <f>AO28/AN28-1</f>
        <v>5.0000000000000044E-2</v>
      </c>
      <c r="AP55" s="4">
        <f>AP28/AO28-1</f>
        <v>5.0000000000000044E-2</v>
      </c>
      <c r="AQ55" s="4">
        <f>AQ28/AP28-1</f>
        <v>5.0000000000000044E-2</v>
      </c>
      <c r="AR55" s="4">
        <f>AR28/AQ28-1</f>
        <v>5.0000000000000044E-2</v>
      </c>
      <c r="AS55" s="4">
        <f>AS28/AR28-1</f>
        <v>5.0000000000000044E-2</v>
      </c>
      <c r="AT55" s="4">
        <f>AT28/AS28-1</f>
        <v>5.0000000000000044E-2</v>
      </c>
      <c r="AU55" s="4">
        <f>AU28/AT28-1</f>
        <v>5.0000000000000044E-2</v>
      </c>
      <c r="AV55" s="4">
        <f>AV28/AU28-1</f>
        <v>5.0000000000000044E-2</v>
      </c>
      <c r="AW55" s="4">
        <f>AW28/AV28-1</f>
        <v>5.0000000000000044E-2</v>
      </c>
      <c r="AX55" s="4">
        <f>AX28/AW28-1</f>
        <v>5.0000000000000044E-2</v>
      </c>
      <c r="AY55" s="4">
        <f>AY28/AX28-1</f>
        <v>5.0000000000000044E-2</v>
      </c>
    </row>
    <row r="56" spans="2:51" x14ac:dyDescent="0.2">
      <c r="AA56" s="3"/>
      <c r="AB56" s="3"/>
      <c r="AC56" s="3"/>
      <c r="AD56" s="3"/>
    </row>
    <row r="57" spans="2:51" x14ac:dyDescent="0.2">
      <c r="AA57" s="3"/>
      <c r="AB57" s="3"/>
      <c r="AC57" s="3"/>
      <c r="AD57" s="3"/>
    </row>
    <row r="58" spans="2:51" s="4" customFormat="1" x14ac:dyDescent="0.2">
      <c r="B58" s="4" t="s">
        <v>44</v>
      </c>
      <c r="C58" s="5">
        <f t="shared" ref="C58:G58" si="189">C25/C23</f>
        <v>0.3650477594297889</v>
      </c>
      <c r="D58" s="5">
        <f t="shared" si="189"/>
        <v>0.38948076787140501</v>
      </c>
      <c r="E58" s="5">
        <f t="shared" si="189"/>
        <v>0.40934697577935159</v>
      </c>
      <c r="F58" s="5">
        <f t="shared" si="189"/>
        <v>0.36606038591412354</v>
      </c>
      <c r="G58" s="5">
        <f>G25/G23</f>
        <v>0.37588525460188488</v>
      </c>
      <c r="H58" s="5">
        <f t="shared" ref="H58:Z58" si="190">H25/H23</f>
        <v>0.40736214938602405</v>
      </c>
      <c r="I58" s="5">
        <f t="shared" si="190"/>
        <v>0.39901038545213158</v>
      </c>
      <c r="J58" s="5">
        <f t="shared" si="190"/>
        <v>0.37313622423071796</v>
      </c>
      <c r="K58" s="5">
        <f t="shared" si="190"/>
        <v>0.45995271441219265</v>
      </c>
      <c r="L58" s="5">
        <f t="shared" si="190"/>
        <v>0.45271996139354276</v>
      </c>
      <c r="M58" s="5">
        <f t="shared" si="190"/>
        <v>0.43788233448480496</v>
      </c>
      <c r="N58" s="5">
        <f t="shared" si="190"/>
        <v>0.32035816916619608</v>
      </c>
      <c r="O58" s="5">
        <f t="shared" si="190"/>
        <v>0.45541028350229484</v>
      </c>
      <c r="P58" s="5">
        <f t="shared" si="190"/>
        <v>0.41145896917005603</v>
      </c>
      <c r="Q58" s="5">
        <f t="shared" si="190"/>
        <v>0.39579695591078468</v>
      </c>
      <c r="R58" s="5">
        <f t="shared" si="190"/>
        <v>0.3117519711087024</v>
      </c>
      <c r="S58" s="5">
        <f t="shared" si="190"/>
        <v>0.41142887529417066</v>
      </c>
      <c r="T58" s="5">
        <f t="shared" si="190"/>
        <v>0.42918062985591954</v>
      </c>
      <c r="U58" s="5">
        <f t="shared" si="190"/>
        <v>0.42273710474347637</v>
      </c>
      <c r="V58" s="5">
        <f t="shared" si="190"/>
        <v>0.47887646069301021</v>
      </c>
      <c r="W58" s="5">
        <f t="shared" si="190"/>
        <v>0.46885386385271127</v>
      </c>
      <c r="X58" s="5">
        <f t="shared" si="190"/>
        <v>0.45873258634775937</v>
      </c>
      <c r="Y58" s="5">
        <f t="shared" si="190"/>
        <v>0.47887646069301021</v>
      </c>
      <c r="Z58" s="5">
        <f t="shared" si="190"/>
        <v>0.43713885884885922</v>
      </c>
      <c r="AA58" s="5">
        <f t="shared" ref="AA58:AD58" si="191">AA25/AA23</f>
        <v>0.43</v>
      </c>
      <c r="AB58" s="5">
        <f t="shared" si="191"/>
        <v>0.43000000000000005</v>
      </c>
      <c r="AC58" s="5">
        <f t="shared" si="191"/>
        <v>0.43</v>
      </c>
      <c r="AD58" s="5">
        <f t="shared" si="191"/>
        <v>0.43</v>
      </c>
      <c r="AI58" s="5">
        <f t="shared" ref="AI58:AY58" si="192">AI25/AI23</f>
        <v>0.43</v>
      </c>
      <c r="AJ58" s="5">
        <f t="shared" si="192"/>
        <v>0.43</v>
      </c>
      <c r="AK58" s="5">
        <f t="shared" si="192"/>
        <v>0.43</v>
      </c>
      <c r="AL58" s="5">
        <f t="shared" si="192"/>
        <v>0.43</v>
      </c>
      <c r="AM58" s="5">
        <f t="shared" si="192"/>
        <v>0.43</v>
      </c>
      <c r="AN58" s="5">
        <f t="shared" si="192"/>
        <v>0.43000000000000005</v>
      </c>
      <c r="AO58" s="5">
        <f t="shared" si="192"/>
        <v>0.43</v>
      </c>
      <c r="AP58" s="5">
        <f t="shared" si="192"/>
        <v>0.42999999999999994</v>
      </c>
      <c r="AQ58" s="5">
        <f t="shared" si="192"/>
        <v>0.43</v>
      </c>
      <c r="AR58" s="5">
        <f t="shared" si="192"/>
        <v>0.43</v>
      </c>
      <c r="AS58" s="5">
        <f t="shared" si="192"/>
        <v>0.43000000000000005</v>
      </c>
      <c r="AT58" s="5">
        <f t="shared" si="192"/>
        <v>0.43</v>
      </c>
      <c r="AU58" s="5">
        <f t="shared" si="192"/>
        <v>0.43000000000000005</v>
      </c>
      <c r="AV58" s="5">
        <f t="shared" si="192"/>
        <v>0.43</v>
      </c>
      <c r="AW58" s="5">
        <f t="shared" si="192"/>
        <v>0.43</v>
      </c>
      <c r="AX58" s="5">
        <f t="shared" si="192"/>
        <v>0.43</v>
      </c>
      <c r="AY58" s="5">
        <f t="shared" si="192"/>
        <v>0.43</v>
      </c>
    </row>
    <row r="59" spans="2:51" s="4" customFormat="1" x14ac:dyDescent="0.2">
      <c r="B59" s="4" t="s">
        <v>43</v>
      </c>
      <c r="C59" s="5">
        <f t="shared" ref="C59:G59" si="193">C30/C23</f>
        <v>0.10154497066130624</v>
      </c>
      <c r="D59" s="5">
        <f t="shared" si="193"/>
        <v>0.1434699080826046</v>
      </c>
      <c r="E59" s="5">
        <f t="shared" si="193"/>
        <v>0.18689356623237216</v>
      </c>
      <c r="F59" s="5">
        <f t="shared" si="193"/>
        <v>8.3862374927616848E-2</v>
      </c>
      <c r="G59" s="5">
        <f>G30/G23</f>
        <v>0.1661420488718969</v>
      </c>
      <c r="H59" s="5">
        <f t="shared" ref="H59:Z59" si="194">H30/H23</f>
        <v>0.22086285511116438</v>
      </c>
      <c r="I59" s="5">
        <f t="shared" si="194"/>
        <v>0.20430968993434517</v>
      </c>
      <c r="J59" s="5">
        <f t="shared" si="194"/>
        <v>0.14361506955738348</v>
      </c>
      <c r="K59" s="5">
        <f t="shared" si="194"/>
        <v>0.27359749343945977</v>
      </c>
      <c r="L59" s="5">
        <f t="shared" si="194"/>
        <v>0.25165978209362672</v>
      </c>
      <c r="M59" s="5">
        <f t="shared" si="194"/>
        <v>0.23455077706629826</v>
      </c>
      <c r="N59" s="5">
        <f t="shared" si="194"/>
        <v>8.1948883156720276E-2</v>
      </c>
      <c r="O59" s="5">
        <f t="shared" si="194"/>
        <v>0.25059537223204503</v>
      </c>
      <c r="P59" s="5">
        <f t="shared" si="194"/>
        <v>0.19802447660587177</v>
      </c>
      <c r="Q59" s="5">
        <f t="shared" si="194"/>
        <v>0.19342638130743342</v>
      </c>
      <c r="R59" s="5">
        <f t="shared" si="194"/>
        <v>7.0033149292293373E-2</v>
      </c>
      <c r="S59" s="5">
        <f t="shared" si="194"/>
        <v>0.21004917844176493</v>
      </c>
      <c r="T59" s="5">
        <f t="shared" si="194"/>
        <v>0.2231728136048742</v>
      </c>
      <c r="U59" s="5">
        <f t="shared" si="194"/>
        <v>0.22435828692943818</v>
      </c>
      <c r="V59" s="5">
        <f t="shared" si="194"/>
        <v>0.29613892654057833</v>
      </c>
      <c r="W59" s="5">
        <f t="shared" si="194"/>
        <v>0.28094027601692129</v>
      </c>
      <c r="X59" s="5">
        <f t="shared" si="194"/>
        <v>0.27228293673915793</v>
      </c>
      <c r="Y59" s="5">
        <f t="shared" si="194"/>
        <v>0.29613892654057833</v>
      </c>
      <c r="Z59" s="5">
        <f t="shared" si="194"/>
        <v>0.22180872653945799</v>
      </c>
      <c r="AA59" s="5">
        <f t="shared" ref="AA59:AD59" si="195">AA30/AA23</f>
        <v>0.25447151183224409</v>
      </c>
      <c r="AB59" s="5">
        <f t="shared" si="195"/>
        <v>0.25590593092612368</v>
      </c>
      <c r="AC59" s="5">
        <f t="shared" si="195"/>
        <v>0.25939298208793132</v>
      </c>
      <c r="AD59" s="5">
        <f t="shared" si="195"/>
        <v>0.22832674390293778</v>
      </c>
      <c r="AI59" s="5">
        <f t="shared" ref="AI59:AY59" si="196">AI30/AI23</f>
        <v>0.2491939844987969</v>
      </c>
      <c r="AJ59" s="5">
        <f t="shared" si="196"/>
        <v>0.26033102934499086</v>
      </c>
      <c r="AK59" s="5">
        <f t="shared" si="196"/>
        <v>0.27069890799358437</v>
      </c>
      <c r="AL59" s="5">
        <f t="shared" si="196"/>
        <v>0.28035448183965134</v>
      </c>
      <c r="AM59" s="5">
        <f t="shared" si="196"/>
        <v>0.28935025873837744</v>
      </c>
      <c r="AN59" s="5">
        <f t="shared" si="196"/>
        <v>0.29773473195057398</v>
      </c>
      <c r="AO59" s="5">
        <f t="shared" si="196"/>
        <v>0.30555269249617639</v>
      </c>
      <c r="AP59" s="5">
        <f t="shared" si="196"/>
        <v>0.31284551700924546</v>
      </c>
      <c r="AQ59" s="5">
        <f t="shared" si="196"/>
        <v>0.31965143302291232</v>
      </c>
      <c r="AR59" s="5">
        <f t="shared" si="196"/>
        <v>0.32600576346066457</v>
      </c>
      <c r="AS59" s="5">
        <f t="shared" si="196"/>
        <v>0.33194115197031793</v>
      </c>
      <c r="AT59" s="5">
        <f t="shared" si="196"/>
        <v>0.33748777060801899</v>
      </c>
      <c r="AU59" s="5">
        <f t="shared" si="196"/>
        <v>0.34267351126080142</v>
      </c>
      <c r="AV59" s="5">
        <f t="shared" si="196"/>
        <v>0.34752416208676684</v>
      </c>
      <c r="AW59" s="5">
        <f t="shared" si="196"/>
        <v>0.35206357015115419</v>
      </c>
      <c r="AX59" s="5">
        <f t="shared" si="196"/>
        <v>0.35631379134369279</v>
      </c>
      <c r="AY59" s="5">
        <f t="shared" si="196"/>
        <v>0.36029522857710677</v>
      </c>
    </row>
    <row r="60" spans="2:51" s="4" customFormat="1" x14ac:dyDescent="0.2">
      <c r="B60" s="4" t="s">
        <v>58</v>
      </c>
      <c r="C60" s="5">
        <f>C33/C32</f>
        <v>0.13913611353679001</v>
      </c>
      <c r="D60" s="5">
        <f>D33/D32</f>
        <v>0.45978163636944508</v>
      </c>
      <c r="E60" s="5">
        <f>E33/E32</f>
        <v>0.34285401003434679</v>
      </c>
      <c r="F60" s="5">
        <f>F33/F32</f>
        <v>-2.9306114522577067</v>
      </c>
      <c r="G60" s="5">
        <f>G33/G32</f>
        <v>0.10906680739316724</v>
      </c>
      <c r="H60" s="5">
        <f>H33/H32</f>
        <v>0.30456294985911569</v>
      </c>
      <c r="I60" s="5">
        <f>I33/I32</f>
        <v>8.2980057112344213E-2</v>
      </c>
      <c r="J60" s="5">
        <f>J33/J32</f>
        <v>-7.0572275417294411E-2</v>
      </c>
      <c r="K60" s="5">
        <f>K33/K32</f>
        <v>0.16111412031052313</v>
      </c>
      <c r="L60" s="5">
        <f>L33/L32</f>
        <v>0.15107144044788864</v>
      </c>
      <c r="M60" s="5">
        <f>M33/M32</f>
        <v>0.1275694446953031</v>
      </c>
      <c r="N60" s="5">
        <f>N33/N32</f>
        <v>-0.10270616661795426</v>
      </c>
      <c r="O60" s="5">
        <f>O33/O32</f>
        <v>0.19308306544654419</v>
      </c>
      <c r="P60" s="5">
        <f>P33/P32</f>
        <v>0.11219774573119567</v>
      </c>
      <c r="Q60" s="5">
        <f>Q33/Q32</f>
        <v>0.13787058828607138</v>
      </c>
      <c r="R60" s="5">
        <f>R33/R32</f>
        <v>-0.40543014032946906</v>
      </c>
      <c r="S60" s="5">
        <f>S33/S32</f>
        <v>0.11148267312240534</v>
      </c>
      <c r="T60" s="5">
        <f>T33/T32</f>
        <v>0.11416563252531362</v>
      </c>
      <c r="U60" s="5">
        <f>U33/U32</f>
        <v>0.12133109207778323</v>
      </c>
      <c r="V60" s="5">
        <f>V33/V32</f>
        <v>0.12558297329514304</v>
      </c>
      <c r="W60" s="5">
        <f>W33/W32</f>
        <v>0.10799826664254551</v>
      </c>
      <c r="X60" s="5">
        <f>X33/X32</f>
        <v>0.14581185238931746</v>
      </c>
      <c r="Y60" s="5">
        <f>Y33/Y32</f>
        <v>0.12558297329514304</v>
      </c>
      <c r="Z60" s="5">
        <f>Z33/Z32</f>
        <v>0.12447405855309635</v>
      </c>
      <c r="AA60" s="5">
        <f>AA33/AA32</f>
        <v>0.15</v>
      </c>
      <c r="AB60" s="5">
        <f>AB33/AB32</f>
        <v>0.15</v>
      </c>
      <c r="AC60" s="5">
        <f>AC33/AC32</f>
        <v>0.15</v>
      </c>
      <c r="AD60" s="5">
        <f>AD33/AD32</f>
        <v>0.15</v>
      </c>
      <c r="AI60" s="5">
        <f>AI33/AI32</f>
        <v>0.15</v>
      </c>
      <c r="AJ60" s="5">
        <f>AJ33/AJ32</f>
        <v>0.15</v>
      </c>
      <c r="AK60" s="5">
        <f t="shared" ref="AK60:AY60" si="197">AK33/AK32</f>
        <v>0.15</v>
      </c>
      <c r="AL60" s="5">
        <f t="shared" si="197"/>
        <v>0.15</v>
      </c>
      <c r="AM60" s="5">
        <f t="shared" si="197"/>
        <v>0.15</v>
      </c>
      <c r="AN60" s="5">
        <f t="shared" si="197"/>
        <v>0.15</v>
      </c>
      <c r="AO60" s="5">
        <f t="shared" si="197"/>
        <v>0.15</v>
      </c>
      <c r="AP60" s="5">
        <f t="shared" si="197"/>
        <v>0.15</v>
      </c>
      <c r="AQ60" s="5">
        <f t="shared" si="197"/>
        <v>0.15</v>
      </c>
      <c r="AR60" s="5">
        <f t="shared" si="197"/>
        <v>0.15</v>
      </c>
      <c r="AS60" s="5">
        <f t="shared" si="197"/>
        <v>0.14999999999999997</v>
      </c>
      <c r="AT60" s="5">
        <f t="shared" si="197"/>
        <v>0.15</v>
      </c>
      <c r="AU60" s="5">
        <f t="shared" si="197"/>
        <v>0.15</v>
      </c>
      <c r="AV60" s="5">
        <f t="shared" si="197"/>
        <v>0.15</v>
      </c>
      <c r="AW60" s="5">
        <f t="shared" si="197"/>
        <v>0.15</v>
      </c>
      <c r="AX60" s="5">
        <f t="shared" si="197"/>
        <v>0.15</v>
      </c>
      <c r="AY60" s="5">
        <f t="shared" si="197"/>
        <v>0.15</v>
      </c>
    </row>
    <row r="62" spans="2:51" x14ac:dyDescent="0.2">
      <c r="B62" s="4" t="s">
        <v>73</v>
      </c>
      <c r="AI62" s="2">
        <v>-130188</v>
      </c>
      <c r="AJ62" s="2">
        <f>AI62+AJ34</f>
        <v>-120078.80648017921</v>
      </c>
      <c r="AK62" s="2">
        <f t="shared" ref="AK62:AY62" si="198">AJ62+AK34</f>
        <v>-107804.26186257353</v>
      </c>
      <c r="AL62" s="2">
        <f t="shared" si="198"/>
        <v>-93023.433992127713</v>
      </c>
      <c r="AM62" s="2">
        <f t="shared" si="198"/>
        <v>-75345.173998669226</v>
      </c>
      <c r="AN62" s="2">
        <f t="shared" si="198"/>
        <v>-54320.897102579751</v>
      </c>
      <c r="AO62" s="2">
        <f t="shared" si="198"/>
        <v>-29436.336795079682</v>
      </c>
      <c r="AP62" s="2">
        <f t="shared" si="198"/>
        <v>-102.12721876587602</v>
      </c>
      <c r="AQ62" s="2">
        <f t="shared" si="198"/>
        <v>34356.951887700452</v>
      </c>
      <c r="AR62" s="2">
        <f t="shared" si="198"/>
        <v>74714.256656611891</v>
      </c>
      <c r="AS62" s="2">
        <f t="shared" si="198"/>
        <v>121855.30256779827</v>
      </c>
      <c r="AT62" s="2">
        <f t="shared" si="198"/>
        <v>176793.77589785116</v>
      </c>
      <c r="AU62" s="2">
        <f t="shared" si="198"/>
        <v>240689.81373913831</v>
      </c>
      <c r="AV62" s="2">
        <f t="shared" si="198"/>
        <v>314870.87268807821</v>
      </c>
      <c r="AW62" s="2">
        <f t="shared" si="198"/>
        <v>400855.55135619477</v>
      </c>
      <c r="AX62" s="2">
        <f t="shared" si="198"/>
        <v>500380.78324260772</v>
      </c>
      <c r="AY62" s="2">
        <f t="shared" si="198"/>
        <v>615432.87511151773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D829-910A-8F48-BC69-A165C5B7BB3E}">
  <dimension ref="A1"/>
  <sheetViews>
    <sheetView tabSelected="1" workbookViewId="0">
      <selection activeCell="F70" sqref="F7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S</dc:creator>
  <cp:lastModifiedBy>Bobby S</cp:lastModifiedBy>
  <dcterms:created xsi:type="dcterms:W3CDTF">2025-01-28T16:03:12Z</dcterms:created>
  <dcterms:modified xsi:type="dcterms:W3CDTF">2025-01-31T14:46:48Z</dcterms:modified>
</cp:coreProperties>
</file>