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1091" documentId="8_{0F3FD82E-3F3F-F549-A6E1-19263718772B}" xr6:coauthVersionLast="47" xr6:coauthVersionMax="47" xr10:uidLastSave="{ABB547C5-F0B9-EF4F-881F-CCEFAC75CE9B}"/>
  <bookViews>
    <workbookView xWindow="30080" yWindow="-33340" windowWidth="30080" windowHeight="31860" activeTab="1" xr2:uid="{C4C66109-0B05-E541-AEF3-5C3AE469589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7" i="2" l="1"/>
  <c r="AV46" i="2"/>
  <c r="AV43" i="2"/>
  <c r="AV45" i="2" s="1"/>
  <c r="AS38" i="2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FP38" i="2" s="1"/>
  <c r="FQ38" i="2" s="1"/>
  <c r="FR38" i="2" s="1"/>
  <c r="FS38" i="2" s="1"/>
  <c r="FT38" i="2" s="1"/>
  <c r="AR38" i="2"/>
  <c r="AC34" i="2"/>
  <c r="AB61" i="2"/>
  <c r="AC35" i="2"/>
  <c r="AD33" i="2"/>
  <c r="AD51" i="2" s="1"/>
  <c r="AQ32" i="2"/>
  <c r="AQ33" i="2" s="1"/>
  <c r="AQ51" i="2" s="1"/>
  <c r="AP32" i="2"/>
  <c r="AP33" i="2" s="1"/>
  <c r="AP51" i="2" s="1"/>
  <c r="AO32" i="2"/>
  <c r="AO33" i="2" s="1"/>
  <c r="AO51" i="2" s="1"/>
  <c r="AN32" i="2"/>
  <c r="AN33" i="2" s="1"/>
  <c r="AN51" i="2" s="1"/>
  <c r="AM32" i="2"/>
  <c r="AM33" i="2" s="1"/>
  <c r="AM51" i="2" s="1"/>
  <c r="AL32" i="2"/>
  <c r="AL33" i="2" s="1"/>
  <c r="AL51" i="2" s="1"/>
  <c r="AK32" i="2"/>
  <c r="AK33" i="2" s="1"/>
  <c r="AK51" i="2" s="1"/>
  <c r="AJ32" i="2"/>
  <c r="AJ33" i="2" s="1"/>
  <c r="AJ51" i="2" s="1"/>
  <c r="AI32" i="2"/>
  <c r="AI33" i="2" s="1"/>
  <c r="AI51" i="2" s="1"/>
  <c r="AH32" i="2"/>
  <c r="AH33" i="2" s="1"/>
  <c r="AH51" i="2" s="1"/>
  <c r="AG32" i="2"/>
  <c r="AG33" i="2" s="1"/>
  <c r="AG51" i="2" s="1"/>
  <c r="AF32" i="2"/>
  <c r="AF33" i="2" s="1"/>
  <c r="AF51" i="2" s="1"/>
  <c r="AE32" i="2"/>
  <c r="AE33" i="2" s="1"/>
  <c r="AE51" i="2" s="1"/>
  <c r="AD32" i="2"/>
  <c r="AC32" i="2"/>
  <c r="AC33" i="2" s="1"/>
  <c r="AC51" i="2" s="1"/>
  <c r="AO30" i="2"/>
  <c r="AP30" i="2" s="1"/>
  <c r="AN30" i="2"/>
  <c r="AH30" i="2"/>
  <c r="AI30" i="2" s="1"/>
  <c r="AG30" i="2"/>
  <c r="AH48" i="2" s="1"/>
  <c r="AD30" i="2"/>
  <c r="AE30" i="2" s="1"/>
  <c r="AC30" i="2"/>
  <c r="AD48" i="2" s="1"/>
  <c r="AB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O48" i="2"/>
  <c r="AC48" i="2"/>
  <c r="AB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D29" i="2"/>
  <c r="AE29" i="2" s="1"/>
  <c r="AF29" i="2" s="1"/>
  <c r="AG29" i="2" s="1"/>
  <c r="AC29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G16" i="2"/>
  <c r="AH16" i="2"/>
  <c r="AI16" i="2" s="1"/>
  <c r="AJ16" i="2" s="1"/>
  <c r="AK16" i="2" s="1"/>
  <c r="AL16" i="2" s="1"/>
  <c r="AF16" i="2"/>
  <c r="AE16" i="2"/>
  <c r="AD16" i="2"/>
  <c r="AC16" i="2"/>
  <c r="AD19" i="2"/>
  <c r="AM15" i="2"/>
  <c r="AN15" i="2" s="1"/>
  <c r="AL15" i="2"/>
  <c r="AI15" i="2"/>
  <c r="AJ15" i="2" s="1"/>
  <c r="AH15" i="2"/>
  <c r="AF15" i="2"/>
  <c r="AG15" i="2" s="1"/>
  <c r="AE15" i="2"/>
  <c r="AD15" i="2"/>
  <c r="AE18" i="2"/>
  <c r="AD14" i="2"/>
  <c r="AE14" i="2" s="1"/>
  <c r="AF14" i="2" s="1"/>
  <c r="AG14" i="2" s="1"/>
  <c r="AC14" i="2"/>
  <c r="AH19" i="2"/>
  <c r="AB19" i="2"/>
  <c r="AM18" i="2"/>
  <c r="AI18" i="2"/>
  <c r="AC18" i="2"/>
  <c r="AB18" i="2"/>
  <c r="AC17" i="2"/>
  <c r="AB17" i="2"/>
  <c r="AB16" i="2"/>
  <c r="AB15" i="2"/>
  <c r="AB14" i="2"/>
  <c r="AB39" i="2"/>
  <c r="AB36" i="2"/>
  <c r="AB32" i="2"/>
  <c r="AB33" i="2" s="1"/>
  <c r="AB35" i="2" s="1"/>
  <c r="AB28" i="2"/>
  <c r="AB37" i="2"/>
  <c r="AB34" i="2"/>
  <c r="AB31" i="2"/>
  <c r="AB30" i="2"/>
  <c r="AB29" i="2"/>
  <c r="AB27" i="2"/>
  <c r="AB26" i="2"/>
  <c r="R40" i="2"/>
  <c r="Q40" i="2"/>
  <c r="P40" i="2"/>
  <c r="R38" i="2"/>
  <c r="Q38" i="2"/>
  <c r="P38" i="2"/>
  <c r="R36" i="2"/>
  <c r="Q36" i="2"/>
  <c r="Q53" i="2" s="1"/>
  <c r="P36" i="2"/>
  <c r="R35" i="2"/>
  <c r="Q35" i="2"/>
  <c r="P35" i="2"/>
  <c r="K61" i="2"/>
  <c r="R32" i="2"/>
  <c r="R33" i="2" s="1"/>
  <c r="Q32" i="2"/>
  <c r="Q33" i="2" s="1"/>
  <c r="P32" i="2"/>
  <c r="P33" i="2" s="1"/>
  <c r="R30" i="2"/>
  <c r="Q30" i="2"/>
  <c r="P30" i="2"/>
  <c r="P48" i="2" s="1"/>
  <c r="R29" i="2"/>
  <c r="Q29" i="2"/>
  <c r="Q47" i="2" s="1"/>
  <c r="P29" i="2"/>
  <c r="R15" i="2"/>
  <c r="Q15" i="2"/>
  <c r="P15" i="2"/>
  <c r="R26" i="2"/>
  <c r="Q26" i="2"/>
  <c r="P26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R19" i="2"/>
  <c r="Q19" i="2"/>
  <c r="P19" i="2"/>
  <c r="R18" i="2"/>
  <c r="Q18" i="2"/>
  <c r="P18" i="2"/>
  <c r="R17" i="2"/>
  <c r="Q17" i="2"/>
  <c r="P17" i="2"/>
  <c r="R16" i="2"/>
  <c r="Q16" i="2"/>
  <c r="P16" i="2"/>
  <c r="R14" i="2"/>
  <c r="Q14" i="2"/>
  <c r="P14" i="2"/>
  <c r="U59" i="2"/>
  <c r="U57" i="2"/>
  <c r="T56" i="2"/>
  <c r="C16" i="2"/>
  <c r="C15" i="2"/>
  <c r="C14" i="2"/>
  <c r="G17" i="2" s="1"/>
  <c r="D16" i="2"/>
  <c r="H19" i="2" s="1"/>
  <c r="D15" i="2"/>
  <c r="H18" i="2" s="1"/>
  <c r="D14" i="2"/>
  <c r="H17" i="2" s="1"/>
  <c r="E16" i="2"/>
  <c r="E15" i="2"/>
  <c r="I18" i="2" s="1"/>
  <c r="E14" i="2"/>
  <c r="I17" i="2" s="1"/>
  <c r="F16" i="2"/>
  <c r="J19" i="2" s="1"/>
  <c r="F15" i="2"/>
  <c r="J18" i="2" s="1"/>
  <c r="F14" i="2"/>
  <c r="J17" i="2" s="1"/>
  <c r="G19" i="2"/>
  <c r="G18" i="2"/>
  <c r="O19" i="2"/>
  <c r="N19" i="2"/>
  <c r="M19" i="2"/>
  <c r="L19" i="2"/>
  <c r="K19" i="2"/>
  <c r="I19" i="2"/>
  <c r="O18" i="2"/>
  <c r="N18" i="2"/>
  <c r="M18" i="2"/>
  <c r="L18" i="2"/>
  <c r="K18" i="2"/>
  <c r="N17" i="2"/>
  <c r="M17" i="2"/>
  <c r="L17" i="2"/>
  <c r="K17" i="2"/>
  <c r="O17" i="2"/>
  <c r="R53" i="2"/>
  <c r="P53" i="2"/>
  <c r="R48" i="2"/>
  <c r="Q48" i="2"/>
  <c r="R47" i="2"/>
  <c r="P47" i="2"/>
  <c r="R45" i="2"/>
  <c r="Q45" i="2"/>
  <c r="P45" i="2"/>
  <c r="R44" i="2"/>
  <c r="Q44" i="2"/>
  <c r="P44" i="2"/>
  <c r="W14" i="2"/>
  <c r="W16" i="2"/>
  <c r="W15" i="2"/>
  <c r="X14" i="2"/>
  <c r="Y17" i="2" s="1"/>
  <c r="X16" i="2"/>
  <c r="X19" i="2" s="1"/>
  <c r="X15" i="2"/>
  <c r="Y18" i="2" s="1"/>
  <c r="H58" i="2"/>
  <c r="H57" i="2"/>
  <c r="H55" i="2"/>
  <c r="AA17" i="2"/>
  <c r="AA19" i="2"/>
  <c r="Z19" i="2"/>
  <c r="AA18" i="2"/>
  <c r="Z18" i="2"/>
  <c r="Z17" i="2"/>
  <c r="X17" i="2"/>
  <c r="AC36" i="2" l="1"/>
  <c r="AC53" i="2" s="1"/>
  <c r="AB38" i="2"/>
  <c r="AB40" i="2" s="1"/>
  <c r="AB53" i="2"/>
  <c r="AQ30" i="2"/>
  <c r="AQ48" i="2" s="1"/>
  <c r="AP48" i="2"/>
  <c r="AJ30" i="2"/>
  <c r="AI48" i="2"/>
  <c r="AF30" i="2"/>
  <c r="AE48" i="2"/>
  <c r="AI19" i="2"/>
  <c r="AE19" i="2"/>
  <c r="AC19" i="2"/>
  <c r="AG19" i="2"/>
  <c r="AF19" i="2"/>
  <c r="AO15" i="2"/>
  <c r="AN18" i="2"/>
  <c r="AK15" i="2"/>
  <c r="AJ18" i="2"/>
  <c r="AH18" i="2"/>
  <c r="AG18" i="2"/>
  <c r="AF18" i="2"/>
  <c r="AD18" i="2"/>
  <c r="P51" i="2"/>
  <c r="Q51" i="2"/>
  <c r="P28" i="2"/>
  <c r="P50" i="2" s="1"/>
  <c r="R51" i="2"/>
  <c r="Q28" i="2"/>
  <c r="Q50" i="2" s="1"/>
  <c r="R28" i="2"/>
  <c r="R50" i="2" s="1"/>
  <c r="Y19" i="2"/>
  <c r="X18" i="2"/>
  <c r="AC38" i="2" l="1"/>
  <c r="AC61" i="2" s="1"/>
  <c r="AK30" i="2"/>
  <c r="AJ48" i="2"/>
  <c r="AG48" i="2"/>
  <c r="AF48" i="2"/>
  <c r="AJ19" i="2"/>
  <c r="AP15" i="2"/>
  <c r="AO18" i="2"/>
  <c r="AK18" i="2"/>
  <c r="AL18" i="2"/>
  <c r="AD17" i="2"/>
  <c r="P27" i="2"/>
  <c r="R27" i="2"/>
  <c r="Q27" i="2"/>
  <c r="AD34" i="2" l="1"/>
  <c r="AD35" i="2" s="1"/>
  <c r="AL30" i="2"/>
  <c r="AK48" i="2"/>
  <c r="AK19" i="2"/>
  <c r="AQ15" i="2"/>
  <c r="AQ18" i="2" s="1"/>
  <c r="AP18" i="2"/>
  <c r="AE17" i="2"/>
  <c r="AD36" i="2" l="1"/>
  <c r="AD53" i="2" s="1"/>
  <c r="AM30" i="2"/>
  <c r="AL48" i="2"/>
  <c r="AM16" i="2"/>
  <c r="AL19" i="2"/>
  <c r="AF17" i="2"/>
  <c r="AD38" i="2" l="1"/>
  <c r="AD61" i="2" s="1"/>
  <c r="AN48" i="2"/>
  <c r="AM48" i="2"/>
  <c r="AN16" i="2"/>
  <c r="AM19" i="2"/>
  <c r="AH14" i="2"/>
  <c r="AG17" i="2"/>
  <c r="AE34" i="2" l="1"/>
  <c r="AE35" i="2" s="1"/>
  <c r="AO16" i="2"/>
  <c r="AN19" i="2"/>
  <c r="AI14" i="2"/>
  <c r="AH17" i="2"/>
  <c r="AE36" i="2" l="1"/>
  <c r="AE53" i="2" s="1"/>
  <c r="AP16" i="2"/>
  <c r="AO19" i="2"/>
  <c r="AJ14" i="2"/>
  <c r="AI17" i="2"/>
  <c r="AE38" i="2" l="1"/>
  <c r="AE61" i="2" s="1"/>
  <c r="AQ16" i="2"/>
  <c r="AQ19" i="2" s="1"/>
  <c r="AP19" i="2"/>
  <c r="AK14" i="2"/>
  <c r="AJ17" i="2"/>
  <c r="AF34" i="2" l="1"/>
  <c r="AF35" i="2" s="1"/>
  <c r="AL14" i="2"/>
  <c r="AK17" i="2"/>
  <c r="AA8" i="2"/>
  <c r="Z8" i="2"/>
  <c r="Y8" i="2"/>
  <c r="V7" i="2"/>
  <c r="V8" i="2" s="1"/>
  <c r="W7" i="2"/>
  <c r="W8" i="2" s="1"/>
  <c r="X7" i="2"/>
  <c r="X8" i="2" s="1"/>
  <c r="Z11" i="2"/>
  <c r="X11" i="2"/>
  <c r="W11" i="2"/>
  <c r="Z10" i="2"/>
  <c r="X10" i="2"/>
  <c r="W10" i="2"/>
  <c r="X9" i="2"/>
  <c r="W9" i="2"/>
  <c r="AA11" i="2"/>
  <c r="AA10" i="2"/>
  <c r="Z9" i="2"/>
  <c r="AA9" i="2"/>
  <c r="V34" i="2"/>
  <c r="V32" i="2"/>
  <c r="V26" i="2"/>
  <c r="V28" i="2" s="1"/>
  <c r="W34" i="2"/>
  <c r="W32" i="2"/>
  <c r="W26" i="2"/>
  <c r="X34" i="2"/>
  <c r="X32" i="2"/>
  <c r="X26" i="2"/>
  <c r="X28" i="2" s="1"/>
  <c r="X50" i="2" s="1"/>
  <c r="X48" i="2"/>
  <c r="W48" i="2"/>
  <c r="X47" i="2"/>
  <c r="W47" i="2"/>
  <c r="X45" i="2"/>
  <c r="W45" i="2"/>
  <c r="X44" i="2"/>
  <c r="W44" i="2"/>
  <c r="AA39" i="2"/>
  <c r="AA37" i="2"/>
  <c r="AA36" i="2"/>
  <c r="AA31" i="2"/>
  <c r="AA30" i="2"/>
  <c r="AA29" i="2"/>
  <c r="AA27" i="2"/>
  <c r="AA25" i="2"/>
  <c r="AA24" i="2"/>
  <c r="Z39" i="2"/>
  <c r="Z36" i="2"/>
  <c r="Z37" i="2"/>
  <c r="Z31" i="2"/>
  <c r="Z30" i="2"/>
  <c r="Z29" i="2"/>
  <c r="Z27" i="2"/>
  <c r="Z25" i="2"/>
  <c r="Z45" i="2" s="1"/>
  <c r="Z24" i="2"/>
  <c r="Z26" i="2" s="1"/>
  <c r="Y39" i="2"/>
  <c r="Y37" i="2"/>
  <c r="Y36" i="2"/>
  <c r="Y31" i="2"/>
  <c r="Y30" i="2"/>
  <c r="Y48" i="2" s="1"/>
  <c r="Y29" i="2"/>
  <c r="Y27" i="2"/>
  <c r="Y25" i="2"/>
  <c r="Y45" i="2" s="1"/>
  <c r="Y24" i="2"/>
  <c r="Y44" i="2" s="1"/>
  <c r="D34" i="2"/>
  <c r="D32" i="2"/>
  <c r="D26" i="2"/>
  <c r="D28" i="2" s="1"/>
  <c r="E34" i="2"/>
  <c r="E32" i="2"/>
  <c r="E26" i="2"/>
  <c r="E28" i="2" s="1"/>
  <c r="F34" i="2"/>
  <c r="F32" i="2"/>
  <c r="F26" i="2"/>
  <c r="F28" i="2" s="1"/>
  <c r="C34" i="2"/>
  <c r="C32" i="2"/>
  <c r="C26" i="2"/>
  <c r="C28" i="2" s="1"/>
  <c r="G34" i="2"/>
  <c r="G32" i="2"/>
  <c r="G26" i="2"/>
  <c r="H34" i="2"/>
  <c r="H32" i="2"/>
  <c r="H26" i="2"/>
  <c r="L34" i="2"/>
  <c r="L32" i="2"/>
  <c r="L26" i="2"/>
  <c r="P46" i="2" s="1"/>
  <c r="I34" i="2"/>
  <c r="I32" i="2"/>
  <c r="I26" i="2"/>
  <c r="M34" i="2"/>
  <c r="M32" i="2"/>
  <c r="M26" i="2"/>
  <c r="Q46" i="2" s="1"/>
  <c r="J34" i="2"/>
  <c r="J32" i="2"/>
  <c r="J26" i="2"/>
  <c r="N34" i="2"/>
  <c r="N32" i="2"/>
  <c r="N26" i="2"/>
  <c r="N48" i="2"/>
  <c r="M48" i="2"/>
  <c r="L48" i="2"/>
  <c r="K48" i="2"/>
  <c r="J48" i="2"/>
  <c r="I48" i="2"/>
  <c r="H48" i="2"/>
  <c r="G48" i="2"/>
  <c r="N47" i="2"/>
  <c r="M47" i="2"/>
  <c r="L47" i="2"/>
  <c r="K47" i="2"/>
  <c r="J47" i="2"/>
  <c r="I47" i="2"/>
  <c r="H47" i="2"/>
  <c r="G47" i="2"/>
  <c r="N45" i="2"/>
  <c r="M45" i="2"/>
  <c r="L45" i="2"/>
  <c r="K45" i="2"/>
  <c r="J45" i="2"/>
  <c r="I45" i="2"/>
  <c r="H45" i="2"/>
  <c r="G45" i="2"/>
  <c r="N44" i="2"/>
  <c r="M44" i="2"/>
  <c r="L44" i="2"/>
  <c r="K44" i="2"/>
  <c r="J44" i="2"/>
  <c r="I44" i="2"/>
  <c r="H44" i="2"/>
  <c r="G44" i="2"/>
  <c r="O48" i="2"/>
  <c r="O47" i="2"/>
  <c r="O45" i="2"/>
  <c r="O44" i="2"/>
  <c r="O77" i="2"/>
  <c r="O84" i="2" s="1"/>
  <c r="O85" i="2" s="1"/>
  <c r="K77" i="2"/>
  <c r="K79" i="2" s="1"/>
  <c r="K34" i="2"/>
  <c r="K32" i="2"/>
  <c r="K26" i="2"/>
  <c r="K46" i="2" s="1"/>
  <c r="O34" i="2"/>
  <c r="O32" i="2"/>
  <c r="O26" i="2"/>
  <c r="O28" i="2" s="1"/>
  <c r="AB3" i="2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Z3" i="2"/>
  <c r="Y3" i="2" s="1"/>
  <c r="X3" i="2" s="1"/>
  <c r="W3" i="2" s="1"/>
  <c r="V3" i="2" s="1"/>
  <c r="D5" i="1"/>
  <c r="D4" i="1"/>
  <c r="K6" i="1"/>
  <c r="AF36" i="2" l="1"/>
  <c r="AF53" i="2" s="1"/>
  <c r="AM14" i="2"/>
  <c r="AL17" i="2"/>
  <c r="N28" i="2"/>
  <c r="N33" i="2" s="1"/>
  <c r="N51" i="2" s="1"/>
  <c r="R46" i="2"/>
  <c r="O33" i="2"/>
  <c r="O51" i="2" s="1"/>
  <c r="T5" i="2"/>
  <c r="T6" i="2"/>
  <c r="T4" i="2"/>
  <c r="T7" i="2"/>
  <c r="U7" i="2"/>
  <c r="U6" i="2"/>
  <c r="U5" i="2"/>
  <c r="U4" i="2"/>
  <c r="AA32" i="2"/>
  <c r="H46" i="2"/>
  <c r="L46" i="2"/>
  <c r="AA48" i="2"/>
  <c r="I46" i="2"/>
  <c r="Y34" i="2"/>
  <c r="AA45" i="2"/>
  <c r="Z47" i="2"/>
  <c r="Z34" i="2"/>
  <c r="Z48" i="2"/>
  <c r="O50" i="2"/>
  <c r="AA34" i="2"/>
  <c r="Y32" i="2"/>
  <c r="Z28" i="2"/>
  <c r="Z50" i="2" s="1"/>
  <c r="Z44" i="2"/>
  <c r="Y26" i="2"/>
  <c r="AA44" i="2"/>
  <c r="X46" i="2"/>
  <c r="AA47" i="2"/>
  <c r="Y47" i="2"/>
  <c r="G46" i="2"/>
  <c r="N50" i="2"/>
  <c r="N46" i="2"/>
  <c r="Z32" i="2"/>
  <c r="X33" i="2"/>
  <c r="M46" i="2"/>
  <c r="AA26" i="2"/>
  <c r="V33" i="2"/>
  <c r="V50" i="2"/>
  <c r="W28" i="2"/>
  <c r="W46" i="2"/>
  <c r="D50" i="2"/>
  <c r="D33" i="2"/>
  <c r="E50" i="2"/>
  <c r="E33" i="2"/>
  <c r="F50" i="2"/>
  <c r="F33" i="2"/>
  <c r="C50" i="2"/>
  <c r="C33" i="2"/>
  <c r="G28" i="2"/>
  <c r="H28" i="2"/>
  <c r="L28" i="2"/>
  <c r="I28" i="2"/>
  <c r="M28" i="2"/>
  <c r="J28" i="2"/>
  <c r="J46" i="2"/>
  <c r="O46" i="2"/>
  <c r="N35" i="2"/>
  <c r="K84" i="2"/>
  <c r="K85" i="2" s="1"/>
  <c r="O79" i="2"/>
  <c r="K28" i="2"/>
  <c r="K8" i="1"/>
  <c r="K7" i="1"/>
  <c r="AF38" i="2" l="1"/>
  <c r="AF61" i="2" s="1"/>
  <c r="AN14" i="2"/>
  <c r="AM17" i="2"/>
  <c r="O35" i="2"/>
  <c r="Z33" i="2"/>
  <c r="Z51" i="2" s="1"/>
  <c r="Z35" i="2"/>
  <c r="Z53" i="2" s="1"/>
  <c r="O38" i="2"/>
  <c r="O53" i="2"/>
  <c r="K33" i="2"/>
  <c r="K50" i="2"/>
  <c r="Y28" i="2"/>
  <c r="Y46" i="2"/>
  <c r="N38" i="2"/>
  <c r="N40" i="2" s="1"/>
  <c r="N53" i="2"/>
  <c r="J33" i="2"/>
  <c r="J50" i="2"/>
  <c r="X51" i="2"/>
  <c r="X35" i="2"/>
  <c r="AA28" i="2"/>
  <c r="AA46" i="2"/>
  <c r="Z46" i="2"/>
  <c r="V35" i="2"/>
  <c r="V51" i="2"/>
  <c r="W33" i="2"/>
  <c r="W50" i="2"/>
  <c r="D35" i="2"/>
  <c r="D51" i="2"/>
  <c r="E35" i="2"/>
  <c r="E51" i="2"/>
  <c r="F35" i="2"/>
  <c r="F51" i="2"/>
  <c r="C35" i="2"/>
  <c r="C51" i="2"/>
  <c r="G33" i="2"/>
  <c r="G50" i="2"/>
  <c r="H33" i="2"/>
  <c r="H50" i="2"/>
  <c r="L33" i="2"/>
  <c r="L50" i="2"/>
  <c r="I33" i="2"/>
  <c r="I50" i="2"/>
  <c r="M33" i="2"/>
  <c r="M50" i="2"/>
  <c r="K9" i="1"/>
  <c r="K11" i="1"/>
  <c r="AG34" i="2" l="1"/>
  <c r="AG35" i="2" s="1"/>
  <c r="AO14" i="2"/>
  <c r="AN17" i="2"/>
  <c r="K35" i="2"/>
  <c r="K51" i="2"/>
  <c r="J35" i="2"/>
  <c r="J51" i="2"/>
  <c r="Y33" i="2"/>
  <c r="Y50" i="2"/>
  <c r="O63" i="2"/>
  <c r="O40" i="2"/>
  <c r="AA50" i="2"/>
  <c r="AA33" i="2"/>
  <c r="X38" i="2"/>
  <c r="X40" i="2" s="1"/>
  <c r="X53" i="2"/>
  <c r="Z38" i="2"/>
  <c r="Z40" i="2" s="1"/>
  <c r="V38" i="2"/>
  <c r="V40" i="2" s="1"/>
  <c r="V53" i="2"/>
  <c r="W35" i="2"/>
  <c r="W51" i="2"/>
  <c r="D38" i="2"/>
  <c r="D40" i="2" s="1"/>
  <c r="D53" i="2"/>
  <c r="E38" i="2"/>
  <c r="E40" i="2" s="1"/>
  <c r="E53" i="2"/>
  <c r="F38" i="2"/>
  <c r="F40" i="2" s="1"/>
  <c r="F53" i="2"/>
  <c r="C38" i="2"/>
  <c r="C40" i="2" s="1"/>
  <c r="C53" i="2"/>
  <c r="G35" i="2"/>
  <c r="G51" i="2"/>
  <c r="H51" i="2"/>
  <c r="H35" i="2"/>
  <c r="L35" i="2"/>
  <c r="L51" i="2"/>
  <c r="I35" i="2"/>
  <c r="I51" i="2"/>
  <c r="M35" i="2"/>
  <c r="M51" i="2"/>
  <c r="AG36" i="2" l="1"/>
  <c r="AG53" i="2" s="1"/>
  <c r="AP14" i="2"/>
  <c r="AO17" i="2"/>
  <c r="AA35" i="2"/>
  <c r="AA51" i="2"/>
  <c r="Y35" i="2"/>
  <c r="Y51" i="2"/>
  <c r="J38" i="2"/>
  <c r="J40" i="2" s="1"/>
  <c r="J53" i="2"/>
  <c r="K53" i="2"/>
  <c r="K38" i="2"/>
  <c r="W38" i="2"/>
  <c r="W40" i="2" s="1"/>
  <c r="W53" i="2"/>
  <c r="G53" i="2"/>
  <c r="G38" i="2"/>
  <c r="G40" i="2" s="1"/>
  <c r="H38" i="2"/>
  <c r="H40" i="2" s="1"/>
  <c r="H53" i="2"/>
  <c r="L38" i="2"/>
  <c r="L40" i="2" s="1"/>
  <c r="L53" i="2"/>
  <c r="I38" i="2"/>
  <c r="I40" i="2" s="1"/>
  <c r="I53" i="2"/>
  <c r="M38" i="2"/>
  <c r="M40" i="2" s="1"/>
  <c r="M53" i="2"/>
  <c r="AG38" i="2" l="1"/>
  <c r="AG61" i="2" s="1"/>
  <c r="AQ14" i="2"/>
  <c r="AQ17" i="2" s="1"/>
  <c r="AP17" i="2"/>
  <c r="Y38" i="2"/>
  <c r="Y40" i="2" s="1"/>
  <c r="Y53" i="2"/>
  <c r="K63" i="2"/>
  <c r="K40" i="2"/>
  <c r="AA38" i="2"/>
  <c r="AA40" i="2" s="1"/>
  <c r="AA53" i="2"/>
  <c r="AH34" i="2" l="1"/>
  <c r="AH35" i="2" s="1"/>
  <c r="AH53" i="2" l="1"/>
  <c r="AH36" i="2"/>
  <c r="AH38" i="2"/>
  <c r="AH61" i="2" s="1"/>
  <c r="AI34" i="2" l="1"/>
  <c r="AI35" i="2" s="1"/>
  <c r="AI36" i="2" l="1"/>
  <c r="AI53" i="2" s="1"/>
  <c r="AI38" i="2"/>
  <c r="AI61" i="2" s="1"/>
  <c r="AJ34" i="2" l="1"/>
  <c r="AJ35" i="2" s="1"/>
  <c r="AJ36" i="2" l="1"/>
  <c r="AJ53" i="2" s="1"/>
  <c r="AJ38" i="2" l="1"/>
  <c r="AJ61" i="2" s="1"/>
  <c r="AK34" i="2" l="1"/>
  <c r="AK35" i="2" s="1"/>
  <c r="AK36" i="2" l="1"/>
  <c r="AK53" i="2" s="1"/>
  <c r="AK38" i="2"/>
  <c r="AK61" i="2" s="1"/>
  <c r="AL34" i="2" l="1"/>
  <c r="AL35" i="2" s="1"/>
  <c r="AL36" i="2" l="1"/>
  <c r="AL53" i="2" s="1"/>
  <c r="AL38" i="2"/>
  <c r="AL61" i="2" s="1"/>
  <c r="AM34" i="2" l="1"/>
  <c r="AM35" i="2" s="1"/>
  <c r="AM36" i="2" l="1"/>
  <c r="AM53" i="2" s="1"/>
  <c r="AM38" i="2" l="1"/>
  <c r="AM61" i="2" s="1"/>
  <c r="AN34" i="2" l="1"/>
  <c r="AN35" i="2" s="1"/>
  <c r="AN36" i="2" l="1"/>
  <c r="AN53" i="2" s="1"/>
  <c r="AN38" i="2"/>
  <c r="AN61" i="2" s="1"/>
  <c r="AO34" i="2" l="1"/>
  <c r="AO35" i="2" s="1"/>
  <c r="AO36" i="2" l="1"/>
  <c r="AO53" i="2" s="1"/>
  <c r="AO38" i="2" l="1"/>
  <c r="AO61" i="2" s="1"/>
  <c r="AP34" i="2" l="1"/>
  <c r="AP35" i="2" s="1"/>
  <c r="AP36" i="2" l="1"/>
  <c r="AP53" i="2" s="1"/>
  <c r="AP38" i="2" l="1"/>
  <c r="AP61" i="2" s="1"/>
  <c r="AQ34" i="2" l="1"/>
  <c r="AQ35" i="2" s="1"/>
  <c r="AQ36" i="2" l="1"/>
  <c r="AQ53" i="2" s="1"/>
  <c r="AQ38" i="2" l="1"/>
  <c r="AQ6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Y3" authorId="0" shapeId="0" xr:uid="{1DBA27E3-50BA-4C4D-86A5-798BEBE68A30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revrec is different. changed from revenue from WHERE manufactured, to WHERE OEM HQs are (where sold)
</t>
        </r>
      </text>
    </comment>
    <comment ref="Y5" authorId="0" shapeId="0" xr:uid="{635E4908-E7B7-7F45-8FD3-53D3D6649A66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10x growth WTF?</t>
        </r>
      </text>
    </comment>
    <comment ref="Y6" authorId="0" shapeId="0" xr:uid="{16BFE040-A304-9744-806B-F72C82DCEDFA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4x growth WTF?</t>
        </r>
      </text>
    </comment>
    <comment ref="K14" authorId="0" shapeId="0" xr:uid="{E34BEBE4-DAA8-684D-8299-B52784ADF3B4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samasung making their own exynos</t>
        </r>
      </text>
    </comment>
    <comment ref="P14" authorId="0" shapeId="0" xr:uid="{4F88EA08-CEFA-0C41-9974-AD1829B9B7D7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8.9 to 9.5 total qct</t>
        </r>
      </text>
    </comment>
    <comment ref="AD14" authorId="0" shapeId="0" xr:uid="{7A0D19FB-4453-FD4D-89EE-D65BD2C7101D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aapl modem dead.</t>
        </r>
      </text>
    </comment>
    <comment ref="AC15" authorId="0" shapeId="0" xr:uid="{EE98ED83-1A1F-764B-B1BD-E44EAD5F55CC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auto investor day projections</t>
        </r>
      </text>
    </comment>
    <comment ref="AG15" authorId="0" shapeId="0" xr:uid="{54EB3041-13D5-A148-A629-760FABF63934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9bn+ guidance</t>
        </r>
      </text>
    </comment>
    <comment ref="AA16" authorId="0" shapeId="0" xr:uid="{F3836734-22F9-8F4E-BAA5-C0700C5F3949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cpus to windows</t>
        </r>
      </text>
    </comment>
    <comment ref="AF16" authorId="0" shapeId="0" xr:uid="{DC02C4E8-A146-334E-8C6B-7C24FF2FFBF5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4b in pc rev, 2b in ar/vr rev</t>
        </r>
      </text>
    </comment>
    <comment ref="AM16" authorId="0" shapeId="0" xr:uid="{D13255D1-8E13-BF43-8FAD-DA639C6A0696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their long term is 12% mkt share which is 2029. and this would be roughly 25% which is probably quite dominate saturatation</t>
        </r>
      </text>
    </comment>
    <comment ref="P26" authorId="0" shapeId="0" xr:uid="{0B6E5363-5F6B-A143-BCA7-0F7617DC0349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10.3-11.2</t>
        </r>
      </text>
    </comment>
  </commentList>
</comments>
</file>

<file path=xl/sharedStrings.xml><?xml version="1.0" encoding="utf-8"?>
<sst xmlns="http://schemas.openxmlformats.org/spreadsheetml/2006/main" count="166" uniqueCount="154">
  <si>
    <t>Price</t>
  </si>
  <si>
    <t>Shares</t>
  </si>
  <si>
    <t>MC</t>
  </si>
  <si>
    <t>Cash</t>
  </si>
  <si>
    <t>Debt</t>
  </si>
  <si>
    <t>EV</t>
  </si>
  <si>
    <t>Net Cash</t>
  </si>
  <si>
    <t>Q125</t>
  </si>
  <si>
    <t>Q424</t>
  </si>
  <si>
    <t>Segments</t>
  </si>
  <si>
    <t>Business</t>
  </si>
  <si>
    <t>3g, 4g, 5g</t>
  </si>
  <si>
    <t>high perf, low-power computing and on-device AI</t>
  </si>
  <si>
    <t>Sells parts for smart phones</t>
  </si>
  <si>
    <t>Automotive, IOT</t>
  </si>
  <si>
    <t>Snapdragon digital chassis</t>
  </si>
  <si>
    <t>Digital cockpit / driver assistance</t>
  </si>
  <si>
    <t>Invented</t>
  </si>
  <si>
    <t>Code Division Multiple Access, Orthogonal Frequency Division Multiple Access</t>
  </si>
  <si>
    <t>LTE</t>
  </si>
  <si>
    <t>5G</t>
  </si>
  <si>
    <t>Thesis is gen-ai capable phones (46% of phones in 2027) instead of pumping llms to cloud only</t>
  </si>
  <si>
    <t>Thesis: 67% of new vehicles in 2030 will have embedded cellular activities, with 48% of new vehicles with 5G (vs 11% of vehicles with 4G in 2024)</t>
  </si>
  <si>
    <t>Snapdragon, SoCs</t>
  </si>
  <si>
    <t>GPU, NPU, CPUs</t>
  </si>
  <si>
    <t>QCT</t>
  </si>
  <si>
    <t>Description</t>
  </si>
  <si>
    <t>All of their integrated cicruits/hardware</t>
  </si>
  <si>
    <t>QTL</t>
  </si>
  <si>
    <t>Their IP license revenue. 3g-5g, etc</t>
  </si>
  <si>
    <t>QSI</t>
  </si>
  <si>
    <t>Their investment / ventures to intro new products, acquisitions, and investments</t>
  </si>
  <si>
    <t>% Rev 2024</t>
  </si>
  <si>
    <t>N/A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</si>
  <si>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</si>
  <si>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</si>
  <si>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</si>
  <si>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</si>
  <si>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</si>
  <si>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</si>
  <si>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</si>
  <si>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</si>
  <si>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</si>
  <si>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</si>
  <si>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</si>
  <si>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</si>
  <si>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Equipment &amp; Services</t>
  </si>
  <si>
    <t>Licenses</t>
  </si>
  <si>
    <t>COGs</t>
  </si>
  <si>
    <t>R&amp;D</t>
  </si>
  <si>
    <t>Gross Profit</t>
  </si>
  <si>
    <t>SG&amp;A</t>
  </si>
  <si>
    <t>Other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</si>
  <si>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</si>
  <si>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</si>
  <si>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</si>
  <si>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</si>
  <si>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</si>
  <si>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</si>
  <si>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</si>
  <si>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Reported NI</t>
  </si>
  <si>
    <t>Model NI</t>
  </si>
  <si>
    <t>D&amp;A</t>
  </si>
  <si>
    <t>D/T</t>
  </si>
  <si>
    <t>SBC</t>
  </si>
  <si>
    <t>Gains on securities</t>
  </si>
  <si>
    <t>A/R</t>
  </si>
  <si>
    <t>Inventories</t>
  </si>
  <si>
    <t>Other assets</t>
  </si>
  <si>
    <t>Trade A/P</t>
  </si>
  <si>
    <t>Payroll</t>
  </si>
  <si>
    <t>D/R</t>
  </si>
  <si>
    <t>CFFO</t>
  </si>
  <si>
    <t>Capex</t>
  </si>
  <si>
    <t>FCF</t>
  </si>
  <si>
    <t>CFFI</t>
  </si>
  <si>
    <t>Repurchases</t>
  </si>
  <si>
    <t>CFFF</t>
  </si>
  <si>
    <t>Cash Flow</t>
  </si>
  <si>
    <t>Discontinued Ops</t>
  </si>
  <si>
    <t>FX</t>
  </si>
  <si>
    <t>Cash Flow - Repurchase</t>
  </si>
  <si>
    <t>Revenue Growth</t>
  </si>
  <si>
    <t>R&amp;D Growth</t>
  </si>
  <si>
    <t>SG&amp;A Growth</t>
  </si>
  <si>
    <t>Gross Margin</t>
  </si>
  <si>
    <t>Operating Margin</t>
  </si>
  <si>
    <t>Equipment Growth</t>
  </si>
  <si>
    <t>Licenses Growth</t>
  </si>
  <si>
    <t>Discontinued</t>
  </si>
  <si>
    <t>Tax</t>
  </si>
  <si>
    <t>Q225</t>
  </si>
  <si>
    <t>Q325</t>
  </si>
  <si>
    <t>Q425</t>
  </si>
  <si>
    <t>China</t>
  </si>
  <si>
    <t>US</t>
  </si>
  <si>
    <t>S. Korea</t>
  </si>
  <si>
    <t>China Growth</t>
  </si>
  <si>
    <t>US Growth</t>
  </si>
  <si>
    <t>S Korea Growth</t>
  </si>
  <si>
    <t>Sum</t>
  </si>
  <si>
    <t>n/a</t>
  </si>
  <si>
    <t>Mostly chinese customers, and snapdragon on samsung</t>
  </si>
  <si>
    <t>Past 5 years, there is a R=.53 correlation to Samsung on a daily basis</t>
  </si>
  <si>
    <t>Quant</t>
  </si>
  <si>
    <t>Much weaker correlation on monthly. .4455</t>
  </si>
  <si>
    <t>https://gs.statcounter.com/os-market-share/mobile/worldwide/#monthly-200901-202502</t>
  </si>
  <si>
    <t>Android stagnant mkt share since 2019.</t>
  </si>
  <si>
    <t>Appl more and more market share since 2019</t>
  </si>
  <si>
    <t>Android/Aapl stagnant mkt share since 2022</t>
  </si>
  <si>
    <t>Probably android users be android users and vice versa. Hard to switch</t>
  </si>
  <si>
    <t>Vendor mkt share as of 2025</t>
  </si>
  <si>
    <t>Apple</t>
  </si>
  <si>
    <t>Samsung</t>
  </si>
  <si>
    <t>Xiaomi</t>
  </si>
  <si>
    <t>Below: Samsung slowly losing. Apple regaining mkt share. Other/unknown vendors gaining past year or so.</t>
  </si>
  <si>
    <t>So samsung is hitting maturity and declining over time.</t>
  </si>
  <si>
    <t>Seems like mobile doesn't matter too much as QCT is diversifying. Drop in Samsung mkt share and revenue for QCOM still goes up</t>
  </si>
  <si>
    <t>AAPL also slowly taking all of asia mkt share.</t>
  </si>
  <si>
    <t>AAPL dominates USA.</t>
  </si>
  <si>
    <t>Neither Samsung/AAPL moved a ton since 2015. Though both slight decline with rise of pixel.</t>
  </si>
  <si>
    <t>QCT Revenues</t>
  </si>
  <si>
    <t>Handsets</t>
  </si>
  <si>
    <t>Automotive</t>
  </si>
  <si>
    <t>IOT</t>
  </si>
  <si>
    <t>Handset growth</t>
  </si>
  <si>
    <t>Auto Growth</t>
  </si>
  <si>
    <t>IOT Growth</t>
  </si>
  <si>
    <t>Other stats</t>
  </si>
  <si>
    <t>Average phone replacement is 3.6y</t>
  </si>
  <si>
    <t>Average pop growth target phone users, say, 1970 to 2010, about 1.5% per year</t>
  </si>
  <si>
    <t>PC, tablets, edge networking, industrial</t>
  </si>
  <si>
    <t>Smartphone (android) snapdragon</t>
  </si>
  <si>
    <t>Risks</t>
  </si>
  <si>
    <t>Samsung making their own chips</t>
  </si>
  <si>
    <t>Pros</t>
  </si>
  <si>
    <t>China TAM growing</t>
  </si>
  <si>
    <t>China policies, aapl, etc</t>
  </si>
  <si>
    <t>Automotive exploding growth with moat</t>
  </si>
  <si>
    <t>iot copilot snapdragon exploding, compatible with arm, slow and steady growth</t>
  </si>
  <si>
    <t>AI more features = more chinese usage cuz Chinese love taking pix</t>
  </si>
  <si>
    <t>Eventual penetration to mid-tier even poor chinese will buy and mid-TAM expands</t>
  </si>
  <si>
    <t>aapl going internal with modem</t>
  </si>
  <si>
    <t>AAPL total 20% revenue</t>
  </si>
  <si>
    <t>17% rev from AAPL modem</t>
  </si>
  <si>
    <t>so 14% drop in rev 2027</t>
  </si>
  <si>
    <t>aapl drop</t>
  </si>
  <si>
    <t>QCT % Revenue</t>
  </si>
  <si>
    <t>ROIC</t>
  </si>
  <si>
    <t>Maturity</t>
  </si>
  <si>
    <t>Discount Rate</t>
  </si>
  <si>
    <t>NPV</t>
  </si>
  <si>
    <t>Spot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</si>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</sst>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0" applyNumberFormat="1" applyAlignment="1">
      <alignment horizontal="right"/>
    </xf>
    <xf numFmtId="9" fontId="3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10" fontId="0" fillId="0" borderId="0" xfId="0" applyNumberFormat="1"/>
    <xf numFmtId="3" fontId="3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9" fontId="2" fillId="0" borderId="0" xfId="0" applyNumberFormat="1" applyFont="1"/>
    <xf numFmtId="3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50</xdr:row>
      <xdr:rowOff>88900</xdr:rowOff>
    </xdr:from>
    <xdr:to>
      <xdr:col>7</xdr:col>
      <xdr:colOff>244422</xdr:colOff>
      <xdr:row>70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0C38B4-814F-F588-E099-266754476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0045700"/>
          <a:ext cx="7242122" cy="40894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50</xdr:row>
      <xdr:rowOff>139700</xdr:rowOff>
    </xdr:from>
    <xdr:to>
      <xdr:col>16</xdr:col>
      <xdr:colOff>38100</xdr:colOff>
      <xdr:row>71</xdr:row>
      <xdr:rowOff>25430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7E1D3D-864A-60C3-A7B2-84CD1CF9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0" y="9690100"/>
          <a:ext cx="7353300" cy="4152930"/>
        </a:xfrm>
        <a:prstGeom prst="rect">
          <a:avLst/>
        </a:prstGeom>
      </xdr:spPr>
    </xdr:pic>
    <xdr:clientData/>
  </xdr:twoCellAnchor>
  <xdr:twoCellAnchor editAs="oneCell">
    <xdr:from>
      <xdr:col>0</xdr:col>
      <xdr:colOff>520700</xdr:colOff>
      <xdr:row>70</xdr:row>
      <xdr:rowOff>190500</xdr:rowOff>
    </xdr:from>
    <xdr:to>
      <xdr:col>8</xdr:col>
      <xdr:colOff>12700</xdr:colOff>
      <xdr:row>92</xdr:row>
      <xdr:rowOff>106132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A9D21E-AE4A-BC8D-876F-F01014166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0700" y="13804900"/>
          <a:ext cx="7772400" cy="4386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800100</xdr:colOff>
      <xdr:row>0</xdr:row>
      <xdr:rowOff>114300</xdr:rowOff>
    </xdr:from>
    <xdr:to>
      <xdr:col>14</xdr:col>
      <xdr:colOff>800100</xdr:colOff>
      <xdr:row>73</xdr:row>
      <xdr:rowOff>88900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C98D275-A6BF-D3DB-8607-A073F2D2AB66}"/>
            </a:ext>
          </a:extLst>
        </xdr:cNvPr>
        <xdr:cNvCxnSpPr/>
      </xdr:nvCxnSpPr>
      <xdr:spPr>
        <a:xfrm>
          <a:off x="12357100" y="114300"/>
          <a:ext cx="0" cy="10134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127000</xdr:rowOff>
    </xdr:from>
    <xdr:to>
      <xdr:col>27</xdr:col>
      <xdr:colOff>0</xdr:colOff>
      <xdr:row>73</xdr:row>
      <xdr:rowOff>101600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34F9974-6761-7D49-8677-AF45A1DE4679}"/>
            </a:ext>
          </a:extLst>
        </xdr:cNvPr>
        <xdr:cNvCxnSpPr/>
      </xdr:nvCxnSpPr>
      <xdr:spPr>
        <a:xfrm>
          <a:off x="22606000" y="127000"/>
          <a:ext cx="0" cy="14808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522F0-716C-754B-9CF5-0C8692BECAFC}" name="Table1" displayName="Table1" ref="B3:D6" totalsRowShown="0" headerRowDxfId="2">
  <autoFilter ref="B3:D6" xr:uid="{D32522F0-716C-754B-9CF5-0C8692BECAFC}"/>
  <tableColumns count="3">
    <tableColumn id="1" xr3:uid="{83A822C3-C419-134D-954D-D93F39729480}" name="Segments" dataDxfId="1"/>
    <tableColumn id="2" xr3:uid="{372A27E9-CB14-9B43-A7BE-59948788D921}" name="Description" dataDxfId="0"/>
    <tableColumn id="3" xr3:uid="{B0D18D44-6426-324D-B467-1CAAACA15539}" name="% Rev 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75B1-69B3-0D4E-BF03-8F158E57C4AE}">
  <dimension ref="B3:L50"/>
  <sheetViews>
    <sheetView workbookViewId="0">
      <selection activeCell="K4" sqref="K4"/>
    </sheetView>
  </sheetViews>
  <sheetFormatPr baseColWidth="10" defaultRowHeight="16" x14ac:dyDescent="0.2"/>
  <cols>
    <col min="2" max="2" width="11.83203125" customWidth="1"/>
    <col min="3" max="3" width="30" customWidth="1"/>
    <col min="4" max="4" width="12.6640625" customWidth="1"/>
  </cols>
  <sheetData>
    <row r="3" spans="2:12" x14ac:dyDescent="0.2">
      <c r="B3" s="7" t="s">
        <v>9</v>
      </c>
      <c r="C3" s="7" t="s">
        <v>26</v>
      </c>
      <c r="D3" s="7" t="s">
        <v>32</v>
      </c>
    </row>
    <row r="4" spans="2:12" x14ac:dyDescent="0.2">
      <c r="B4" s="5" t="s">
        <v>25</v>
      </c>
      <c r="C4" s="5" t="s">
        <v>27</v>
      </c>
      <c r="D4" s="5">
        <f>32791/38962</f>
        <v>0.84161490683229812</v>
      </c>
      <c r="J4" t="s">
        <v>0</v>
      </c>
      <c r="K4" s="1">
        <v>155.30000000000001</v>
      </c>
    </row>
    <row r="5" spans="2:12" x14ac:dyDescent="0.2">
      <c r="B5" s="5" t="s">
        <v>28</v>
      </c>
      <c r="C5" s="5" t="s">
        <v>29</v>
      </c>
      <c r="D5" s="5">
        <f>6171/38962</f>
        <v>0.15838509316770186</v>
      </c>
      <c r="J5" t="s">
        <v>1</v>
      </c>
      <c r="K5" s="1">
        <v>1106</v>
      </c>
      <c r="L5" t="s">
        <v>8</v>
      </c>
    </row>
    <row r="6" spans="2:12" x14ac:dyDescent="0.2">
      <c r="B6" s="5" t="s">
        <v>30</v>
      </c>
      <c r="C6" s="5" t="s">
        <v>31</v>
      </c>
      <c r="D6" s="6" t="s">
        <v>33</v>
      </c>
      <c r="J6" t="s">
        <v>2</v>
      </c>
      <c r="K6" s="1">
        <f>+K5*K4</f>
        <v>171761.80000000002</v>
      </c>
    </row>
    <row r="7" spans="2:12" x14ac:dyDescent="0.2">
      <c r="J7" t="s">
        <v>3</v>
      </c>
      <c r="K7" s="1">
        <f>8713+5592</f>
        <v>14305</v>
      </c>
      <c r="L7" t="s">
        <v>8</v>
      </c>
    </row>
    <row r="8" spans="2:12" x14ac:dyDescent="0.2">
      <c r="J8" t="s">
        <v>4</v>
      </c>
      <c r="K8" s="1">
        <f>1365+13212</f>
        <v>14577</v>
      </c>
      <c r="L8" t="s">
        <v>8</v>
      </c>
    </row>
    <row r="9" spans="2:12" x14ac:dyDescent="0.2">
      <c r="J9" t="s">
        <v>5</v>
      </c>
      <c r="K9" s="1">
        <f>+K6-K7+K8</f>
        <v>172033.80000000002</v>
      </c>
    </row>
    <row r="11" spans="2:12" x14ac:dyDescent="0.2">
      <c r="J11" t="s">
        <v>6</v>
      </c>
      <c r="K11">
        <f>+K7-K8</f>
        <v>-272</v>
      </c>
    </row>
    <row r="16" spans="2:12" x14ac:dyDescent="0.2">
      <c r="B16" s="4" t="s">
        <v>10</v>
      </c>
    </row>
    <row r="17" spans="2:4" x14ac:dyDescent="0.2">
      <c r="B17" s="3" t="s">
        <v>13</v>
      </c>
      <c r="C17" t="s">
        <v>11</v>
      </c>
    </row>
    <row r="18" spans="2:4" x14ac:dyDescent="0.2">
      <c r="C18" t="s">
        <v>12</v>
      </c>
      <c r="D18" t="s">
        <v>21</v>
      </c>
    </row>
    <row r="19" spans="2:4" x14ac:dyDescent="0.2">
      <c r="C19" t="s">
        <v>132</v>
      </c>
    </row>
    <row r="20" spans="2:4" x14ac:dyDescent="0.2">
      <c r="B20" t="s">
        <v>14</v>
      </c>
      <c r="C20" t="s">
        <v>15</v>
      </c>
    </row>
    <row r="21" spans="2:4" x14ac:dyDescent="0.2">
      <c r="C21" t="s">
        <v>16</v>
      </c>
      <c r="D21" t="s">
        <v>22</v>
      </c>
    </row>
    <row r="22" spans="2:4" x14ac:dyDescent="0.2">
      <c r="B22" t="s">
        <v>124</v>
      </c>
      <c r="C22" t="s">
        <v>131</v>
      </c>
    </row>
    <row r="23" spans="2:4" x14ac:dyDescent="0.2">
      <c r="C23" t="s">
        <v>23</v>
      </c>
    </row>
    <row r="24" spans="2:4" x14ac:dyDescent="0.2">
      <c r="C24" t="s">
        <v>24</v>
      </c>
    </row>
    <row r="27" spans="2:4" x14ac:dyDescent="0.2">
      <c r="B27" t="s">
        <v>17</v>
      </c>
      <c r="C27" t="s">
        <v>18</v>
      </c>
    </row>
    <row r="28" spans="2:4" x14ac:dyDescent="0.2">
      <c r="C28" t="s">
        <v>19</v>
      </c>
    </row>
    <row r="29" spans="2:4" x14ac:dyDescent="0.2">
      <c r="C29" t="s">
        <v>20</v>
      </c>
    </row>
    <row r="31" spans="2:4" x14ac:dyDescent="0.2">
      <c r="B31" s="4" t="s">
        <v>104</v>
      </c>
    </row>
    <row r="32" spans="2:4" x14ac:dyDescent="0.2">
      <c r="B32" s="2" t="s">
        <v>103</v>
      </c>
    </row>
    <row r="33" spans="2:8" x14ac:dyDescent="0.2">
      <c r="B33" t="s">
        <v>105</v>
      </c>
    </row>
    <row r="34" spans="2:8" x14ac:dyDescent="0.2">
      <c r="B34" t="s">
        <v>102</v>
      </c>
    </row>
    <row r="36" spans="2:8" x14ac:dyDescent="0.2">
      <c r="B36" s="4" t="s">
        <v>128</v>
      </c>
    </row>
    <row r="37" spans="2:8" x14ac:dyDescent="0.2">
      <c r="B37" t="s">
        <v>106</v>
      </c>
      <c r="H37" t="s">
        <v>129</v>
      </c>
    </row>
    <row r="38" spans="2:8" x14ac:dyDescent="0.2">
      <c r="B38" t="s">
        <v>107</v>
      </c>
      <c r="H38" t="s">
        <v>130</v>
      </c>
    </row>
    <row r="39" spans="2:8" x14ac:dyDescent="0.2">
      <c r="B39" t="s">
        <v>108</v>
      </c>
    </row>
    <row r="40" spans="2:8" x14ac:dyDescent="0.2">
      <c r="B40" t="s">
        <v>109</v>
      </c>
    </row>
    <row r="41" spans="2:8" x14ac:dyDescent="0.2">
      <c r="B41" t="s">
        <v>111</v>
      </c>
      <c r="C41" t="s">
        <v>110</v>
      </c>
    </row>
    <row r="42" spans="2:8" x14ac:dyDescent="0.2">
      <c r="B42" t="s">
        <v>112</v>
      </c>
    </row>
    <row r="43" spans="2:8" x14ac:dyDescent="0.2">
      <c r="B43" t="s">
        <v>113</v>
      </c>
      <c r="C43" s="13">
        <v>0.27810000000000001</v>
      </c>
    </row>
    <row r="44" spans="2:8" x14ac:dyDescent="0.2">
      <c r="B44" t="s">
        <v>114</v>
      </c>
      <c r="C44" s="13">
        <v>0.2361</v>
      </c>
    </row>
    <row r="45" spans="2:8" x14ac:dyDescent="0.2">
      <c r="B45" t="s">
        <v>115</v>
      </c>
      <c r="C45" s="13">
        <v>0.1138</v>
      </c>
    </row>
    <row r="46" spans="2:8" x14ac:dyDescent="0.2">
      <c r="B46" t="s">
        <v>116</v>
      </c>
    </row>
    <row r="47" spans="2:8" x14ac:dyDescent="0.2">
      <c r="B47" t="s">
        <v>117</v>
      </c>
    </row>
    <row r="48" spans="2:8" x14ac:dyDescent="0.2">
      <c r="B48" t="s">
        <v>118</v>
      </c>
    </row>
    <row r="49" spans="2:2" x14ac:dyDescent="0.2">
      <c r="B49" t="s">
        <v>119</v>
      </c>
    </row>
    <row r="50" spans="2:2" x14ac:dyDescent="0.2">
      <c r="B50" t="s">
        <v>120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EF99-BA36-374F-85B6-D52A3D3264A4}">
  <dimension ref="B2:FT85"/>
  <sheetViews>
    <sheetView tabSelected="1" workbookViewId="0">
      <pane xSplit="2" ySplit="3" topLeftCell="AL12" activePane="bottomRight" state="frozen"/>
      <selection pane="topRight" activeCell="C1" sqref="C1"/>
      <selection pane="bottomLeft" activeCell="A4" sqref="A4"/>
      <selection pane="bottomRight" activeCell="AV47" sqref="AV47"/>
    </sheetView>
  </sheetViews>
  <sheetFormatPr baseColWidth="10" defaultRowHeight="16" x14ac:dyDescent="0.2"/>
  <cols>
    <col min="2" max="2" width="15" customWidth="1"/>
  </cols>
  <sheetData>
    <row r="2" spans="2:43" x14ac:dyDescent="0.2">
      <c r="C2" s="8">
        <v>44556</v>
      </c>
      <c r="D2" s="8">
        <v>44647</v>
      </c>
      <c r="E2" s="8">
        <v>44738</v>
      </c>
      <c r="F2" s="8">
        <v>44829</v>
      </c>
      <c r="G2" s="8">
        <v>44920</v>
      </c>
      <c r="H2" s="8">
        <v>45011</v>
      </c>
      <c r="I2" s="8">
        <v>45102</v>
      </c>
      <c r="J2" s="8">
        <v>45193</v>
      </c>
      <c r="K2" s="8">
        <v>45284</v>
      </c>
      <c r="L2" s="8">
        <v>45375</v>
      </c>
      <c r="M2" s="8">
        <v>45466</v>
      </c>
      <c r="N2" s="8">
        <v>45564</v>
      </c>
      <c r="O2" s="8">
        <v>45655</v>
      </c>
    </row>
    <row r="3" spans="2:43" s="9" customFormat="1" x14ac:dyDescent="0.2">
      <c r="C3" s="9" t="s">
        <v>35</v>
      </c>
      <c r="D3" s="9" t="s">
        <v>36</v>
      </c>
      <c r="E3" s="9" t="s">
        <v>37</v>
      </c>
      <c r="F3" s="9" t="s">
        <v>38</v>
      </c>
      <c r="G3" s="9" t="s">
        <v>39</v>
      </c>
      <c r="H3" s="9" t="s">
        <v>40</v>
      </c>
      <c r="I3" s="9" t="s">
        <v>41</v>
      </c>
      <c r="J3" s="9" t="s">
        <v>42</v>
      </c>
      <c r="K3" s="9" t="s">
        <v>43</v>
      </c>
      <c r="L3" s="9" t="s">
        <v>44</v>
      </c>
      <c r="M3" s="9" t="s">
        <v>45</v>
      </c>
      <c r="N3" s="9" t="s">
        <v>8</v>
      </c>
      <c r="O3" s="9" t="s">
        <v>7</v>
      </c>
      <c r="P3" s="9" t="s">
        <v>91</v>
      </c>
      <c r="Q3" s="9" t="s">
        <v>92</v>
      </c>
      <c r="R3" s="9" t="s">
        <v>93</v>
      </c>
      <c r="V3" s="9">
        <f t="shared" ref="V3:Y3" si="0">+W3-1</f>
        <v>2019</v>
      </c>
      <c r="W3" s="9">
        <f t="shared" si="0"/>
        <v>2020</v>
      </c>
      <c r="X3" s="9">
        <f t="shared" si="0"/>
        <v>2021</v>
      </c>
      <c r="Y3" s="9">
        <f t="shared" si="0"/>
        <v>2022</v>
      </c>
      <c r="Z3" s="9">
        <f>+AA3-1</f>
        <v>2023</v>
      </c>
      <c r="AA3" s="9">
        <v>2024</v>
      </c>
      <c r="AB3" s="9">
        <f>+AA3+1</f>
        <v>2025</v>
      </c>
      <c r="AC3" s="9">
        <f t="shared" ref="AC3:AQ3" si="1">+AB3+1</f>
        <v>2026</v>
      </c>
      <c r="AD3" s="9">
        <f t="shared" si="1"/>
        <v>2027</v>
      </c>
      <c r="AE3" s="9">
        <f t="shared" si="1"/>
        <v>2028</v>
      </c>
      <c r="AF3" s="9">
        <f t="shared" si="1"/>
        <v>2029</v>
      </c>
      <c r="AG3" s="9">
        <f t="shared" si="1"/>
        <v>2030</v>
      </c>
      <c r="AH3" s="9">
        <f t="shared" si="1"/>
        <v>2031</v>
      </c>
      <c r="AI3" s="9">
        <f t="shared" si="1"/>
        <v>2032</v>
      </c>
      <c r="AJ3" s="9">
        <f t="shared" si="1"/>
        <v>2033</v>
      </c>
      <c r="AK3" s="9">
        <f t="shared" si="1"/>
        <v>2034</v>
      </c>
      <c r="AL3" s="9">
        <f t="shared" si="1"/>
        <v>2035</v>
      </c>
      <c r="AM3" s="9">
        <f t="shared" si="1"/>
        <v>2036</v>
      </c>
      <c r="AN3" s="9">
        <f t="shared" si="1"/>
        <v>2037</v>
      </c>
      <c r="AO3" s="9">
        <f t="shared" si="1"/>
        <v>2038</v>
      </c>
      <c r="AP3" s="9">
        <f t="shared" si="1"/>
        <v>2039</v>
      </c>
      <c r="AQ3" s="9">
        <f t="shared" si="1"/>
        <v>2040</v>
      </c>
    </row>
    <row r="4" spans="2:43" s="12" customFormat="1" x14ac:dyDescent="0.2">
      <c r="B4" s="12" t="s">
        <v>94</v>
      </c>
      <c r="T4" s="6">
        <f>+Z4/$Z$8</f>
        <v>0.37370184254606365</v>
      </c>
      <c r="U4" s="6">
        <f>+AA4/$AA$8</f>
        <v>0.45752271443971049</v>
      </c>
      <c r="V4" s="12">
        <v>11610</v>
      </c>
      <c r="W4" s="12">
        <v>14001</v>
      </c>
      <c r="X4" s="12">
        <v>22512</v>
      </c>
      <c r="Y4" s="12">
        <v>18977</v>
      </c>
      <c r="Z4" s="12">
        <v>13386</v>
      </c>
      <c r="AA4" s="12">
        <v>17826</v>
      </c>
    </row>
    <row r="5" spans="2:43" s="12" customFormat="1" x14ac:dyDescent="0.2">
      <c r="B5" s="12" t="s">
        <v>95</v>
      </c>
      <c r="T5" s="6">
        <f>+Z5/$Z$8</f>
        <v>0.29321608040201003</v>
      </c>
      <c r="U5" s="6">
        <f t="shared" ref="U5:U7" si="2">+AA5/$AA$8</f>
        <v>0.24860120117037113</v>
      </c>
      <c r="V5" s="12">
        <v>2774</v>
      </c>
      <c r="W5" s="12">
        <v>1129</v>
      </c>
      <c r="X5" s="12">
        <v>1406</v>
      </c>
      <c r="Y5" s="12">
        <v>10501</v>
      </c>
      <c r="Z5" s="12">
        <v>10503</v>
      </c>
      <c r="AA5" s="12">
        <v>9686</v>
      </c>
    </row>
    <row r="6" spans="2:43" s="12" customFormat="1" x14ac:dyDescent="0.2">
      <c r="B6" s="12" t="s">
        <v>96</v>
      </c>
      <c r="T6" s="6">
        <f>+Z6/$Z$8</f>
        <v>0.22543271915131211</v>
      </c>
      <c r="U6" s="6">
        <f t="shared" si="2"/>
        <v>0.20519993840151943</v>
      </c>
      <c r="V6" s="12">
        <v>2400</v>
      </c>
      <c r="W6" s="12">
        <v>2964</v>
      </c>
      <c r="X6" s="12">
        <v>2368</v>
      </c>
      <c r="Y6" s="12">
        <v>9666</v>
      </c>
      <c r="Z6" s="12">
        <v>8075</v>
      </c>
      <c r="AA6" s="12">
        <v>7995</v>
      </c>
    </row>
    <row r="7" spans="2:43" s="12" customFormat="1" x14ac:dyDescent="0.2">
      <c r="B7" s="12" t="s">
        <v>52</v>
      </c>
      <c r="T7" s="6">
        <f>+Z7/$Z$8</f>
        <v>0.10764935790061418</v>
      </c>
      <c r="U7" s="6">
        <f t="shared" si="2"/>
        <v>8.8676145988398958E-2</v>
      </c>
      <c r="V7" s="12">
        <f>2957+4532</f>
        <v>7489</v>
      </c>
      <c r="W7" s="12">
        <f>867+4570</f>
        <v>5437</v>
      </c>
      <c r="X7" s="12">
        <f>1160+6120</f>
        <v>7280</v>
      </c>
      <c r="Y7" s="12">
        <v>5056</v>
      </c>
      <c r="Z7" s="12">
        <v>3856</v>
      </c>
      <c r="AA7" s="12">
        <v>3455</v>
      </c>
    </row>
    <row r="8" spans="2:43" s="12" customFormat="1" x14ac:dyDescent="0.2">
      <c r="B8" s="12" t="s">
        <v>100</v>
      </c>
      <c r="T8" s="6"/>
      <c r="V8" s="12">
        <f>SUM(V4:V7)</f>
        <v>24273</v>
      </c>
      <c r="W8" s="12">
        <f t="shared" ref="W8:AA8" si="3">SUM(W4:W7)</f>
        <v>23531</v>
      </c>
      <c r="X8" s="12">
        <f t="shared" si="3"/>
        <v>33566</v>
      </c>
      <c r="Y8" s="12">
        <f t="shared" si="3"/>
        <v>44200</v>
      </c>
      <c r="Z8" s="12">
        <f t="shared" si="3"/>
        <v>35820</v>
      </c>
      <c r="AA8" s="12">
        <f t="shared" si="3"/>
        <v>38962</v>
      </c>
    </row>
    <row r="9" spans="2:43" s="6" customFormat="1" x14ac:dyDescent="0.2">
      <c r="B9" s="6" t="s">
        <v>97</v>
      </c>
      <c r="W9" s="6">
        <f>+W4/V4-1</f>
        <v>0.20594315245478034</v>
      </c>
      <c r="X9" s="6">
        <f>+X4/W4-1</f>
        <v>0.60788515106063845</v>
      </c>
      <c r="Y9" s="6" t="s">
        <v>101</v>
      </c>
      <c r="Z9" s="6">
        <f>+Z4/Y4-1</f>
        <v>-0.29461980291932344</v>
      </c>
      <c r="AA9" s="6">
        <f>+AA4/Z4-1</f>
        <v>0.33168982519049761</v>
      </c>
    </row>
    <row r="10" spans="2:43" s="6" customFormat="1" x14ac:dyDescent="0.2">
      <c r="B10" s="6" t="s">
        <v>98</v>
      </c>
      <c r="W10" s="6">
        <f>+W5/V5-1</f>
        <v>-0.59300648882480167</v>
      </c>
      <c r="X10" s="6">
        <f>+X5/W5-1</f>
        <v>0.24534986713906104</v>
      </c>
      <c r="Y10" s="6" t="s">
        <v>101</v>
      </c>
      <c r="Z10" s="6">
        <f>+Z5/Y5-1</f>
        <v>1.9045805161410634E-4</v>
      </c>
      <c r="AA10" s="6">
        <f>+AA5/Z5-1</f>
        <v>-7.7787298866990429E-2</v>
      </c>
    </row>
    <row r="11" spans="2:43" s="6" customFormat="1" x14ac:dyDescent="0.2">
      <c r="B11" s="6" t="s">
        <v>99</v>
      </c>
      <c r="W11" s="6">
        <f>+W6/V6-1</f>
        <v>0.2350000000000001</v>
      </c>
      <c r="X11" s="6">
        <f>+X6/W6-1</f>
        <v>-0.20107962213225372</v>
      </c>
      <c r="Y11" s="6" t="s">
        <v>101</v>
      </c>
      <c r="Z11" s="6">
        <f>+Z6/Y6-1</f>
        <v>-0.16459755845230706</v>
      </c>
      <c r="AA11" s="6">
        <f>+AA6/Z6-1</f>
        <v>-9.9071207430340147E-3</v>
      </c>
    </row>
    <row r="12" spans="2:43" s="12" customFormat="1" x14ac:dyDescent="0.2">
      <c r="T12" s="6"/>
    </row>
    <row r="13" spans="2:43" s="12" customFormat="1" x14ac:dyDescent="0.2">
      <c r="B13" s="14" t="s">
        <v>121</v>
      </c>
      <c r="T13" s="6"/>
    </row>
    <row r="14" spans="2:43" s="12" customFormat="1" x14ac:dyDescent="0.2">
      <c r="B14" s="12" t="s">
        <v>122</v>
      </c>
      <c r="C14" s="12">
        <f>5983+1132*0.88</f>
        <v>6979.16</v>
      </c>
      <c r="D14" s="12">
        <f>6325+1160*0.88</f>
        <v>7345.8</v>
      </c>
      <c r="E14" s="12">
        <f>6149+0.88*1046</f>
        <v>7069.48</v>
      </c>
      <c r="F14" s="12">
        <f>6570+992*0.88</f>
        <v>7442.96</v>
      </c>
      <c r="G14" s="12">
        <v>5754</v>
      </c>
      <c r="H14" s="12">
        <v>6105</v>
      </c>
      <c r="I14" s="12">
        <v>5255</v>
      </c>
      <c r="J14" s="12">
        <v>5456</v>
      </c>
      <c r="K14" s="12">
        <v>6687</v>
      </c>
      <c r="L14" s="12">
        <v>6180</v>
      </c>
      <c r="M14" s="12">
        <v>5899</v>
      </c>
      <c r="N14" s="12">
        <v>6096</v>
      </c>
      <c r="O14" s="12">
        <v>7574</v>
      </c>
      <c r="P14" s="12">
        <f>L14*1.1</f>
        <v>6798.0000000000009</v>
      </c>
      <c r="Q14" s="12">
        <f>M14*1.1</f>
        <v>6488.9000000000005</v>
      </c>
      <c r="R14" s="12">
        <f t="shared" ref="R14" si="4">N14*1.1</f>
        <v>6705.6</v>
      </c>
      <c r="T14" s="6"/>
      <c r="W14" s="12">
        <f>10461+2362*0.88</f>
        <v>12539.56</v>
      </c>
      <c r="X14" s="12">
        <f>16830+4158*0.88</f>
        <v>20489.04</v>
      </c>
      <c r="Y14" s="12">
        <v>28815</v>
      </c>
      <c r="Z14" s="12">
        <v>22570</v>
      </c>
      <c r="AA14" s="12">
        <v>24863</v>
      </c>
      <c r="AB14" s="12">
        <f>SUM(O14:R14)</f>
        <v>27566.5</v>
      </c>
      <c r="AC14" s="12">
        <f>AB14*1.13</f>
        <v>31150.144999999997</v>
      </c>
      <c r="AD14" s="12">
        <f>AC14*1.08-5300</f>
        <v>28342.156600000002</v>
      </c>
      <c r="AE14" s="12">
        <f t="shared" ref="AD14:AF14" si="5">AD14*1.08</f>
        <v>30609.529128000006</v>
      </c>
      <c r="AF14" s="12">
        <f t="shared" si="5"/>
        <v>33058.291458240012</v>
      </c>
      <c r="AG14" s="12">
        <f>AF14*1.03</f>
        <v>34050.040201987213</v>
      </c>
      <c r="AH14" s="12">
        <f t="shared" ref="AH14:AQ14" si="6">AG14*1.03</f>
        <v>35071.541408046833</v>
      </c>
      <c r="AI14" s="12">
        <f t="shared" si="6"/>
        <v>36123.687650288237</v>
      </c>
      <c r="AJ14" s="12">
        <f t="shared" si="6"/>
        <v>37207.398279796886</v>
      </c>
      <c r="AK14" s="12">
        <f>AJ14*1.01</f>
        <v>37579.472262594856</v>
      </c>
      <c r="AL14" s="12">
        <f t="shared" ref="AL14:AQ14" si="7">AK14*1.01</f>
        <v>37955.266985220806</v>
      </c>
      <c r="AM14" s="12">
        <f t="shared" si="7"/>
        <v>38334.819655073014</v>
      </c>
      <c r="AN14" s="12">
        <f t="shared" si="7"/>
        <v>38718.167851623744</v>
      </c>
      <c r="AO14" s="12">
        <f t="shared" si="7"/>
        <v>39105.349530139982</v>
      </c>
      <c r="AP14" s="12">
        <f t="shared" si="7"/>
        <v>39496.403025441381</v>
      </c>
      <c r="AQ14" s="12">
        <f t="shared" si="7"/>
        <v>39891.367055695795</v>
      </c>
    </row>
    <row r="15" spans="2:43" s="12" customFormat="1" x14ac:dyDescent="0.2">
      <c r="B15" s="12" t="s">
        <v>123</v>
      </c>
      <c r="C15" s="12">
        <f>256+1132*0.03</f>
        <v>289.95999999999998</v>
      </c>
      <c r="D15" s="12">
        <f>339+1160*0.03</f>
        <v>373.8</v>
      </c>
      <c r="E15" s="12">
        <f>350+1046*0.03</f>
        <v>381.38</v>
      </c>
      <c r="F15" s="12">
        <f>427+992*0.03</f>
        <v>456.76</v>
      </c>
      <c r="G15" s="12">
        <v>456</v>
      </c>
      <c r="H15" s="12">
        <v>447</v>
      </c>
      <c r="I15" s="12">
        <v>434</v>
      </c>
      <c r="J15" s="12">
        <v>535</v>
      </c>
      <c r="K15" s="12">
        <v>598</v>
      </c>
      <c r="L15" s="12">
        <v>603</v>
      </c>
      <c r="M15" s="12">
        <v>811</v>
      </c>
      <c r="N15" s="12">
        <v>899</v>
      </c>
      <c r="O15" s="12">
        <v>961</v>
      </c>
      <c r="P15" s="12">
        <f>L15*1.12</f>
        <v>675.36</v>
      </c>
      <c r="Q15" s="12">
        <f t="shared" ref="Q15:R15" si="8">M15*1.12</f>
        <v>908.32</v>
      </c>
      <c r="R15" s="12">
        <f t="shared" si="8"/>
        <v>1006.8800000000001</v>
      </c>
      <c r="T15" s="6"/>
      <c r="W15" s="12">
        <f>644+2362*0.03</f>
        <v>714.86</v>
      </c>
      <c r="X15" s="12">
        <f>975+4158*0.03</f>
        <v>1099.74</v>
      </c>
      <c r="Y15" s="12">
        <v>1509</v>
      </c>
      <c r="Z15" s="12">
        <v>1872</v>
      </c>
      <c r="AA15" s="12">
        <v>2910</v>
      </c>
      <c r="AB15" s="12">
        <f>SUM(O15:R15)</f>
        <v>3551.5600000000004</v>
      </c>
      <c r="AC15" s="12">
        <v>4000</v>
      </c>
      <c r="AD15" s="12">
        <f>AC15*1.25</f>
        <v>5000</v>
      </c>
      <c r="AE15" s="12">
        <f t="shared" ref="AE15:AH15" si="9">AD15*1.25</f>
        <v>6250</v>
      </c>
      <c r="AF15" s="12">
        <f t="shared" si="9"/>
        <v>7812.5</v>
      </c>
      <c r="AG15" s="12">
        <f t="shared" si="9"/>
        <v>9765.625</v>
      </c>
      <c r="AH15" s="12">
        <f>AG15*1.05</f>
        <v>10253.90625</v>
      </c>
      <c r="AI15" s="12">
        <f t="shared" ref="AI15:AK15" si="10">AH15*1.05</f>
        <v>10766.6015625</v>
      </c>
      <c r="AJ15" s="12">
        <f t="shared" si="10"/>
        <v>11304.931640625</v>
      </c>
      <c r="AK15" s="12">
        <f t="shared" si="10"/>
        <v>11870.17822265625</v>
      </c>
      <c r="AL15" s="12">
        <f>AK15*1.03</f>
        <v>12226.283569335938</v>
      </c>
      <c r="AM15" s="12">
        <f t="shared" ref="AM15:AQ15" si="11">AL15*1.03</f>
        <v>12593.072076416016</v>
      </c>
      <c r="AN15" s="12">
        <f t="shared" si="11"/>
        <v>12970.864238708496</v>
      </c>
      <c r="AO15" s="12">
        <f t="shared" si="11"/>
        <v>13359.990165869751</v>
      </c>
      <c r="AP15" s="12">
        <f t="shared" si="11"/>
        <v>13760.789870845843</v>
      </c>
      <c r="AQ15" s="12">
        <f t="shared" si="11"/>
        <v>14173.613566971218</v>
      </c>
    </row>
    <row r="16" spans="2:43" s="12" customFormat="1" x14ac:dyDescent="0.2">
      <c r="B16" s="12" t="s">
        <v>124</v>
      </c>
      <c r="C16" s="12">
        <f>1476+1132*0.09</f>
        <v>1577.88</v>
      </c>
      <c r="D16" s="12">
        <f>1724+1160*0.09</f>
        <v>1828.4</v>
      </c>
      <c r="E16" s="12">
        <f>1833+1046*0.09</f>
        <v>1927.14</v>
      </c>
      <c r="F16" s="12">
        <f>1915+0.09*992</f>
        <v>2004.28</v>
      </c>
      <c r="G16" s="12">
        <v>1682</v>
      </c>
      <c r="H16" s="12">
        <v>1390</v>
      </c>
      <c r="I16" s="12">
        <v>1485</v>
      </c>
      <c r="J16" s="12">
        <v>1383</v>
      </c>
      <c r="K16" s="12">
        <v>1138</v>
      </c>
      <c r="L16" s="12">
        <v>1243</v>
      </c>
      <c r="M16" s="12">
        <v>1359</v>
      </c>
      <c r="N16" s="12">
        <v>1683</v>
      </c>
      <c r="O16" s="12">
        <v>1549</v>
      </c>
      <c r="P16" s="12">
        <f>L16*1.2</f>
        <v>1491.6</v>
      </c>
      <c r="Q16" s="12">
        <f t="shared" ref="Q16:R16" si="12">M16*1.2</f>
        <v>1630.8</v>
      </c>
      <c r="R16" s="12">
        <f t="shared" si="12"/>
        <v>2019.6</v>
      </c>
      <c r="T16" s="6"/>
      <c r="W16" s="12">
        <f>3026+2362*0.09</f>
        <v>3238.58</v>
      </c>
      <c r="X16" s="12">
        <f>5056+4158*0.09</f>
        <v>5430.22</v>
      </c>
      <c r="Y16" s="12">
        <v>7353</v>
      </c>
      <c r="Z16" s="12">
        <v>5940</v>
      </c>
      <c r="AA16" s="12">
        <v>5423</v>
      </c>
      <c r="AB16" s="12">
        <f>SUM(O16:R16)</f>
        <v>6691</v>
      </c>
      <c r="AC16" s="12">
        <f>AB16*1.1</f>
        <v>7360.1</v>
      </c>
      <c r="AD16" s="12">
        <f>AC16*1.1</f>
        <v>8096.1100000000015</v>
      </c>
      <c r="AE16" s="12">
        <f>AD16*1.1</f>
        <v>8905.7210000000032</v>
      </c>
      <c r="AF16" s="12">
        <f>AE16*1.1</f>
        <v>9796.2931000000044</v>
      </c>
      <c r="AG16" s="12">
        <f>AF16*1.1</f>
        <v>10775.922410000006</v>
      </c>
      <c r="AH16" s="12">
        <f>AG16*1.1</f>
        <v>11853.514651000009</v>
      </c>
      <c r="AI16" s="12">
        <f>AH16*1.1</f>
        <v>13038.866116100011</v>
      </c>
      <c r="AJ16" s="12">
        <f>AI16*1.1</f>
        <v>14342.752727710013</v>
      </c>
      <c r="AK16" s="12">
        <f t="shared" ref="AK16:AO16" si="13">AJ16*1.1</f>
        <v>15777.028000481016</v>
      </c>
      <c r="AL16" s="12">
        <f t="shared" si="13"/>
        <v>17354.73080052912</v>
      </c>
      <c r="AM16" s="12">
        <f t="shared" si="13"/>
        <v>19090.203880582034</v>
      </c>
      <c r="AN16" s="12">
        <f>AM16*1.02</f>
        <v>19472.007958193673</v>
      </c>
      <c r="AO16" s="12">
        <f t="shared" ref="AO16:AQ16" si="14">AN16*1.02</f>
        <v>19861.448117357548</v>
      </c>
      <c r="AP16" s="12">
        <f t="shared" si="14"/>
        <v>20258.677079704699</v>
      </c>
      <c r="AQ16" s="12">
        <f t="shared" si="14"/>
        <v>20663.850621298792</v>
      </c>
    </row>
    <row r="17" spans="2:43" s="6" customFormat="1" x14ac:dyDescent="0.2">
      <c r="B17" s="6" t="s">
        <v>125</v>
      </c>
      <c r="G17" s="6">
        <f t="shared" ref="G17:G18" si="15">G14/C14-1</f>
        <v>-0.17554548111807144</v>
      </c>
      <c r="H17" s="6">
        <f t="shared" ref="H17:H18" si="16">H14/D14-1</f>
        <v>-0.16891284815813123</v>
      </c>
      <c r="I17" s="6">
        <f t="shared" ref="I17:N17" si="17">I14/E14-1</f>
        <v>-0.25666385646469048</v>
      </c>
      <c r="J17" s="6">
        <f t="shared" si="17"/>
        <v>-0.26695830691015399</v>
      </c>
      <c r="K17" s="6">
        <f t="shared" si="17"/>
        <v>0.16214807090719496</v>
      </c>
      <c r="L17" s="6">
        <f t="shared" si="17"/>
        <v>1.228501228501222E-2</v>
      </c>
      <c r="M17" s="6">
        <f t="shared" si="17"/>
        <v>0.12254995242626077</v>
      </c>
      <c r="N17" s="6">
        <f t="shared" si="17"/>
        <v>0.11730205278592365</v>
      </c>
      <c r="O17" s="6">
        <f>O14/K14-1</f>
        <v>0.13264543143412588</v>
      </c>
      <c r="P17" s="6">
        <f t="shared" ref="P17:R18" si="18">P14/L14-1</f>
        <v>0.10000000000000009</v>
      </c>
      <c r="Q17" s="6">
        <f t="shared" si="18"/>
        <v>0.10000000000000009</v>
      </c>
      <c r="R17" s="6">
        <f t="shared" si="18"/>
        <v>0.10000000000000009</v>
      </c>
      <c r="X17" s="6">
        <f t="shared" ref="X17:Z17" si="19">X14/W14-1</f>
        <v>0.6339520684936315</v>
      </c>
      <c r="Y17" s="6">
        <f t="shared" si="19"/>
        <v>0.40636164505511241</v>
      </c>
      <c r="Z17" s="6">
        <f t="shared" si="19"/>
        <v>-0.21672739892417148</v>
      </c>
      <c r="AA17" s="6">
        <f>AA14/Z14-1</f>
        <v>0.1015950376606114</v>
      </c>
      <c r="AB17" s="6">
        <f t="shared" ref="AB17:AQ17" si="20">AB14/AA14-1</f>
        <v>0.10873587258174799</v>
      </c>
      <c r="AC17" s="6">
        <f t="shared" si="20"/>
        <v>0.12999999999999989</v>
      </c>
      <c r="AD17" s="6">
        <f t="shared" si="20"/>
        <v>-9.0143670278260202E-2</v>
      </c>
      <c r="AE17" s="6">
        <f t="shared" si="20"/>
        <v>8.0000000000000071E-2</v>
      </c>
      <c r="AF17" s="6">
        <f t="shared" si="20"/>
        <v>8.0000000000000293E-2</v>
      </c>
      <c r="AG17" s="6">
        <f t="shared" si="20"/>
        <v>3.0000000000000027E-2</v>
      </c>
      <c r="AH17" s="6">
        <f t="shared" si="20"/>
        <v>3.0000000000000027E-2</v>
      </c>
      <c r="AI17" s="6">
        <f t="shared" si="20"/>
        <v>3.0000000000000027E-2</v>
      </c>
      <c r="AJ17" s="6">
        <f t="shared" si="20"/>
        <v>3.0000000000000027E-2</v>
      </c>
      <c r="AK17" s="6">
        <f t="shared" si="20"/>
        <v>1.0000000000000009E-2</v>
      </c>
      <c r="AL17" s="6">
        <f t="shared" si="20"/>
        <v>1.0000000000000009E-2</v>
      </c>
      <c r="AM17" s="6">
        <f t="shared" si="20"/>
        <v>1.0000000000000009E-2</v>
      </c>
      <c r="AN17" s="6">
        <f t="shared" si="20"/>
        <v>1.0000000000000009E-2</v>
      </c>
      <c r="AO17" s="6">
        <f t="shared" si="20"/>
        <v>1.0000000000000009E-2</v>
      </c>
      <c r="AP17" s="6">
        <f t="shared" si="20"/>
        <v>1.0000000000000009E-2</v>
      </c>
      <c r="AQ17" s="6">
        <f t="shared" si="20"/>
        <v>1.0000000000000009E-2</v>
      </c>
    </row>
    <row r="18" spans="2:43" s="6" customFormat="1" x14ac:dyDescent="0.2">
      <c r="B18" s="6" t="s">
        <v>126</v>
      </c>
      <c r="G18" s="6">
        <f t="shared" si="15"/>
        <v>0.57263070768381863</v>
      </c>
      <c r="H18" s="6">
        <f t="shared" si="16"/>
        <v>0.19582664526484739</v>
      </c>
      <c r="I18" s="6">
        <f t="shared" ref="I18:O18" si="21">I15/E15-1</f>
        <v>0.13797262572762081</v>
      </c>
      <c r="J18" s="6">
        <f t="shared" si="21"/>
        <v>0.17129345827130216</v>
      </c>
      <c r="K18" s="6">
        <f t="shared" si="21"/>
        <v>0.31140350877192979</v>
      </c>
      <c r="L18" s="6">
        <f t="shared" si="21"/>
        <v>0.34899328859060397</v>
      </c>
      <c r="M18" s="6">
        <f t="shared" si="21"/>
        <v>0.86866359447004604</v>
      </c>
      <c r="N18" s="6">
        <f t="shared" si="21"/>
        <v>0.68037383177570088</v>
      </c>
      <c r="O18" s="6">
        <f t="shared" si="21"/>
        <v>0.60702341137123739</v>
      </c>
      <c r="P18" s="6">
        <f t="shared" si="18"/>
        <v>0.12000000000000011</v>
      </c>
      <c r="Q18" s="6">
        <f t="shared" si="18"/>
        <v>0.12000000000000011</v>
      </c>
      <c r="R18" s="6">
        <f t="shared" si="18"/>
        <v>0.12000000000000011</v>
      </c>
      <c r="X18" s="6">
        <f t="shared" ref="X18:AA18" si="22">X15/W15-1</f>
        <v>0.53839912710181004</v>
      </c>
      <c r="Y18" s="6">
        <f t="shared" si="22"/>
        <v>0.37214250641060609</v>
      </c>
      <c r="Z18" s="6">
        <f t="shared" si="22"/>
        <v>0.24055666003976151</v>
      </c>
      <c r="AA18" s="6">
        <f t="shared" si="22"/>
        <v>0.55448717948717952</v>
      </c>
      <c r="AB18" s="6">
        <f t="shared" ref="AB18:AQ18" si="23">AB15/AA15-1</f>
        <v>0.22046735395189021</v>
      </c>
      <c r="AC18" s="6">
        <f t="shared" si="23"/>
        <v>0.12626564101408944</v>
      </c>
      <c r="AD18" s="6">
        <f t="shared" si="23"/>
        <v>0.25</v>
      </c>
      <c r="AE18" s="6">
        <f t="shared" si="23"/>
        <v>0.25</v>
      </c>
      <c r="AF18" s="6">
        <f t="shared" si="23"/>
        <v>0.25</v>
      </c>
      <c r="AG18" s="6">
        <f t="shared" si="23"/>
        <v>0.25</v>
      </c>
      <c r="AH18" s="6">
        <f t="shared" si="23"/>
        <v>5.0000000000000044E-2</v>
      </c>
      <c r="AI18" s="6">
        <f t="shared" si="23"/>
        <v>5.0000000000000044E-2</v>
      </c>
      <c r="AJ18" s="6">
        <f t="shared" si="23"/>
        <v>5.0000000000000044E-2</v>
      </c>
      <c r="AK18" s="6">
        <f t="shared" si="23"/>
        <v>5.0000000000000044E-2</v>
      </c>
      <c r="AL18" s="6">
        <f t="shared" si="23"/>
        <v>3.0000000000000027E-2</v>
      </c>
      <c r="AM18" s="6">
        <f t="shared" si="23"/>
        <v>3.0000000000000027E-2</v>
      </c>
      <c r="AN18" s="6">
        <f t="shared" si="23"/>
        <v>3.0000000000000027E-2</v>
      </c>
      <c r="AO18" s="6">
        <f t="shared" si="23"/>
        <v>3.0000000000000027E-2</v>
      </c>
      <c r="AP18" s="6">
        <f t="shared" si="23"/>
        <v>3.0000000000000027E-2</v>
      </c>
      <c r="AQ18" s="6">
        <f t="shared" si="23"/>
        <v>3.0000000000000027E-2</v>
      </c>
    </row>
    <row r="19" spans="2:43" s="6" customFormat="1" x14ac:dyDescent="0.2">
      <c r="B19" s="6" t="s">
        <v>127</v>
      </c>
      <c r="G19" s="6">
        <f>G16/C16-1</f>
        <v>6.5987274063933787E-2</v>
      </c>
      <c r="H19" s="6">
        <f>H16/D16-1</f>
        <v>-0.23977247866987539</v>
      </c>
      <c r="I19" s="6">
        <f>I16/E16-1</f>
        <v>-0.22942806438556618</v>
      </c>
      <c r="J19" s="6">
        <f>J16/F16-1</f>
        <v>-0.30997664996906615</v>
      </c>
      <c r="K19" s="6">
        <f>K16/G16-1</f>
        <v>-0.32342449464922707</v>
      </c>
      <c r="L19" s="6">
        <f>L16/H16-1</f>
        <v>-0.10575539568345327</v>
      </c>
      <c r="M19" s="6">
        <f>M16/I16-1</f>
        <v>-8.484848484848484E-2</v>
      </c>
      <c r="N19" s="6">
        <f>N16/J16-1</f>
        <v>0.21691973969631229</v>
      </c>
      <c r="O19" s="6">
        <f>O16/K16-1</f>
        <v>0.36115992970123023</v>
      </c>
      <c r="P19" s="6">
        <f t="shared" ref="P19:R19" si="24">P16/L16-1</f>
        <v>0.19999999999999996</v>
      </c>
      <c r="Q19" s="6">
        <f t="shared" si="24"/>
        <v>0.19999999999999996</v>
      </c>
      <c r="R19" s="6">
        <f t="shared" si="24"/>
        <v>0.19999999999999996</v>
      </c>
      <c r="X19" s="6">
        <f t="shared" ref="X19:AA19" si="25">X16/W16-1</f>
        <v>0.67672868973438982</v>
      </c>
      <c r="Y19" s="6">
        <f t="shared" si="25"/>
        <v>0.35408878461646109</v>
      </c>
      <c r="Z19" s="6">
        <f t="shared" si="25"/>
        <v>-0.19216646266829862</v>
      </c>
      <c r="AA19" s="6">
        <f t="shared" si="25"/>
        <v>-8.7037037037037024E-2</v>
      </c>
      <c r="AB19" s="6">
        <f t="shared" ref="AB19:AQ19" si="26">AB16/AA16-1</f>
        <v>0.2338189194172966</v>
      </c>
      <c r="AC19" s="6">
        <f t="shared" si="26"/>
        <v>0.10000000000000009</v>
      </c>
      <c r="AD19" s="6">
        <f t="shared" si="26"/>
        <v>0.10000000000000009</v>
      </c>
      <c r="AE19" s="6">
        <f t="shared" si="26"/>
        <v>0.10000000000000009</v>
      </c>
      <c r="AF19" s="6">
        <f t="shared" si="26"/>
        <v>0.10000000000000009</v>
      </c>
      <c r="AG19" s="6">
        <f t="shared" si="26"/>
        <v>0.10000000000000009</v>
      </c>
      <c r="AH19" s="6">
        <f t="shared" si="26"/>
        <v>0.10000000000000009</v>
      </c>
      <c r="AI19" s="6">
        <f t="shared" si="26"/>
        <v>0.10000000000000009</v>
      </c>
      <c r="AJ19" s="6">
        <f t="shared" si="26"/>
        <v>0.10000000000000009</v>
      </c>
      <c r="AK19" s="6">
        <f t="shared" si="26"/>
        <v>0.10000000000000009</v>
      </c>
      <c r="AL19" s="6">
        <f t="shared" si="26"/>
        <v>0.10000000000000009</v>
      </c>
      <c r="AM19" s="6">
        <f t="shared" si="26"/>
        <v>0.10000000000000009</v>
      </c>
      <c r="AN19" s="6">
        <f t="shared" si="26"/>
        <v>2.0000000000000018E-2</v>
      </c>
      <c r="AO19" s="6">
        <f t="shared" si="26"/>
        <v>2.0000000000000018E-2</v>
      </c>
      <c r="AP19" s="6">
        <f t="shared" si="26"/>
        <v>2.0000000000000018E-2</v>
      </c>
      <c r="AQ19" s="6">
        <f t="shared" si="26"/>
        <v>2.0000000000000018E-2</v>
      </c>
    </row>
    <row r="20" spans="2:43" s="6" customFormat="1" x14ac:dyDescent="0.2">
      <c r="B20" s="6" t="s">
        <v>147</v>
      </c>
      <c r="C20" s="6">
        <f>SUM(C14:C16)/C26</f>
        <v>0.82643624474544608</v>
      </c>
      <c r="D20" s="6">
        <f t="shared" ref="D20:O20" si="27">SUM(D14:D16)/D26</f>
        <v>0.85524901469007519</v>
      </c>
      <c r="E20" s="6">
        <f t="shared" si="27"/>
        <v>0.85753474762253112</v>
      </c>
      <c r="F20" s="6">
        <f t="shared" si="27"/>
        <v>0.8690768690768691</v>
      </c>
      <c r="G20" s="6">
        <f t="shared" si="27"/>
        <v>0.83398499418788963</v>
      </c>
      <c r="H20" s="6">
        <f t="shared" si="27"/>
        <v>0.85628032345013472</v>
      </c>
      <c r="I20" s="6">
        <f t="shared" si="27"/>
        <v>0.84889362205656138</v>
      </c>
      <c r="J20" s="6">
        <f t="shared" si="27"/>
        <v>0.85436218282933607</v>
      </c>
      <c r="K20" s="6">
        <f t="shared" si="27"/>
        <v>0.84781077000503269</v>
      </c>
      <c r="L20" s="6">
        <f t="shared" si="27"/>
        <v>0.85483012035360528</v>
      </c>
      <c r="M20" s="6">
        <f t="shared" si="27"/>
        <v>0.85904396891302037</v>
      </c>
      <c r="N20" s="6">
        <f t="shared" si="27"/>
        <v>0.84713002733307297</v>
      </c>
      <c r="O20" s="6">
        <f t="shared" si="27"/>
        <v>0.86417002313822955</v>
      </c>
      <c r="Y20" s="15"/>
    </row>
    <row r="21" spans="2:43" s="12" customFormat="1" x14ac:dyDescent="0.2">
      <c r="T21" s="6"/>
    </row>
    <row r="22" spans="2:43" s="9" customFormat="1" x14ac:dyDescent="0.2"/>
    <row r="23" spans="2:43" s="9" customFormat="1" x14ac:dyDescent="0.2"/>
    <row r="24" spans="2:43" s="1" customFormat="1" x14ac:dyDescent="0.2">
      <c r="B24" s="1" t="s">
        <v>46</v>
      </c>
      <c r="C24" s="1">
        <v>8682</v>
      </c>
      <c r="D24" s="1">
        <v>9417</v>
      </c>
      <c r="E24" s="1">
        <v>9266</v>
      </c>
      <c r="F24" s="1">
        <v>9807</v>
      </c>
      <c r="G24" s="1">
        <v>7784</v>
      </c>
      <c r="H24" s="1">
        <v>7846</v>
      </c>
      <c r="I24" s="1">
        <v>7108</v>
      </c>
      <c r="J24" s="1">
        <v>7290</v>
      </c>
      <c r="K24" s="1">
        <v>8316</v>
      </c>
      <c r="L24" s="1">
        <v>7950</v>
      </c>
      <c r="M24" s="1">
        <v>7993</v>
      </c>
      <c r="N24" s="1">
        <v>8532</v>
      </c>
      <c r="O24" s="1">
        <v>9942</v>
      </c>
      <c r="V24" s="1">
        <v>14611</v>
      </c>
      <c r="W24" s="1">
        <v>16298</v>
      </c>
      <c r="X24" s="1">
        <v>26741</v>
      </c>
      <c r="Y24" s="1">
        <f>SUM(C24:F24)</f>
        <v>37172</v>
      </c>
      <c r="Z24" s="1">
        <f>SUM(G24:J24)</f>
        <v>30028</v>
      </c>
      <c r="AA24" s="1">
        <f>SUM(K24:N24)</f>
        <v>32791</v>
      </c>
    </row>
    <row r="25" spans="2:43" s="1" customFormat="1" x14ac:dyDescent="0.2">
      <c r="B25" s="1" t="s">
        <v>47</v>
      </c>
      <c r="C25" s="1">
        <v>2023</v>
      </c>
      <c r="D25" s="1">
        <v>1747</v>
      </c>
      <c r="E25" s="1">
        <v>1670</v>
      </c>
      <c r="F25" s="1">
        <v>1589</v>
      </c>
      <c r="G25" s="1">
        <v>1679</v>
      </c>
      <c r="H25" s="1">
        <v>1429</v>
      </c>
      <c r="I25" s="1">
        <v>1343</v>
      </c>
      <c r="J25" s="1">
        <v>1341</v>
      </c>
      <c r="K25" s="1">
        <v>1619</v>
      </c>
      <c r="L25" s="1">
        <v>1439</v>
      </c>
      <c r="M25" s="1">
        <v>1400</v>
      </c>
      <c r="N25" s="1">
        <v>1712</v>
      </c>
      <c r="O25" s="1">
        <v>1727</v>
      </c>
      <c r="V25" s="1">
        <v>9662</v>
      </c>
      <c r="W25" s="1">
        <v>7233</v>
      </c>
      <c r="X25" s="1">
        <v>6825</v>
      </c>
      <c r="Y25" s="1">
        <f>SUM(C25:F25)</f>
        <v>7029</v>
      </c>
      <c r="Z25" s="1">
        <f>SUM(G25:J25)</f>
        <v>5792</v>
      </c>
      <c r="AA25" s="1">
        <f>SUM(K25:N25)</f>
        <v>6170</v>
      </c>
    </row>
    <row r="26" spans="2:43" s="10" customFormat="1" x14ac:dyDescent="0.2">
      <c r="B26" s="10" t="s">
        <v>34</v>
      </c>
      <c r="C26" s="10">
        <f t="shared" ref="C26:O26" si="28">+C24+C25</f>
        <v>10705</v>
      </c>
      <c r="D26" s="10">
        <f t="shared" si="28"/>
        <v>11164</v>
      </c>
      <c r="E26" s="10">
        <f t="shared" si="28"/>
        <v>10936</v>
      </c>
      <c r="F26" s="10">
        <f t="shared" si="28"/>
        <v>11396</v>
      </c>
      <c r="G26" s="10">
        <f t="shared" si="28"/>
        <v>9463</v>
      </c>
      <c r="H26" s="10">
        <f t="shared" si="28"/>
        <v>9275</v>
      </c>
      <c r="I26" s="10">
        <f t="shared" si="28"/>
        <v>8451</v>
      </c>
      <c r="J26" s="10">
        <f t="shared" si="28"/>
        <v>8631</v>
      </c>
      <c r="K26" s="10">
        <f t="shared" si="28"/>
        <v>9935</v>
      </c>
      <c r="L26" s="10">
        <f t="shared" si="28"/>
        <v>9389</v>
      </c>
      <c r="M26" s="10">
        <f t="shared" si="28"/>
        <v>9393</v>
      </c>
      <c r="N26" s="10">
        <f t="shared" si="28"/>
        <v>10244</v>
      </c>
      <c r="O26" s="10">
        <f t="shared" si="28"/>
        <v>11669</v>
      </c>
      <c r="P26" s="10">
        <f>SUM(P14:P16)/0.85</f>
        <v>10547.011764705883</v>
      </c>
      <c r="Q26" s="10">
        <f t="shared" ref="Q26:R26" si="29">SUM(Q14:Q16)/0.85</f>
        <v>10621.2</v>
      </c>
      <c r="R26" s="10">
        <f t="shared" si="29"/>
        <v>11449.505882352942</v>
      </c>
      <c r="V26" s="10">
        <f t="shared" ref="V26:AA26" si="30">+V24+V25</f>
        <v>24273</v>
      </c>
      <c r="W26" s="10">
        <f t="shared" si="30"/>
        <v>23531</v>
      </c>
      <c r="X26" s="10">
        <f t="shared" si="30"/>
        <v>33566</v>
      </c>
      <c r="Y26" s="10">
        <f t="shared" si="30"/>
        <v>44201</v>
      </c>
      <c r="Z26" s="10">
        <f t="shared" si="30"/>
        <v>35820</v>
      </c>
      <c r="AA26" s="10">
        <f t="shared" si="30"/>
        <v>38961</v>
      </c>
      <c r="AB26" s="10">
        <f>SUM(O26:R26)</f>
        <v>44286.717647058824</v>
      </c>
      <c r="AC26" s="10">
        <f>SUM(AC14:AC16)/0.85</f>
        <v>50012.052941176466</v>
      </c>
      <c r="AD26" s="10">
        <f t="shared" ref="AD26:AQ26" si="31">SUM(AD14:AD16)/0.85</f>
        <v>48750.901882352948</v>
      </c>
      <c r="AE26" s="10">
        <f t="shared" si="31"/>
        <v>53841.470738823547</v>
      </c>
      <c r="AF26" s="10">
        <f t="shared" si="31"/>
        <v>59608.33477440002</v>
      </c>
      <c r="AG26" s="10">
        <f t="shared" si="31"/>
        <v>64225.397190573203</v>
      </c>
      <c r="AH26" s="10">
        <f t="shared" si="31"/>
        <v>67269.367422408046</v>
      </c>
      <c r="AI26" s="10">
        <f t="shared" si="31"/>
        <v>70504.888622221479</v>
      </c>
      <c r="AJ26" s="10">
        <f t="shared" si="31"/>
        <v>73947.156056625754</v>
      </c>
      <c r="AK26" s="10">
        <f t="shared" si="31"/>
        <v>76737.268806743668</v>
      </c>
      <c r="AL26" s="10">
        <f t="shared" si="31"/>
        <v>79454.4486530422</v>
      </c>
      <c r="AM26" s="10">
        <f t="shared" si="31"/>
        <v>82374.230131848308</v>
      </c>
      <c r="AN26" s="10">
        <f t="shared" si="31"/>
        <v>83718.870645324612</v>
      </c>
      <c r="AO26" s="10">
        <f t="shared" si="31"/>
        <v>85090.3386039615</v>
      </c>
      <c r="AP26" s="10">
        <f t="shared" si="31"/>
        <v>86489.258795284622</v>
      </c>
      <c r="AQ26" s="10">
        <f t="shared" si="31"/>
        <v>87916.272051724474</v>
      </c>
    </row>
    <row r="27" spans="2:43" s="1" customFormat="1" x14ac:dyDescent="0.2">
      <c r="B27" s="1" t="s">
        <v>48</v>
      </c>
      <c r="C27" s="1">
        <v>4303</v>
      </c>
      <c r="D27" s="1">
        <v>4648</v>
      </c>
      <c r="E27" s="1">
        <v>4816</v>
      </c>
      <c r="F27" s="1">
        <v>4868</v>
      </c>
      <c r="G27" s="1">
        <v>4044</v>
      </c>
      <c r="H27" s="1">
        <v>4153</v>
      </c>
      <c r="I27" s="1">
        <v>3792</v>
      </c>
      <c r="J27" s="1">
        <v>3880</v>
      </c>
      <c r="K27" s="1">
        <v>4312</v>
      </c>
      <c r="L27" s="1">
        <v>4106</v>
      </c>
      <c r="M27" s="1">
        <v>4174</v>
      </c>
      <c r="N27" s="1">
        <v>4467</v>
      </c>
      <c r="O27" s="1">
        <v>5161</v>
      </c>
      <c r="P27" s="1">
        <f>+P26-P28</f>
        <v>4640.685176470588</v>
      </c>
      <c r="Q27" s="1">
        <f t="shared" ref="Q27:R27" si="32">+Q26-Q28</f>
        <v>4673.3279999999995</v>
      </c>
      <c r="R27" s="1">
        <f t="shared" si="32"/>
        <v>5037.7825882352936</v>
      </c>
      <c r="V27" s="1">
        <v>8599</v>
      </c>
      <c r="W27" s="1">
        <v>9255</v>
      </c>
      <c r="X27" s="1">
        <v>14262</v>
      </c>
      <c r="Y27" s="1">
        <f>SUM(C27:F27)</f>
        <v>18635</v>
      </c>
      <c r="Z27" s="1">
        <f t="shared" ref="Z27:Z31" si="33">SUM(G27:J27)</f>
        <v>15869</v>
      </c>
      <c r="AA27" s="1">
        <f>SUM(K27:N27)</f>
        <v>17059</v>
      </c>
      <c r="AB27" s="17">
        <f>SUM(O27:R27)</f>
        <v>19512.795764705879</v>
      </c>
      <c r="AC27" s="1">
        <f>+AC26-AC28</f>
        <v>22505.423823529407</v>
      </c>
      <c r="AD27" s="1">
        <f t="shared" ref="AD27:AQ27" si="34">+AD26-AD28</f>
        <v>21937.905847058824</v>
      </c>
      <c r="AE27" s="1">
        <f t="shared" si="34"/>
        <v>24228.661832470592</v>
      </c>
      <c r="AF27" s="1">
        <f t="shared" si="34"/>
        <v>26823.750648480003</v>
      </c>
      <c r="AG27" s="1">
        <f t="shared" si="34"/>
        <v>28901.428735757938</v>
      </c>
      <c r="AH27" s="1">
        <f t="shared" si="34"/>
        <v>30271.215340083618</v>
      </c>
      <c r="AI27" s="1">
        <f t="shared" si="34"/>
        <v>31727.199879999665</v>
      </c>
      <c r="AJ27" s="1">
        <f t="shared" si="34"/>
        <v>33276.220225481586</v>
      </c>
      <c r="AK27" s="1">
        <f t="shared" si="34"/>
        <v>34531.770963034651</v>
      </c>
      <c r="AL27" s="1">
        <f t="shared" si="34"/>
        <v>35754.50189386899</v>
      </c>
      <c r="AM27" s="1">
        <f t="shared" si="34"/>
        <v>37068.403559331731</v>
      </c>
      <c r="AN27" s="1">
        <f t="shared" si="34"/>
        <v>37673.491790396074</v>
      </c>
      <c r="AO27" s="1">
        <f t="shared" si="34"/>
        <v>38290.652371782671</v>
      </c>
      <c r="AP27" s="1">
        <f t="shared" si="34"/>
        <v>38920.166457878076</v>
      </c>
      <c r="AQ27" s="1">
        <f t="shared" si="34"/>
        <v>39562.322423276011</v>
      </c>
    </row>
    <row r="28" spans="2:43" s="1" customFormat="1" x14ac:dyDescent="0.2">
      <c r="B28" s="1" t="s">
        <v>50</v>
      </c>
      <c r="C28" s="1">
        <f t="shared" ref="C28:O28" si="35">+C26-C27</f>
        <v>6402</v>
      </c>
      <c r="D28" s="1">
        <f t="shared" si="35"/>
        <v>6516</v>
      </c>
      <c r="E28" s="1">
        <f t="shared" si="35"/>
        <v>6120</v>
      </c>
      <c r="F28" s="1">
        <f t="shared" si="35"/>
        <v>6528</v>
      </c>
      <c r="G28" s="1">
        <f t="shared" si="35"/>
        <v>5419</v>
      </c>
      <c r="H28" s="1">
        <f t="shared" si="35"/>
        <v>5122</v>
      </c>
      <c r="I28" s="1">
        <f t="shared" si="35"/>
        <v>4659</v>
      </c>
      <c r="J28" s="1">
        <f t="shared" si="35"/>
        <v>4751</v>
      </c>
      <c r="K28" s="1">
        <f t="shared" si="35"/>
        <v>5623</v>
      </c>
      <c r="L28" s="1">
        <f t="shared" si="35"/>
        <v>5283</v>
      </c>
      <c r="M28" s="1">
        <f t="shared" si="35"/>
        <v>5219</v>
      </c>
      <c r="N28" s="1">
        <f t="shared" si="35"/>
        <v>5777</v>
      </c>
      <c r="O28" s="1">
        <f t="shared" si="35"/>
        <v>6508</v>
      </c>
      <c r="P28" s="1">
        <f>P26*0.56</f>
        <v>5906.3265882352953</v>
      </c>
      <c r="Q28" s="1">
        <f t="shared" ref="Q28:R28" si="36">Q26*0.56</f>
        <v>5947.8720000000012</v>
      </c>
      <c r="R28" s="1">
        <f t="shared" si="36"/>
        <v>6411.723294117648</v>
      </c>
      <c r="V28" s="1">
        <f>+V26-V27</f>
        <v>15674</v>
      </c>
      <c r="W28" s="1">
        <f>+W26-W27</f>
        <v>14276</v>
      </c>
      <c r="X28" s="1">
        <f>+X26-X27</f>
        <v>19304</v>
      </c>
      <c r="Y28" s="1">
        <f>+Y26-Y27</f>
        <v>25566</v>
      </c>
      <c r="Z28" s="1">
        <f t="shared" ref="Z28:AB28" si="37">+Z26-Z27</f>
        <v>19951</v>
      </c>
      <c r="AA28" s="1">
        <f t="shared" si="37"/>
        <v>21902</v>
      </c>
      <c r="AB28" s="1">
        <f t="shared" si="37"/>
        <v>24773.921882352945</v>
      </c>
      <c r="AC28" s="1">
        <f>+AC26*0.55</f>
        <v>27506.629117647059</v>
      </c>
      <c r="AD28" s="1">
        <f t="shared" ref="AD28:AQ28" si="38">+AD26*0.55</f>
        <v>26812.996035294123</v>
      </c>
      <c r="AE28" s="1">
        <f t="shared" si="38"/>
        <v>29612.808906352955</v>
      </c>
      <c r="AF28" s="1">
        <f t="shared" si="38"/>
        <v>32784.584125920017</v>
      </c>
      <c r="AG28" s="1">
        <f t="shared" si="38"/>
        <v>35323.968454815265</v>
      </c>
      <c r="AH28" s="1">
        <f t="shared" si="38"/>
        <v>36998.152082324428</v>
      </c>
      <c r="AI28" s="1">
        <f t="shared" si="38"/>
        <v>38777.688742221813</v>
      </c>
      <c r="AJ28" s="1">
        <f t="shared" si="38"/>
        <v>40670.935831144168</v>
      </c>
      <c r="AK28" s="1">
        <f t="shared" si="38"/>
        <v>42205.497843709018</v>
      </c>
      <c r="AL28" s="1">
        <f t="shared" si="38"/>
        <v>43699.94675917321</v>
      </c>
      <c r="AM28" s="1">
        <f t="shared" si="38"/>
        <v>45305.826572516577</v>
      </c>
      <c r="AN28" s="1">
        <f t="shared" si="38"/>
        <v>46045.378854928538</v>
      </c>
      <c r="AO28" s="1">
        <f t="shared" si="38"/>
        <v>46799.686232178829</v>
      </c>
      <c r="AP28" s="1">
        <f t="shared" si="38"/>
        <v>47569.092337406546</v>
      </c>
      <c r="AQ28" s="1">
        <f t="shared" si="38"/>
        <v>48353.949628448463</v>
      </c>
    </row>
    <row r="29" spans="2:43" s="1" customFormat="1" x14ac:dyDescent="0.2">
      <c r="B29" s="1" t="s">
        <v>49</v>
      </c>
      <c r="C29" s="1">
        <v>1930</v>
      </c>
      <c r="D29" s="1">
        <v>2034</v>
      </c>
      <c r="E29" s="1">
        <v>2052</v>
      </c>
      <c r="F29" s="1">
        <v>2179</v>
      </c>
      <c r="G29" s="1">
        <v>2251</v>
      </c>
      <c r="H29" s="1">
        <v>2210</v>
      </c>
      <c r="I29" s="1">
        <v>2222</v>
      </c>
      <c r="J29" s="1">
        <v>2135</v>
      </c>
      <c r="K29" s="1">
        <v>2096</v>
      </c>
      <c r="L29" s="1">
        <v>2236</v>
      </c>
      <c r="M29" s="1">
        <v>2259</v>
      </c>
      <c r="N29" s="1">
        <v>2302</v>
      </c>
      <c r="O29" s="1">
        <v>2230</v>
      </c>
      <c r="P29" s="1">
        <f>L29*1.04</f>
        <v>2325.44</v>
      </c>
      <c r="Q29" s="1">
        <f t="shared" ref="Q29:R29" si="39">M29*1.04</f>
        <v>2349.36</v>
      </c>
      <c r="R29" s="1">
        <f t="shared" si="39"/>
        <v>2394.08</v>
      </c>
      <c r="V29" s="1">
        <v>5398</v>
      </c>
      <c r="W29" s="1">
        <v>5975</v>
      </c>
      <c r="X29" s="1">
        <v>7176</v>
      </c>
      <c r="Y29" s="1">
        <f>SUM(C29:F29)</f>
        <v>8195</v>
      </c>
      <c r="Z29" s="1">
        <f t="shared" si="33"/>
        <v>8818</v>
      </c>
      <c r="AA29" s="1">
        <f>SUM(K29:N29)</f>
        <v>8893</v>
      </c>
      <c r="AB29" s="17">
        <f>SUM(O29:R29)</f>
        <v>9298.880000000001</v>
      </c>
      <c r="AC29" s="1">
        <f>AB29*1.01</f>
        <v>9391.868800000002</v>
      </c>
      <c r="AD29" s="1">
        <f t="shared" ref="AD29:AQ29" si="40">AC29*1.01</f>
        <v>9485.7874880000018</v>
      </c>
      <c r="AE29" s="1">
        <f t="shared" si="40"/>
        <v>9580.6453628800027</v>
      </c>
      <c r="AF29" s="1">
        <f t="shared" si="40"/>
        <v>9676.4518165088029</v>
      </c>
      <c r="AG29" s="1">
        <f t="shared" si="40"/>
        <v>9773.2163346738907</v>
      </c>
      <c r="AH29" s="1">
        <f t="shared" si="40"/>
        <v>9870.9484980206289</v>
      </c>
      <c r="AI29" s="1">
        <f t="shared" si="40"/>
        <v>9969.6579830008359</v>
      </c>
      <c r="AJ29" s="1">
        <f t="shared" si="40"/>
        <v>10069.354562830844</v>
      </c>
      <c r="AK29" s="1">
        <f t="shared" si="40"/>
        <v>10170.048108459152</v>
      </c>
      <c r="AL29" s="1">
        <f t="shared" si="40"/>
        <v>10271.748589543744</v>
      </c>
      <c r="AM29" s="1">
        <f t="shared" si="40"/>
        <v>10374.466075439181</v>
      </c>
      <c r="AN29" s="1">
        <f t="shared" si="40"/>
        <v>10478.210736193572</v>
      </c>
      <c r="AO29" s="1">
        <f t="shared" si="40"/>
        <v>10582.992843555508</v>
      </c>
      <c r="AP29" s="1">
        <f t="shared" si="40"/>
        <v>10688.822771991063</v>
      </c>
      <c r="AQ29" s="1">
        <f t="shared" si="40"/>
        <v>10795.710999710973</v>
      </c>
    </row>
    <row r="30" spans="2:43" s="1" customFormat="1" x14ac:dyDescent="0.2">
      <c r="B30" s="1" t="s">
        <v>51</v>
      </c>
      <c r="C30" s="1">
        <v>608</v>
      </c>
      <c r="D30" s="1">
        <v>624</v>
      </c>
      <c r="E30" s="1">
        <v>655</v>
      </c>
      <c r="F30" s="1">
        <v>683</v>
      </c>
      <c r="G30" s="1">
        <v>623</v>
      </c>
      <c r="H30" s="1">
        <v>614</v>
      </c>
      <c r="I30" s="1">
        <v>618</v>
      </c>
      <c r="J30" s="1">
        <v>628</v>
      </c>
      <c r="K30" s="1">
        <v>627</v>
      </c>
      <c r="L30" s="1">
        <v>707</v>
      </c>
      <c r="M30" s="1">
        <v>664</v>
      </c>
      <c r="N30" s="1">
        <v>762</v>
      </c>
      <c r="O30" s="1">
        <v>723</v>
      </c>
      <c r="P30" s="1">
        <f>L30*1.15</f>
        <v>813.05</v>
      </c>
      <c r="Q30" s="1">
        <f t="shared" ref="Q30:R30" si="41">M30*1.15</f>
        <v>763.59999999999991</v>
      </c>
      <c r="R30" s="1">
        <f t="shared" si="41"/>
        <v>876.3</v>
      </c>
      <c r="V30" s="1">
        <v>2195</v>
      </c>
      <c r="W30" s="1">
        <v>2074</v>
      </c>
      <c r="X30" s="1">
        <v>2339</v>
      </c>
      <c r="Y30" s="1">
        <f>SUM(C30:F30)</f>
        <v>2570</v>
      </c>
      <c r="Z30" s="1">
        <f t="shared" si="33"/>
        <v>2483</v>
      </c>
      <c r="AA30" s="1">
        <f>SUM(K30:N30)</f>
        <v>2760</v>
      </c>
      <c r="AB30" s="17">
        <f>SUM(O30:R30)</f>
        <v>3175.95</v>
      </c>
      <c r="AC30" s="1">
        <f>AB30*1.15</f>
        <v>3652.3424999999993</v>
      </c>
      <c r="AD30" s="1">
        <f t="shared" ref="AD30:AF30" si="42">AC30*1.15</f>
        <v>4200.193874999999</v>
      </c>
      <c r="AE30" s="1">
        <f t="shared" si="42"/>
        <v>4830.2229562499988</v>
      </c>
      <c r="AF30" s="1">
        <f t="shared" si="42"/>
        <v>5554.7563996874978</v>
      </c>
      <c r="AG30" s="1">
        <f>AF30*1.05</f>
        <v>5832.494219671873</v>
      </c>
      <c r="AH30" s="1">
        <f t="shared" ref="AH30:AM30" si="43">AG30*1.05</f>
        <v>6124.118930655467</v>
      </c>
      <c r="AI30" s="1">
        <f t="shared" si="43"/>
        <v>6430.3248771882409</v>
      </c>
      <c r="AJ30" s="1">
        <f t="shared" si="43"/>
        <v>6751.8411210476534</v>
      </c>
      <c r="AK30" s="1">
        <f t="shared" si="43"/>
        <v>7089.4331771000361</v>
      </c>
      <c r="AL30" s="1">
        <f t="shared" si="43"/>
        <v>7443.9048359550379</v>
      </c>
      <c r="AM30" s="1">
        <f t="shared" si="43"/>
        <v>7816.1000777527897</v>
      </c>
      <c r="AN30" s="1">
        <f>AM30*1.02</f>
        <v>7972.4220793078457</v>
      </c>
      <c r="AO30" s="1">
        <f t="shared" ref="AO30:AQ30" si="44">AN30*1.02</f>
        <v>8131.8705208940028</v>
      </c>
      <c r="AP30" s="1">
        <f t="shared" si="44"/>
        <v>8294.5079313118822</v>
      </c>
      <c r="AQ30" s="1">
        <f t="shared" si="44"/>
        <v>8460.3980899381204</v>
      </c>
    </row>
    <row r="31" spans="2:43" s="1" customFormat="1" x14ac:dyDescent="0.2">
      <c r="B31" s="1" t="s">
        <v>52</v>
      </c>
      <c r="C31" s="1">
        <v>0</v>
      </c>
      <c r="D31" s="1">
        <v>0</v>
      </c>
      <c r="E31" s="1">
        <v>-1059</v>
      </c>
      <c r="F31" s="1">
        <v>0</v>
      </c>
      <c r="G31" s="1">
        <v>80</v>
      </c>
      <c r="H31" s="1">
        <v>208</v>
      </c>
      <c r="I31" s="1">
        <v>-4</v>
      </c>
      <c r="J31" s="1">
        <v>577</v>
      </c>
      <c r="K31" s="1">
        <v>-28</v>
      </c>
      <c r="L31" s="1">
        <v>0</v>
      </c>
      <c r="M31" s="1">
        <v>75</v>
      </c>
      <c r="N31" s="1">
        <v>132</v>
      </c>
      <c r="O31" s="1">
        <v>0</v>
      </c>
      <c r="P31" s="1">
        <v>0</v>
      </c>
      <c r="Q31" s="1">
        <v>0</v>
      </c>
      <c r="R31" s="1">
        <v>0</v>
      </c>
      <c r="V31" s="1">
        <v>414</v>
      </c>
      <c r="W31" s="1">
        <v>-28</v>
      </c>
      <c r="X31" s="1">
        <v>0</v>
      </c>
      <c r="Y31" s="1">
        <f>SUM(C31:F31)</f>
        <v>-1059</v>
      </c>
      <c r="Z31" s="1">
        <f t="shared" si="33"/>
        <v>861</v>
      </c>
      <c r="AA31" s="1">
        <f>SUM(K31:N31)</f>
        <v>179</v>
      </c>
      <c r="AB31" s="17">
        <f>SUM(O31:R31)</f>
        <v>0</v>
      </c>
    </row>
    <row r="32" spans="2:43" s="1" customFormat="1" x14ac:dyDescent="0.2">
      <c r="B32" s="1" t="s">
        <v>53</v>
      </c>
      <c r="C32" s="1">
        <f t="shared" ref="C32:O32" si="45">SUM(C29:C31)</f>
        <v>2538</v>
      </c>
      <c r="D32" s="1">
        <f t="shared" si="45"/>
        <v>2658</v>
      </c>
      <c r="E32" s="1">
        <f t="shared" si="45"/>
        <v>1648</v>
      </c>
      <c r="F32" s="1">
        <f t="shared" si="45"/>
        <v>2862</v>
      </c>
      <c r="G32" s="1">
        <f t="shared" si="45"/>
        <v>2954</v>
      </c>
      <c r="H32" s="1">
        <f t="shared" si="45"/>
        <v>3032</v>
      </c>
      <c r="I32" s="1">
        <f t="shared" si="45"/>
        <v>2836</v>
      </c>
      <c r="J32" s="1">
        <f t="shared" si="45"/>
        <v>3340</v>
      </c>
      <c r="K32" s="1">
        <f t="shared" si="45"/>
        <v>2695</v>
      </c>
      <c r="L32" s="1">
        <f t="shared" si="45"/>
        <v>2943</v>
      </c>
      <c r="M32" s="1">
        <f t="shared" si="45"/>
        <v>2998</v>
      </c>
      <c r="N32" s="1">
        <f t="shared" si="45"/>
        <v>3196</v>
      </c>
      <c r="O32" s="1">
        <f t="shared" si="45"/>
        <v>2953</v>
      </c>
      <c r="P32" s="1">
        <f t="shared" ref="P32:R32" si="46">SUM(P29:P31)</f>
        <v>3138.49</v>
      </c>
      <c r="Q32" s="1">
        <f t="shared" si="46"/>
        <v>3112.96</v>
      </c>
      <c r="R32" s="1">
        <f t="shared" si="46"/>
        <v>3270.38</v>
      </c>
      <c r="V32" s="1">
        <f t="shared" ref="V32:AA32" si="47">SUM(V29:V31)</f>
        <v>8007</v>
      </c>
      <c r="W32" s="1">
        <f t="shared" si="47"/>
        <v>8021</v>
      </c>
      <c r="X32" s="1">
        <f t="shared" si="47"/>
        <v>9515</v>
      </c>
      <c r="Y32" s="1">
        <f t="shared" si="47"/>
        <v>9706</v>
      </c>
      <c r="Z32" s="1">
        <f t="shared" si="47"/>
        <v>12162</v>
      </c>
      <c r="AA32" s="1">
        <f t="shared" si="47"/>
        <v>11832</v>
      </c>
      <c r="AB32" s="1">
        <f t="shared" ref="AB32:AQ32" si="48">SUM(AB29:AB31)</f>
        <v>12474.830000000002</v>
      </c>
      <c r="AC32" s="1">
        <f t="shared" si="48"/>
        <v>13044.211300000001</v>
      </c>
      <c r="AD32" s="1">
        <f t="shared" si="48"/>
        <v>13685.981363000001</v>
      </c>
      <c r="AE32" s="1">
        <f t="shared" si="48"/>
        <v>14410.868319130001</v>
      </c>
      <c r="AF32" s="1">
        <f t="shared" si="48"/>
        <v>15231.208216196301</v>
      </c>
      <c r="AG32" s="1">
        <f t="shared" si="48"/>
        <v>15605.710554345764</v>
      </c>
      <c r="AH32" s="1">
        <f t="shared" si="48"/>
        <v>15995.067428676095</v>
      </c>
      <c r="AI32" s="1">
        <f t="shared" si="48"/>
        <v>16399.982860189077</v>
      </c>
      <c r="AJ32" s="1">
        <f t="shared" si="48"/>
        <v>16821.195683878497</v>
      </c>
      <c r="AK32" s="1">
        <f t="shared" si="48"/>
        <v>17259.481285559188</v>
      </c>
      <c r="AL32" s="1">
        <f t="shared" si="48"/>
        <v>17715.653425498782</v>
      </c>
      <c r="AM32" s="1">
        <f t="shared" si="48"/>
        <v>18190.566153191969</v>
      </c>
      <c r="AN32" s="1">
        <f t="shared" si="48"/>
        <v>18450.63281550142</v>
      </c>
      <c r="AO32" s="1">
        <f t="shared" si="48"/>
        <v>18714.863364449513</v>
      </c>
      <c r="AP32" s="1">
        <f t="shared" si="48"/>
        <v>18983.330703302945</v>
      </c>
      <c r="AQ32" s="1">
        <f t="shared" si="48"/>
        <v>19256.109089649093</v>
      </c>
    </row>
    <row r="33" spans="2:176" s="1" customFormat="1" x14ac:dyDescent="0.2">
      <c r="B33" s="1" t="s">
        <v>54</v>
      </c>
      <c r="C33" s="1">
        <f t="shared" ref="C33:O33" si="49">+C28-C32</f>
        <v>3864</v>
      </c>
      <c r="D33" s="1">
        <f t="shared" si="49"/>
        <v>3858</v>
      </c>
      <c r="E33" s="1">
        <f t="shared" si="49"/>
        <v>4472</v>
      </c>
      <c r="F33" s="1">
        <f t="shared" si="49"/>
        <v>3666</v>
      </c>
      <c r="G33" s="1">
        <f t="shared" si="49"/>
        <v>2465</v>
      </c>
      <c r="H33" s="1">
        <f t="shared" si="49"/>
        <v>2090</v>
      </c>
      <c r="I33" s="1">
        <f t="shared" si="49"/>
        <v>1823</v>
      </c>
      <c r="J33" s="1">
        <f t="shared" si="49"/>
        <v>1411</v>
      </c>
      <c r="K33" s="1">
        <f t="shared" si="49"/>
        <v>2928</v>
      </c>
      <c r="L33" s="1">
        <f t="shared" si="49"/>
        <v>2340</v>
      </c>
      <c r="M33" s="1">
        <f t="shared" si="49"/>
        <v>2221</v>
      </c>
      <c r="N33" s="1">
        <f t="shared" si="49"/>
        <v>2581</v>
      </c>
      <c r="O33" s="1">
        <f t="shared" si="49"/>
        <v>3555</v>
      </c>
      <c r="P33" s="1">
        <f t="shared" ref="P33:R33" si="50">+P28-P32</f>
        <v>2767.8365882352955</v>
      </c>
      <c r="Q33" s="1">
        <f t="shared" si="50"/>
        <v>2834.9120000000012</v>
      </c>
      <c r="R33" s="1">
        <f t="shared" si="50"/>
        <v>3141.3432941176479</v>
      </c>
      <c r="V33" s="1">
        <f t="shared" ref="V33:AA33" si="51">+V28-V32</f>
        <v>7667</v>
      </c>
      <c r="W33" s="1">
        <f t="shared" si="51"/>
        <v>6255</v>
      </c>
      <c r="X33" s="1">
        <f t="shared" si="51"/>
        <v>9789</v>
      </c>
      <c r="Y33" s="1">
        <f t="shared" si="51"/>
        <v>15860</v>
      </c>
      <c r="Z33" s="1">
        <f t="shared" si="51"/>
        <v>7789</v>
      </c>
      <c r="AA33" s="1">
        <f t="shared" si="51"/>
        <v>10070</v>
      </c>
      <c r="AB33" s="1">
        <f t="shared" ref="AB33:AQ33" si="52">+AB28-AB32</f>
        <v>12299.091882352943</v>
      </c>
      <c r="AC33" s="1">
        <f t="shared" si="52"/>
        <v>14462.417817647058</v>
      </c>
      <c r="AD33" s="1">
        <f t="shared" si="52"/>
        <v>13127.014672294123</v>
      </c>
      <c r="AE33" s="1">
        <f t="shared" si="52"/>
        <v>15201.940587222954</v>
      </c>
      <c r="AF33" s="1">
        <f t="shared" si="52"/>
        <v>17553.375909723716</v>
      </c>
      <c r="AG33" s="1">
        <f t="shared" si="52"/>
        <v>19718.2579004695</v>
      </c>
      <c r="AH33" s="1">
        <f t="shared" si="52"/>
        <v>21003.084653648333</v>
      </c>
      <c r="AI33" s="1">
        <f t="shared" si="52"/>
        <v>22377.705882032737</v>
      </c>
      <c r="AJ33" s="1">
        <f t="shared" si="52"/>
        <v>23849.740147265671</v>
      </c>
      <c r="AK33" s="1">
        <f t="shared" si="52"/>
        <v>24946.01655814983</v>
      </c>
      <c r="AL33" s="1">
        <f t="shared" si="52"/>
        <v>25984.293333674428</v>
      </c>
      <c r="AM33" s="1">
        <f t="shared" si="52"/>
        <v>27115.260419324608</v>
      </c>
      <c r="AN33" s="1">
        <f t="shared" si="52"/>
        <v>27594.746039427118</v>
      </c>
      <c r="AO33" s="1">
        <f t="shared" si="52"/>
        <v>28084.822867729315</v>
      </c>
      <c r="AP33" s="1">
        <f t="shared" si="52"/>
        <v>28585.761634103601</v>
      </c>
      <c r="AQ33" s="1">
        <f t="shared" si="52"/>
        <v>29097.84053879937</v>
      </c>
    </row>
    <row r="34" spans="2:176" s="1" customFormat="1" x14ac:dyDescent="0.2">
      <c r="B34" s="1" t="s">
        <v>55</v>
      </c>
      <c r="C34" s="1">
        <f>-139+140</f>
        <v>1</v>
      </c>
      <c r="D34" s="1">
        <f>-137-298</f>
        <v>-435</v>
      </c>
      <c r="E34" s="1">
        <f>-70-163</f>
        <v>-233</v>
      </c>
      <c r="F34" s="1">
        <f>-145-51</f>
        <v>-196</v>
      </c>
      <c r="G34" s="1">
        <f>76-170</f>
        <v>-94</v>
      </c>
      <c r="H34" s="1">
        <f>-179-16</f>
        <v>-195</v>
      </c>
      <c r="I34" s="1">
        <f>-172+106</f>
        <v>-66</v>
      </c>
      <c r="J34" s="1">
        <f>-174+183</f>
        <v>9</v>
      </c>
      <c r="K34" s="1">
        <f>-178+212</f>
        <v>34</v>
      </c>
      <c r="L34" s="1">
        <f>-172+330</f>
        <v>158</v>
      </c>
      <c r="M34" s="1">
        <f>-168+226</f>
        <v>58</v>
      </c>
      <c r="N34" s="1">
        <f>-178+194</f>
        <v>16</v>
      </c>
      <c r="O34" s="1">
        <f>-163+243</f>
        <v>80</v>
      </c>
      <c r="P34" s="1">
        <v>0</v>
      </c>
      <c r="Q34" s="1">
        <v>0</v>
      </c>
      <c r="R34" s="1">
        <v>0</v>
      </c>
      <c r="V34" s="1">
        <f>-627+441</f>
        <v>-186</v>
      </c>
      <c r="W34" s="1">
        <f>-602+66</f>
        <v>-536</v>
      </c>
      <c r="X34" s="1">
        <f>-559+1044</f>
        <v>485</v>
      </c>
      <c r="Y34" s="1">
        <f>SUM(C34:F34)</f>
        <v>-863</v>
      </c>
      <c r="Z34" s="1">
        <f>SUM(D34:G34)</f>
        <v>-958</v>
      </c>
      <c r="AA34" s="1">
        <f>SUM(K34:N34)</f>
        <v>266</v>
      </c>
      <c r="AB34" s="17">
        <f>SUM(O34:R34)</f>
        <v>80</v>
      </c>
      <c r="AC34" s="1">
        <f>+AB61*$AV$41</f>
        <v>103.404781</v>
      </c>
      <c r="AD34" s="1">
        <f t="shared" ref="AD34:AQ34" si="53">+AC61*$AV$41</f>
        <v>227.21427308849999</v>
      </c>
      <c r="AE34" s="1">
        <f t="shared" si="53"/>
        <v>340.72521912425225</v>
      </c>
      <c r="AF34" s="1">
        <f t="shared" si="53"/>
        <v>472.83787847820349</v>
      </c>
      <c r="AG34" s="1">
        <f t="shared" si="53"/>
        <v>626.06069567791985</v>
      </c>
      <c r="AH34" s="1">
        <f t="shared" si="53"/>
        <v>798.98740374517274</v>
      </c>
      <c r="AI34" s="1">
        <f t="shared" si="53"/>
        <v>984.30501623301768</v>
      </c>
      <c r="AJ34" s="1">
        <f t="shared" si="53"/>
        <v>1182.8821088682766</v>
      </c>
      <c r="AK34" s="1">
        <f t="shared" si="53"/>
        <v>1395.6593980454149</v>
      </c>
      <c r="AL34" s="1">
        <f t="shared" si="53"/>
        <v>1619.5636436730747</v>
      </c>
      <c r="AM34" s="1">
        <f t="shared" si="53"/>
        <v>1854.1964279805284</v>
      </c>
      <c r="AN34" s="1">
        <f t="shared" si="53"/>
        <v>2100.436811182622</v>
      </c>
      <c r="AO34" s="1">
        <f t="shared" si="53"/>
        <v>2352.8458654128049</v>
      </c>
      <c r="AP34" s="1">
        <f t="shared" si="53"/>
        <v>2611.566049644513</v>
      </c>
      <c r="AQ34" s="1">
        <f t="shared" si="53"/>
        <v>2876.7433349563721</v>
      </c>
    </row>
    <row r="35" spans="2:176" s="1" customFormat="1" x14ac:dyDescent="0.2">
      <c r="B35" s="1" t="s">
        <v>56</v>
      </c>
      <c r="C35" s="1">
        <f t="shared" ref="C35:R35" si="54">+C33+C34</f>
        <v>3865</v>
      </c>
      <c r="D35" s="1">
        <f t="shared" si="54"/>
        <v>3423</v>
      </c>
      <c r="E35" s="1">
        <f t="shared" si="54"/>
        <v>4239</v>
      </c>
      <c r="F35" s="1">
        <f t="shared" si="54"/>
        <v>3470</v>
      </c>
      <c r="G35" s="1">
        <f t="shared" si="54"/>
        <v>2371</v>
      </c>
      <c r="H35" s="1">
        <f t="shared" si="54"/>
        <v>1895</v>
      </c>
      <c r="I35" s="1">
        <f t="shared" si="54"/>
        <v>1757</v>
      </c>
      <c r="J35" s="1">
        <f t="shared" si="54"/>
        <v>1420</v>
      </c>
      <c r="K35" s="1">
        <f t="shared" si="54"/>
        <v>2962</v>
      </c>
      <c r="L35" s="1">
        <f t="shared" si="54"/>
        <v>2498</v>
      </c>
      <c r="M35" s="1">
        <f t="shared" si="54"/>
        <v>2279</v>
      </c>
      <c r="N35" s="1">
        <f t="shared" si="54"/>
        <v>2597</v>
      </c>
      <c r="O35" s="1">
        <f t="shared" si="54"/>
        <v>3635</v>
      </c>
      <c r="P35" s="1">
        <f t="shared" si="54"/>
        <v>2767.8365882352955</v>
      </c>
      <c r="Q35" s="1">
        <f t="shared" si="54"/>
        <v>2834.9120000000012</v>
      </c>
      <c r="R35" s="1">
        <f t="shared" si="54"/>
        <v>3141.3432941176479</v>
      </c>
      <c r="V35" s="1">
        <f>+V33+V34</f>
        <v>7481</v>
      </c>
      <c r="W35" s="1">
        <f>+W33+W34</f>
        <v>5719</v>
      </c>
      <c r="X35" s="1">
        <f>+X33+X34</f>
        <v>10274</v>
      </c>
      <c r="Y35" s="1">
        <f>+Y33+Y34</f>
        <v>14997</v>
      </c>
      <c r="Z35" s="1">
        <f t="shared" ref="Z35:AQ35" si="55">+Z33+Z34</f>
        <v>6831</v>
      </c>
      <c r="AA35" s="1">
        <f t="shared" si="55"/>
        <v>10336</v>
      </c>
      <c r="AB35" s="1">
        <f t="shared" si="55"/>
        <v>12379.091882352943</v>
      </c>
      <c r="AC35" s="1">
        <f t="shared" si="55"/>
        <v>14565.822598647057</v>
      </c>
      <c r="AD35" s="1">
        <f t="shared" si="55"/>
        <v>13354.228945382623</v>
      </c>
      <c r="AE35" s="1">
        <f t="shared" si="55"/>
        <v>15542.665806347206</v>
      </c>
      <c r="AF35" s="1">
        <f t="shared" si="55"/>
        <v>18026.21378820192</v>
      </c>
      <c r="AG35" s="1">
        <f t="shared" si="55"/>
        <v>20344.318596147419</v>
      </c>
      <c r="AH35" s="1">
        <f t="shared" si="55"/>
        <v>21802.072057393507</v>
      </c>
      <c r="AI35" s="1">
        <f t="shared" si="55"/>
        <v>23362.010898265755</v>
      </c>
      <c r="AJ35" s="1">
        <f t="shared" si="55"/>
        <v>25032.622256133949</v>
      </c>
      <c r="AK35" s="1">
        <f t="shared" si="55"/>
        <v>26341.675956195246</v>
      </c>
      <c r="AL35" s="1">
        <f t="shared" si="55"/>
        <v>27603.856977347503</v>
      </c>
      <c r="AM35" s="1">
        <f t="shared" si="55"/>
        <v>28969.456847305137</v>
      </c>
      <c r="AN35" s="1">
        <f t="shared" si="55"/>
        <v>29695.182850609741</v>
      </c>
      <c r="AO35" s="1">
        <f t="shared" si="55"/>
        <v>30437.66873314212</v>
      </c>
      <c r="AP35" s="1">
        <f t="shared" si="55"/>
        <v>31197.327683748113</v>
      </c>
      <c r="AQ35" s="1">
        <f t="shared" si="55"/>
        <v>31974.583873755742</v>
      </c>
    </row>
    <row r="36" spans="2:176" s="1" customFormat="1" x14ac:dyDescent="0.2">
      <c r="B36" s="1" t="s">
        <v>57</v>
      </c>
      <c r="C36" s="1">
        <v>466</v>
      </c>
      <c r="D36" s="1">
        <v>489</v>
      </c>
      <c r="E36" s="1">
        <v>509</v>
      </c>
      <c r="F36" s="1">
        <v>547</v>
      </c>
      <c r="G36" s="1">
        <v>98</v>
      </c>
      <c r="H36" s="1">
        <v>193</v>
      </c>
      <c r="I36" s="1">
        <v>22</v>
      </c>
      <c r="J36" s="1">
        <v>-209</v>
      </c>
      <c r="K36" s="1">
        <v>151</v>
      </c>
      <c r="L36" s="1">
        <v>223</v>
      </c>
      <c r="M36" s="1">
        <v>171</v>
      </c>
      <c r="N36" s="1">
        <v>-318</v>
      </c>
      <c r="O36" s="1">
        <v>455</v>
      </c>
      <c r="P36" s="1">
        <f>+P35*0.15</f>
        <v>415.17548823529432</v>
      </c>
      <c r="Q36" s="1">
        <f t="shared" ref="Q36:R36" si="56">+Q35*0.15</f>
        <v>425.23680000000019</v>
      </c>
      <c r="R36" s="1">
        <f t="shared" si="56"/>
        <v>471.20149411764714</v>
      </c>
      <c r="V36" s="1">
        <v>3095</v>
      </c>
      <c r="W36" s="1">
        <v>521</v>
      </c>
      <c r="X36" s="1">
        <v>1231</v>
      </c>
      <c r="Y36" s="1">
        <f>SUM(C36:F36)</f>
        <v>2011</v>
      </c>
      <c r="Z36" s="1">
        <f>SUM(G36:J36)</f>
        <v>104</v>
      </c>
      <c r="AA36" s="1">
        <f>SUM(K36:N36)</f>
        <v>227</v>
      </c>
      <c r="AB36" s="17">
        <f>SUM(O36:R36)</f>
        <v>1766.6137823529416</v>
      </c>
      <c r="AC36" s="1">
        <f>+AC35*0.15</f>
        <v>2184.8733897970583</v>
      </c>
      <c r="AD36" s="1">
        <f t="shared" ref="AD36:AQ36" si="57">+AD35*0.15</f>
        <v>2003.1343418073934</v>
      </c>
      <c r="AE36" s="1">
        <f t="shared" si="57"/>
        <v>2331.3998709520806</v>
      </c>
      <c r="AF36" s="1">
        <f t="shared" si="57"/>
        <v>2703.9320682302878</v>
      </c>
      <c r="AG36" s="1">
        <f t="shared" si="57"/>
        <v>3051.647789422113</v>
      </c>
      <c r="AH36" s="1">
        <f t="shared" si="57"/>
        <v>3270.310808609026</v>
      </c>
      <c r="AI36" s="1">
        <f t="shared" si="57"/>
        <v>3504.3016347398629</v>
      </c>
      <c r="AJ36" s="1">
        <f t="shared" si="57"/>
        <v>3754.8933384200923</v>
      </c>
      <c r="AK36" s="1">
        <f t="shared" si="57"/>
        <v>3951.2513934292865</v>
      </c>
      <c r="AL36" s="1">
        <f t="shared" si="57"/>
        <v>4140.5785466021252</v>
      </c>
      <c r="AM36" s="1">
        <f t="shared" si="57"/>
        <v>4345.4185270957705</v>
      </c>
      <c r="AN36" s="1">
        <f t="shared" si="57"/>
        <v>4454.2774275914608</v>
      </c>
      <c r="AO36" s="1">
        <f t="shared" si="57"/>
        <v>4565.6503099713182</v>
      </c>
      <c r="AP36" s="1">
        <f t="shared" si="57"/>
        <v>4679.5991525622167</v>
      </c>
      <c r="AQ36" s="1">
        <f t="shared" si="57"/>
        <v>4796.187581063361</v>
      </c>
    </row>
    <row r="37" spans="2:176" s="1" customFormat="1" x14ac:dyDescent="0.2">
      <c r="B37" s="1" t="s">
        <v>89</v>
      </c>
      <c r="C37" s="1">
        <v>0</v>
      </c>
      <c r="D37" s="1">
        <v>0</v>
      </c>
      <c r="E37" s="1">
        <v>0</v>
      </c>
      <c r="F37" s="1">
        <v>-50</v>
      </c>
      <c r="G37" s="1">
        <v>-38</v>
      </c>
      <c r="H37" s="1">
        <v>2</v>
      </c>
      <c r="I37" s="1">
        <v>68</v>
      </c>
      <c r="J37" s="1">
        <v>-140</v>
      </c>
      <c r="K37" s="1">
        <v>0</v>
      </c>
      <c r="L37" s="1">
        <v>51</v>
      </c>
      <c r="M37" s="1">
        <v>21</v>
      </c>
      <c r="N37" s="1">
        <v>5</v>
      </c>
      <c r="O37" s="1">
        <v>0</v>
      </c>
      <c r="P37" s="1">
        <v>0</v>
      </c>
      <c r="Q37" s="1">
        <v>0</v>
      </c>
      <c r="R37" s="1">
        <v>0</v>
      </c>
      <c r="V37" s="1">
        <v>0</v>
      </c>
      <c r="W37" s="1">
        <v>0</v>
      </c>
      <c r="X37" s="1">
        <v>0</v>
      </c>
      <c r="Y37" s="1">
        <f>SUM(C37:F37)</f>
        <v>-50</v>
      </c>
      <c r="Z37" s="1">
        <f>SUM(G37:J37)</f>
        <v>-108</v>
      </c>
      <c r="AA37" s="1">
        <f>SUM(K37:N37)</f>
        <v>77</v>
      </c>
      <c r="AB37" s="17">
        <f>SUM(O37:R37)</f>
        <v>0</v>
      </c>
    </row>
    <row r="38" spans="2:176" s="1" customFormat="1" x14ac:dyDescent="0.2">
      <c r="B38" s="1" t="s">
        <v>58</v>
      </c>
      <c r="C38" s="1">
        <f t="shared" ref="C38:R38" si="58">+C35-C36+C37</f>
        <v>3399</v>
      </c>
      <c r="D38" s="1">
        <f t="shared" si="58"/>
        <v>2934</v>
      </c>
      <c r="E38" s="1">
        <f t="shared" si="58"/>
        <v>3730</v>
      </c>
      <c r="F38" s="1">
        <f t="shared" si="58"/>
        <v>2873</v>
      </c>
      <c r="G38" s="1">
        <f t="shared" si="58"/>
        <v>2235</v>
      </c>
      <c r="H38" s="1">
        <f t="shared" si="58"/>
        <v>1704</v>
      </c>
      <c r="I38" s="1">
        <f t="shared" si="58"/>
        <v>1803</v>
      </c>
      <c r="J38" s="1">
        <f t="shared" si="58"/>
        <v>1489</v>
      </c>
      <c r="K38" s="1">
        <f t="shared" si="58"/>
        <v>2811</v>
      </c>
      <c r="L38" s="1">
        <f t="shared" si="58"/>
        <v>2326</v>
      </c>
      <c r="M38" s="1">
        <f t="shared" si="58"/>
        <v>2129</v>
      </c>
      <c r="N38" s="1">
        <f t="shared" si="58"/>
        <v>2920</v>
      </c>
      <c r="O38" s="1">
        <f t="shared" si="58"/>
        <v>3180</v>
      </c>
      <c r="P38" s="1">
        <f t="shared" si="58"/>
        <v>2352.6611000000012</v>
      </c>
      <c r="Q38" s="1">
        <f t="shared" si="58"/>
        <v>2409.675200000001</v>
      </c>
      <c r="R38" s="1">
        <f t="shared" si="58"/>
        <v>2670.1418000000008</v>
      </c>
      <c r="V38" s="1">
        <f t="shared" ref="V38:AQ38" si="59">+V35-V36+V37</f>
        <v>4386</v>
      </c>
      <c r="W38" s="1">
        <f t="shared" si="59"/>
        <v>5198</v>
      </c>
      <c r="X38" s="1">
        <f t="shared" si="59"/>
        <v>9043</v>
      </c>
      <c r="Y38" s="1">
        <f t="shared" si="59"/>
        <v>12936</v>
      </c>
      <c r="Z38" s="1">
        <f t="shared" si="59"/>
        <v>6619</v>
      </c>
      <c r="AA38" s="1">
        <f t="shared" si="59"/>
        <v>10186</v>
      </c>
      <c r="AB38" s="1">
        <f t="shared" si="59"/>
        <v>10612.4781</v>
      </c>
      <c r="AC38" s="1">
        <f t="shared" si="59"/>
        <v>12380.949208849999</v>
      </c>
      <c r="AD38" s="1">
        <f t="shared" si="59"/>
        <v>11351.094603575229</v>
      </c>
      <c r="AE38" s="1">
        <f t="shared" si="59"/>
        <v>13211.265935395126</v>
      </c>
      <c r="AF38" s="1">
        <f t="shared" si="59"/>
        <v>15322.281719971632</v>
      </c>
      <c r="AG38" s="1">
        <f t="shared" si="59"/>
        <v>17292.670806725306</v>
      </c>
      <c r="AH38" s="1">
        <f t="shared" si="59"/>
        <v>18531.761248784482</v>
      </c>
      <c r="AI38" s="1">
        <f t="shared" si="59"/>
        <v>19857.709263525892</v>
      </c>
      <c r="AJ38" s="1">
        <f t="shared" si="59"/>
        <v>21277.728917713855</v>
      </c>
      <c r="AK38" s="1">
        <f t="shared" si="59"/>
        <v>22390.424562765958</v>
      </c>
      <c r="AL38" s="1">
        <f t="shared" si="59"/>
        <v>23463.278430745377</v>
      </c>
      <c r="AM38" s="1">
        <f t="shared" si="59"/>
        <v>24624.038320209365</v>
      </c>
      <c r="AN38" s="1">
        <f t="shared" si="59"/>
        <v>25240.905423018281</v>
      </c>
      <c r="AO38" s="1">
        <f t="shared" si="59"/>
        <v>25872.018423170801</v>
      </c>
      <c r="AP38" s="1">
        <f t="shared" si="59"/>
        <v>26517.728531185898</v>
      </c>
      <c r="AQ38" s="1">
        <f t="shared" si="59"/>
        <v>27178.396292692381</v>
      </c>
      <c r="AR38" s="1">
        <f>AQ38*(1+$AV$40)</f>
        <v>26634.828366838534</v>
      </c>
      <c r="AS38" s="1">
        <f t="shared" ref="AS38:DD38" si="60">AR38*(1+$AV$40)</f>
        <v>26102.131799501763</v>
      </c>
      <c r="AT38" s="1">
        <f t="shared" si="60"/>
        <v>25580.089163511726</v>
      </c>
      <c r="AU38" s="1">
        <f t="shared" si="60"/>
        <v>25068.487380241491</v>
      </c>
      <c r="AV38" s="1">
        <f t="shared" si="60"/>
        <v>24567.117632636662</v>
      </c>
      <c r="AW38" s="1">
        <f t="shared" si="60"/>
        <v>24075.775279983929</v>
      </c>
      <c r="AX38" s="1">
        <f t="shared" si="60"/>
        <v>23594.259774384249</v>
      </c>
      <c r="AY38" s="1">
        <f t="shared" si="60"/>
        <v>23122.374578896564</v>
      </c>
      <c r="AZ38" s="1">
        <f t="shared" si="60"/>
        <v>22659.927087318632</v>
      </c>
      <c r="BA38" s="1">
        <f t="shared" si="60"/>
        <v>22206.728545572259</v>
      </c>
      <c r="BB38" s="1">
        <f t="shared" si="60"/>
        <v>21762.593974660813</v>
      </c>
      <c r="BC38" s="1">
        <f t="shared" si="60"/>
        <v>21327.342095167594</v>
      </c>
      <c r="BD38" s="1">
        <f t="shared" si="60"/>
        <v>20900.795253264241</v>
      </c>
      <c r="BE38" s="1">
        <f t="shared" si="60"/>
        <v>20482.779348198957</v>
      </c>
      <c r="BF38" s="1">
        <f t="shared" si="60"/>
        <v>20073.12376123498</v>
      </c>
      <c r="BG38" s="1">
        <f t="shared" si="60"/>
        <v>19671.66128601028</v>
      </c>
      <c r="BH38" s="1">
        <f t="shared" si="60"/>
        <v>19278.228060290072</v>
      </c>
      <c r="BI38" s="1">
        <f t="shared" si="60"/>
        <v>18892.663499084269</v>
      </c>
      <c r="BJ38" s="1">
        <f t="shared" si="60"/>
        <v>18514.810229102583</v>
      </c>
      <c r="BK38" s="1">
        <f t="shared" si="60"/>
        <v>18144.514024520529</v>
      </c>
      <c r="BL38" s="1">
        <f t="shared" si="60"/>
        <v>17781.623744030119</v>
      </c>
      <c r="BM38" s="1">
        <f t="shared" si="60"/>
        <v>17425.991269149516</v>
      </c>
      <c r="BN38" s="1">
        <f t="shared" si="60"/>
        <v>17077.471443766524</v>
      </c>
      <c r="BO38" s="1">
        <f t="shared" si="60"/>
        <v>16735.922014891192</v>
      </c>
      <c r="BP38" s="1">
        <f t="shared" si="60"/>
        <v>16401.203574593368</v>
      </c>
      <c r="BQ38" s="1">
        <f t="shared" si="60"/>
        <v>16073.179503101501</v>
      </c>
      <c r="BR38" s="1">
        <f t="shared" si="60"/>
        <v>15751.71591303947</v>
      </c>
      <c r="BS38" s="1">
        <f t="shared" si="60"/>
        <v>15436.68159477868</v>
      </c>
      <c r="BT38" s="1">
        <f t="shared" si="60"/>
        <v>15127.947962883107</v>
      </c>
      <c r="BU38" s="1">
        <f t="shared" si="60"/>
        <v>14825.389003625445</v>
      </c>
      <c r="BV38" s="1">
        <f t="shared" si="60"/>
        <v>14528.881223552937</v>
      </c>
      <c r="BW38" s="1">
        <f t="shared" si="60"/>
        <v>14238.303599081877</v>
      </c>
      <c r="BX38" s="1">
        <f t="shared" si="60"/>
        <v>13953.537527100239</v>
      </c>
      <c r="BY38" s="1">
        <f t="shared" si="60"/>
        <v>13674.466776558234</v>
      </c>
      <c r="BZ38" s="1">
        <f t="shared" si="60"/>
        <v>13400.977441027069</v>
      </c>
      <c r="CA38" s="1">
        <f t="shared" si="60"/>
        <v>13132.957892206528</v>
      </c>
      <c r="CB38" s="1">
        <f t="shared" si="60"/>
        <v>12870.298734362397</v>
      </c>
      <c r="CC38" s="1">
        <f t="shared" si="60"/>
        <v>12612.892759675149</v>
      </c>
      <c r="CD38" s="1">
        <f t="shared" si="60"/>
        <v>12360.634904481645</v>
      </c>
      <c r="CE38" s="1">
        <f t="shared" si="60"/>
        <v>12113.422206392012</v>
      </c>
      <c r="CF38" s="1">
        <f t="shared" si="60"/>
        <v>11871.153762264172</v>
      </c>
      <c r="CG38" s="1">
        <f t="shared" si="60"/>
        <v>11633.730687018888</v>
      </c>
      <c r="CH38" s="1">
        <f t="shared" si="60"/>
        <v>11401.056073278509</v>
      </c>
      <c r="CI38" s="1">
        <f t="shared" si="60"/>
        <v>11173.034951812939</v>
      </c>
      <c r="CJ38" s="1">
        <f t="shared" si="60"/>
        <v>10949.57425277668</v>
      </c>
      <c r="CK38" s="1">
        <f t="shared" si="60"/>
        <v>10730.582767721146</v>
      </c>
      <c r="CL38" s="1">
        <f t="shared" si="60"/>
        <v>10515.971112366722</v>
      </c>
      <c r="CM38" s="1">
        <f t="shared" si="60"/>
        <v>10305.651690119388</v>
      </c>
      <c r="CN38" s="1">
        <f t="shared" si="60"/>
        <v>10099.538656317</v>
      </c>
      <c r="CO38" s="1">
        <f t="shared" si="60"/>
        <v>9897.5478831906603</v>
      </c>
      <c r="CP38" s="1">
        <f t="shared" si="60"/>
        <v>9699.5969255268465</v>
      </c>
      <c r="CQ38" s="1">
        <f t="shared" si="60"/>
        <v>9505.6049870163097</v>
      </c>
      <c r="CR38" s="1">
        <f t="shared" si="60"/>
        <v>9315.4928872759829</v>
      </c>
      <c r="CS38" s="1">
        <f t="shared" si="60"/>
        <v>9129.1830295304626</v>
      </c>
      <c r="CT38" s="1">
        <f t="shared" si="60"/>
        <v>8946.5993689398529</v>
      </c>
      <c r="CU38" s="1">
        <f t="shared" si="60"/>
        <v>8767.6673815610557</v>
      </c>
      <c r="CV38" s="1">
        <f t="shared" si="60"/>
        <v>8592.3140339298352</v>
      </c>
      <c r="CW38" s="1">
        <f t="shared" si="60"/>
        <v>8420.4677532512378</v>
      </c>
      <c r="CX38" s="1">
        <f t="shared" si="60"/>
        <v>8252.0583981862128</v>
      </c>
      <c r="CY38" s="1">
        <f t="shared" si="60"/>
        <v>8087.0172302224883</v>
      </c>
      <c r="CZ38" s="1">
        <f t="shared" si="60"/>
        <v>7925.2768856180382</v>
      </c>
      <c r="DA38" s="1">
        <f t="shared" si="60"/>
        <v>7766.7713479056774</v>
      </c>
      <c r="DB38" s="1">
        <f t="shared" si="60"/>
        <v>7611.4359209475633</v>
      </c>
      <c r="DC38" s="1">
        <f t="shared" si="60"/>
        <v>7459.2072025286116</v>
      </c>
      <c r="DD38" s="1">
        <f t="shared" si="60"/>
        <v>7310.0230584780393</v>
      </c>
      <c r="DE38" s="1">
        <f t="shared" ref="DE38:FP38" si="61">DD38*(1+$AV$40)</f>
        <v>7163.8225973084782</v>
      </c>
      <c r="DF38" s="1">
        <f t="shared" si="61"/>
        <v>7020.5461453623084</v>
      </c>
      <c r="DG38" s="1">
        <f t="shared" si="61"/>
        <v>6880.1352224550619</v>
      </c>
      <c r="DH38" s="1">
        <f t="shared" si="61"/>
        <v>6742.5325180059608</v>
      </c>
      <c r="DI38" s="1">
        <f t="shared" si="61"/>
        <v>6607.6818676458415</v>
      </c>
      <c r="DJ38" s="1">
        <f t="shared" si="61"/>
        <v>6475.5282302929245</v>
      </c>
      <c r="DK38" s="1">
        <f t="shared" si="61"/>
        <v>6346.0176656870663</v>
      </c>
      <c r="DL38" s="1">
        <f t="shared" si="61"/>
        <v>6219.0973123733247</v>
      </c>
      <c r="DM38" s="1">
        <f t="shared" si="61"/>
        <v>6094.7153661258581</v>
      </c>
      <c r="DN38" s="1">
        <f t="shared" si="61"/>
        <v>5972.8210588033407</v>
      </c>
      <c r="DO38" s="1">
        <f t="shared" si="61"/>
        <v>5853.3646376272736</v>
      </c>
      <c r="DP38" s="1">
        <f t="shared" si="61"/>
        <v>5736.297344874728</v>
      </c>
      <c r="DQ38" s="1">
        <f t="shared" si="61"/>
        <v>5621.5713979772336</v>
      </c>
      <c r="DR38" s="1">
        <f t="shared" si="61"/>
        <v>5509.1399700176889</v>
      </c>
      <c r="DS38" s="1">
        <f t="shared" si="61"/>
        <v>5398.9571706173347</v>
      </c>
      <c r="DT38" s="1">
        <f t="shared" si="61"/>
        <v>5290.9780272049875</v>
      </c>
      <c r="DU38" s="1">
        <f t="shared" si="61"/>
        <v>5185.1584666608878</v>
      </c>
      <c r="DV38" s="1">
        <f t="shared" si="61"/>
        <v>5081.4552973276695</v>
      </c>
      <c r="DW38" s="1">
        <f t="shared" si="61"/>
        <v>4979.8261913811157</v>
      </c>
      <c r="DX38" s="1">
        <f t="shared" si="61"/>
        <v>4880.2296675534935</v>
      </c>
      <c r="DY38" s="1">
        <f t="shared" si="61"/>
        <v>4782.625074202424</v>
      </c>
      <c r="DZ38" s="1">
        <f t="shared" si="61"/>
        <v>4686.9725727183759</v>
      </c>
      <c r="EA38" s="1">
        <f t="shared" si="61"/>
        <v>4593.2331212640083</v>
      </c>
      <c r="EB38" s="1">
        <f t="shared" si="61"/>
        <v>4501.3684588387277</v>
      </c>
      <c r="EC38" s="1">
        <f t="shared" si="61"/>
        <v>4411.3410896619534</v>
      </c>
      <c r="ED38" s="1">
        <f t="shared" si="61"/>
        <v>4323.1142678687147</v>
      </c>
      <c r="EE38" s="1">
        <f t="shared" si="61"/>
        <v>4236.6519825113401</v>
      </c>
      <c r="EF38" s="1">
        <f t="shared" si="61"/>
        <v>4151.9189428611135</v>
      </c>
      <c r="EG38" s="1">
        <f t="shared" si="61"/>
        <v>4068.8805640038913</v>
      </c>
      <c r="EH38" s="1">
        <f t="shared" si="61"/>
        <v>3987.5029527238135</v>
      </c>
      <c r="EI38" s="1">
        <f t="shared" si="61"/>
        <v>3907.752893669337</v>
      </c>
      <c r="EJ38" s="1">
        <f t="shared" si="61"/>
        <v>3829.5978357959502</v>
      </c>
      <c r="EK38" s="1">
        <f t="shared" si="61"/>
        <v>3753.0058790800313</v>
      </c>
      <c r="EL38" s="1">
        <f t="shared" si="61"/>
        <v>3677.9457614984308</v>
      </c>
      <c r="EM38" s="1">
        <f t="shared" si="61"/>
        <v>3604.3868462684623</v>
      </c>
      <c r="EN38" s="1">
        <f t="shared" si="61"/>
        <v>3532.2991093430928</v>
      </c>
      <c r="EO38" s="1">
        <f t="shared" si="61"/>
        <v>3461.6531271562308</v>
      </c>
      <c r="EP38" s="1">
        <f t="shared" si="61"/>
        <v>3392.4200646131062</v>
      </c>
      <c r="EQ38" s="1">
        <f t="shared" si="61"/>
        <v>3324.571663320844</v>
      </c>
      <c r="ER38" s="1">
        <f t="shared" si="61"/>
        <v>3258.0802300544269</v>
      </c>
      <c r="ES38" s="1">
        <f t="shared" si="61"/>
        <v>3192.9186254533383</v>
      </c>
      <c r="ET38" s="1">
        <f t="shared" si="61"/>
        <v>3129.0602529442717</v>
      </c>
      <c r="EU38" s="1">
        <f t="shared" si="61"/>
        <v>3066.4790478853861</v>
      </c>
      <c r="EV38" s="1">
        <f t="shared" si="61"/>
        <v>3005.1494669276785</v>
      </c>
      <c r="EW38" s="1">
        <f t="shared" si="61"/>
        <v>2945.0464775891251</v>
      </c>
      <c r="EX38" s="1">
        <f t="shared" si="61"/>
        <v>2886.1455480373425</v>
      </c>
      <c r="EY38" s="1">
        <f t="shared" si="61"/>
        <v>2828.4226370765955</v>
      </c>
      <c r="EZ38" s="1">
        <f t="shared" si="61"/>
        <v>2771.8541843350636</v>
      </c>
      <c r="FA38" s="1">
        <f t="shared" si="61"/>
        <v>2716.4171006483621</v>
      </c>
      <c r="FB38" s="1">
        <f t="shared" si="61"/>
        <v>2662.0887586353947</v>
      </c>
      <c r="FC38" s="1">
        <f t="shared" si="61"/>
        <v>2608.8469834626867</v>
      </c>
      <c r="FD38" s="1">
        <f t="shared" si="61"/>
        <v>2556.6700437934328</v>
      </c>
      <c r="FE38" s="1">
        <f t="shared" si="61"/>
        <v>2505.5366429175642</v>
      </c>
      <c r="FF38" s="1">
        <f t="shared" si="61"/>
        <v>2455.425910059213</v>
      </c>
      <c r="FG38" s="1">
        <f t="shared" si="61"/>
        <v>2406.3173918580287</v>
      </c>
      <c r="FH38" s="1">
        <f t="shared" si="61"/>
        <v>2358.191044020868</v>
      </c>
      <c r="FI38" s="1">
        <f t="shared" si="61"/>
        <v>2311.0272231404506</v>
      </c>
      <c r="FJ38" s="1">
        <f t="shared" si="61"/>
        <v>2264.8066786776417</v>
      </c>
      <c r="FK38" s="1">
        <f t="shared" si="61"/>
        <v>2219.510545104089</v>
      </c>
      <c r="FL38" s="1">
        <f t="shared" si="61"/>
        <v>2175.1203342020071</v>
      </c>
      <c r="FM38" s="1">
        <f t="shared" si="61"/>
        <v>2131.617927517967</v>
      </c>
      <c r="FN38" s="1">
        <f t="shared" si="61"/>
        <v>2088.9855689676078</v>
      </c>
      <c r="FO38" s="1">
        <f t="shared" si="61"/>
        <v>2047.2058575882556</v>
      </c>
      <c r="FP38" s="1">
        <f t="shared" si="61"/>
        <v>2006.2617404364905</v>
      </c>
      <c r="FQ38" s="1">
        <f t="shared" ref="FQ38:FT38" si="62">FP38*(1+$AV$40)</f>
        <v>1966.1365056277607</v>
      </c>
      <c r="FR38" s="1">
        <f t="shared" si="62"/>
        <v>1926.8137755152054</v>
      </c>
      <c r="FS38" s="1">
        <f t="shared" si="62"/>
        <v>1888.2775000049012</v>
      </c>
      <c r="FT38" s="1">
        <f t="shared" si="62"/>
        <v>1850.5119500048031</v>
      </c>
    </row>
    <row r="39" spans="2:176" s="1" customFormat="1" x14ac:dyDescent="0.2">
      <c r="B39" s="1" t="s">
        <v>1</v>
      </c>
      <c r="C39" s="1">
        <v>1142</v>
      </c>
      <c r="D39" s="1">
        <v>1140</v>
      </c>
      <c r="E39" s="1">
        <v>1134</v>
      </c>
      <c r="F39" s="1">
        <v>1133</v>
      </c>
      <c r="G39" s="1">
        <v>1122</v>
      </c>
      <c r="H39" s="1">
        <v>1123</v>
      </c>
      <c r="I39" s="1">
        <v>1124</v>
      </c>
      <c r="J39" s="1">
        <v>1125</v>
      </c>
      <c r="K39" s="1">
        <v>1127</v>
      </c>
      <c r="L39" s="1">
        <v>1130</v>
      </c>
      <c r="M39" s="1">
        <v>1134</v>
      </c>
      <c r="N39" s="1">
        <v>1129</v>
      </c>
      <c r="O39" s="1">
        <v>1122</v>
      </c>
      <c r="P39" s="1">
        <v>1122</v>
      </c>
      <c r="Q39" s="1">
        <v>1122</v>
      </c>
      <c r="R39" s="1">
        <v>1122</v>
      </c>
      <c r="V39" s="1">
        <v>1220</v>
      </c>
      <c r="W39" s="1">
        <v>1149</v>
      </c>
      <c r="X39" s="1">
        <v>1149</v>
      </c>
      <c r="Y39" s="1">
        <f>AVERAGE(C39:F39)</f>
        <v>1137.25</v>
      </c>
      <c r="Z39" s="1">
        <f>AVERAGE(G39:J39)</f>
        <v>1123.5</v>
      </c>
      <c r="AA39" s="1">
        <f>AVERAGE(K39:N39)</f>
        <v>1130</v>
      </c>
      <c r="AB39" s="1">
        <f>AVERAGE(O39:R39)</f>
        <v>1122</v>
      </c>
    </row>
    <row r="40" spans="2:176" s="11" customFormat="1" x14ac:dyDescent="0.2">
      <c r="B40" s="11" t="s">
        <v>59</v>
      </c>
      <c r="C40" s="11">
        <f t="shared" ref="C40:R40" si="63">+C38/C39</f>
        <v>2.9763572679509633</v>
      </c>
      <c r="D40" s="11">
        <f t="shared" si="63"/>
        <v>2.5736842105263156</v>
      </c>
      <c r="E40" s="11">
        <f t="shared" si="63"/>
        <v>3.2892416225749561</v>
      </c>
      <c r="F40" s="11">
        <f t="shared" si="63"/>
        <v>2.5357458075904677</v>
      </c>
      <c r="G40" s="11">
        <f t="shared" si="63"/>
        <v>1.9919786096256684</v>
      </c>
      <c r="H40" s="11">
        <f t="shared" si="63"/>
        <v>1.5173642030276047</v>
      </c>
      <c r="I40" s="11">
        <f t="shared" si="63"/>
        <v>1.6040925266903914</v>
      </c>
      <c r="J40" s="11">
        <f t="shared" si="63"/>
        <v>1.3235555555555556</v>
      </c>
      <c r="K40" s="11">
        <f t="shared" si="63"/>
        <v>2.4942324755989351</v>
      </c>
      <c r="L40" s="11">
        <f t="shared" si="63"/>
        <v>2.0584070796460177</v>
      </c>
      <c r="M40" s="11">
        <f t="shared" si="63"/>
        <v>1.8774250440917108</v>
      </c>
      <c r="N40" s="11">
        <f t="shared" si="63"/>
        <v>2.5863596102745792</v>
      </c>
      <c r="O40" s="11">
        <f t="shared" si="63"/>
        <v>2.8342245989304811</v>
      </c>
      <c r="P40" s="11">
        <f t="shared" si="63"/>
        <v>2.0968459001782542</v>
      </c>
      <c r="Q40" s="11">
        <f t="shared" si="63"/>
        <v>2.1476606060606072</v>
      </c>
      <c r="R40" s="11">
        <f t="shared" si="63"/>
        <v>2.3798055258467028</v>
      </c>
      <c r="V40" s="11">
        <f t="shared" ref="V40:AB40" si="64">+V38/V39</f>
        <v>3.5950819672131149</v>
      </c>
      <c r="W40" s="11">
        <f t="shared" si="64"/>
        <v>4.5239338555265451</v>
      </c>
      <c r="X40" s="11">
        <f t="shared" si="64"/>
        <v>7.8703220191470846</v>
      </c>
      <c r="Y40" s="11">
        <f t="shared" si="64"/>
        <v>11.374807650032974</v>
      </c>
      <c r="Z40" s="11">
        <f t="shared" si="64"/>
        <v>5.891410769915443</v>
      </c>
      <c r="AA40" s="11">
        <f t="shared" si="64"/>
        <v>9.0141592920353979</v>
      </c>
      <c r="AB40" s="11">
        <f t="shared" si="64"/>
        <v>9.4585366310160435</v>
      </c>
      <c r="AU40" s="11" t="s">
        <v>149</v>
      </c>
      <c r="AV40" s="5">
        <v>-0.02</v>
      </c>
    </row>
    <row r="41" spans="2:176" s="1" customFormat="1" x14ac:dyDescent="0.2">
      <c r="AU41" s="1" t="s">
        <v>148</v>
      </c>
      <c r="AV41" s="5">
        <v>0.01</v>
      </c>
    </row>
    <row r="42" spans="2:176" s="1" customFormat="1" x14ac:dyDescent="0.2">
      <c r="AU42" s="1" t="s">
        <v>150</v>
      </c>
      <c r="AV42" s="5">
        <v>0.09</v>
      </c>
    </row>
    <row r="43" spans="2:176" s="1" customFormat="1" x14ac:dyDescent="0.2">
      <c r="AU43" s="1" t="s">
        <v>151</v>
      </c>
      <c r="AV43" s="1">
        <f>NPV(AV42,AB38:FT38)</f>
        <v>206843.64066545156</v>
      </c>
    </row>
    <row r="44" spans="2:176" s="5" customFormat="1" x14ac:dyDescent="0.2">
      <c r="B44" s="5" t="s">
        <v>87</v>
      </c>
      <c r="G44" s="5">
        <f t="shared" ref="G44:N44" si="65">+G24/C24-1</f>
        <v>-0.10343238885049533</v>
      </c>
      <c r="H44" s="5">
        <f t="shared" si="65"/>
        <v>-0.16682595306360837</v>
      </c>
      <c r="I44" s="5">
        <f t="shared" si="65"/>
        <v>-0.23289445283833365</v>
      </c>
      <c r="J44" s="5">
        <f t="shared" si="65"/>
        <v>-0.25665341082899973</v>
      </c>
      <c r="K44" s="5">
        <f t="shared" si="65"/>
        <v>6.8345323741007213E-2</v>
      </c>
      <c r="L44" s="5">
        <f t="shared" si="65"/>
        <v>1.3255161865918907E-2</v>
      </c>
      <c r="M44" s="5">
        <f t="shared" si="65"/>
        <v>0.12450759707371972</v>
      </c>
      <c r="N44" s="5">
        <f t="shared" si="65"/>
        <v>0.17037037037037028</v>
      </c>
      <c r="O44" s="5">
        <f>+O24/K24-1</f>
        <v>0.19552669552669544</v>
      </c>
      <c r="P44" s="5">
        <f t="shared" ref="P44:R44" si="66">+P24/L24-1</f>
        <v>-1</v>
      </c>
      <c r="Q44" s="5">
        <f t="shared" si="66"/>
        <v>-1</v>
      </c>
      <c r="R44" s="5">
        <f t="shared" si="66"/>
        <v>-1</v>
      </c>
      <c r="W44" s="5">
        <f t="shared" ref="W44:Z44" si="67">+W24/V24-1</f>
        <v>0.11546095407569634</v>
      </c>
      <c r="X44" s="5">
        <f t="shared" si="67"/>
        <v>0.64075346668302857</v>
      </c>
      <c r="Y44" s="5">
        <f t="shared" si="67"/>
        <v>0.39007516547623489</v>
      </c>
      <c r="Z44" s="5">
        <f t="shared" si="67"/>
        <v>-0.1921876681373077</v>
      </c>
      <c r="AA44" s="5">
        <f>+AA24/Z24-1</f>
        <v>9.2014120154522372E-2</v>
      </c>
      <c r="AB44" s="5">
        <f t="shared" ref="AB44:AQ46" si="68">+AB24/AA24-1</f>
        <v>-1</v>
      </c>
      <c r="AC44" s="5" t="e">
        <f t="shared" si="68"/>
        <v>#DIV/0!</v>
      </c>
      <c r="AD44" s="5" t="e">
        <f t="shared" si="68"/>
        <v>#DIV/0!</v>
      </c>
      <c r="AE44" s="5" t="e">
        <f t="shared" si="68"/>
        <v>#DIV/0!</v>
      </c>
      <c r="AF44" s="5" t="e">
        <f t="shared" si="68"/>
        <v>#DIV/0!</v>
      </c>
      <c r="AG44" s="5" t="e">
        <f t="shared" si="68"/>
        <v>#DIV/0!</v>
      </c>
      <c r="AH44" s="5" t="e">
        <f t="shared" si="68"/>
        <v>#DIV/0!</v>
      </c>
      <c r="AI44" s="5" t="e">
        <f t="shared" si="68"/>
        <v>#DIV/0!</v>
      </c>
      <c r="AJ44" s="5" t="e">
        <f t="shared" si="68"/>
        <v>#DIV/0!</v>
      </c>
      <c r="AK44" s="5" t="e">
        <f t="shared" si="68"/>
        <v>#DIV/0!</v>
      </c>
      <c r="AL44" s="5" t="e">
        <f t="shared" si="68"/>
        <v>#DIV/0!</v>
      </c>
      <c r="AM44" s="5" t="e">
        <f t="shared" si="68"/>
        <v>#DIV/0!</v>
      </c>
      <c r="AN44" s="5" t="e">
        <f t="shared" si="68"/>
        <v>#DIV/0!</v>
      </c>
      <c r="AO44" s="5" t="e">
        <f t="shared" si="68"/>
        <v>#DIV/0!</v>
      </c>
      <c r="AP44" s="5" t="e">
        <f t="shared" si="68"/>
        <v>#DIV/0!</v>
      </c>
      <c r="AQ44" s="5" t="e">
        <f t="shared" si="68"/>
        <v>#DIV/0!</v>
      </c>
      <c r="AU44" s="5" t="s">
        <v>1</v>
      </c>
      <c r="AV44" s="1">
        <v>1106</v>
      </c>
    </row>
    <row r="45" spans="2:176" s="5" customFormat="1" x14ac:dyDescent="0.2">
      <c r="B45" s="5" t="s">
        <v>88</v>
      </c>
      <c r="G45" s="5">
        <f t="shared" ref="G45:N45" si="69">+G25/C25-1</f>
        <v>-0.17004448838358877</v>
      </c>
      <c r="H45" s="5">
        <f t="shared" si="69"/>
        <v>-0.18202633085289066</v>
      </c>
      <c r="I45" s="5">
        <f t="shared" si="69"/>
        <v>-0.19580838323353289</v>
      </c>
      <c r="J45" s="5">
        <f t="shared" si="69"/>
        <v>-0.1560730018879799</v>
      </c>
      <c r="K45" s="5">
        <f t="shared" si="69"/>
        <v>-3.5735556879094688E-2</v>
      </c>
      <c r="L45" s="5">
        <f t="shared" si="69"/>
        <v>6.9979006298110935E-3</v>
      </c>
      <c r="M45" s="5">
        <f t="shared" si="69"/>
        <v>4.2442293373045503E-2</v>
      </c>
      <c r="N45" s="5">
        <f t="shared" si="69"/>
        <v>0.27665920954511569</v>
      </c>
      <c r="O45" s="5">
        <f>+O25/K25-1</f>
        <v>6.6707844348363077E-2</v>
      </c>
      <c r="P45" s="5">
        <f t="shared" ref="P45:R45" si="70">+P25/L25-1</f>
        <v>-1</v>
      </c>
      <c r="Q45" s="5">
        <f t="shared" si="70"/>
        <v>-1</v>
      </c>
      <c r="R45" s="5">
        <f t="shared" si="70"/>
        <v>-1</v>
      </c>
      <c r="W45" s="5">
        <f t="shared" ref="W45:AA45" si="71">+W25/V25-1</f>
        <v>-0.25139722624715377</v>
      </c>
      <c r="X45" s="5">
        <f t="shared" si="71"/>
        <v>-5.640812940688511E-2</v>
      </c>
      <c r="Y45" s="5">
        <f t="shared" si="71"/>
        <v>2.9890109890109873E-2</v>
      </c>
      <c r="Z45" s="5">
        <f t="shared" si="71"/>
        <v>-0.17598520415421826</v>
      </c>
      <c r="AA45" s="5">
        <f t="shared" si="71"/>
        <v>6.5262430939226457E-2</v>
      </c>
      <c r="AB45" s="5">
        <f t="shared" si="68"/>
        <v>-1</v>
      </c>
      <c r="AC45" s="5" t="e">
        <f t="shared" si="68"/>
        <v>#DIV/0!</v>
      </c>
      <c r="AD45" s="5" t="e">
        <f t="shared" si="68"/>
        <v>#DIV/0!</v>
      </c>
      <c r="AE45" s="5" t="e">
        <f t="shared" si="68"/>
        <v>#DIV/0!</v>
      </c>
      <c r="AF45" s="5" t="e">
        <f t="shared" si="68"/>
        <v>#DIV/0!</v>
      </c>
      <c r="AG45" s="5" t="e">
        <f t="shared" si="68"/>
        <v>#DIV/0!</v>
      </c>
      <c r="AH45" s="5" t="e">
        <f t="shared" si="68"/>
        <v>#DIV/0!</v>
      </c>
      <c r="AI45" s="5" t="e">
        <f t="shared" si="68"/>
        <v>#DIV/0!</v>
      </c>
      <c r="AJ45" s="5" t="e">
        <f t="shared" si="68"/>
        <v>#DIV/0!</v>
      </c>
      <c r="AK45" s="5" t="e">
        <f t="shared" si="68"/>
        <v>#DIV/0!</v>
      </c>
      <c r="AL45" s="5" t="e">
        <f t="shared" si="68"/>
        <v>#DIV/0!</v>
      </c>
      <c r="AM45" s="5" t="e">
        <f t="shared" si="68"/>
        <v>#DIV/0!</v>
      </c>
      <c r="AN45" s="5" t="e">
        <f t="shared" si="68"/>
        <v>#DIV/0!</v>
      </c>
      <c r="AO45" s="5" t="e">
        <f t="shared" si="68"/>
        <v>#DIV/0!</v>
      </c>
      <c r="AP45" s="5" t="e">
        <f t="shared" si="68"/>
        <v>#DIV/0!</v>
      </c>
      <c r="AQ45" s="5" t="e">
        <f t="shared" si="68"/>
        <v>#DIV/0!</v>
      </c>
      <c r="AU45" s="5" t="s">
        <v>0</v>
      </c>
      <c r="AV45" s="11">
        <f>AV43/AV44</f>
        <v>187.01956660529075</v>
      </c>
    </row>
    <row r="46" spans="2:176" s="16" customFormat="1" x14ac:dyDescent="0.2">
      <c r="B46" s="16" t="s">
        <v>82</v>
      </c>
      <c r="G46" s="16">
        <f t="shared" ref="G46:N46" si="72">+G26/C26-1</f>
        <v>-0.11602055114432508</v>
      </c>
      <c r="H46" s="16">
        <f t="shared" si="72"/>
        <v>-0.16920458616983158</v>
      </c>
      <c r="I46" s="16">
        <f t="shared" si="72"/>
        <v>-0.22723116313094371</v>
      </c>
      <c r="J46" s="16">
        <f t="shared" si="72"/>
        <v>-0.24262899262899262</v>
      </c>
      <c r="K46" s="16">
        <f t="shared" si="72"/>
        <v>4.9878474056852973E-2</v>
      </c>
      <c r="L46" s="16">
        <f t="shared" si="72"/>
        <v>1.2291105121293722E-2</v>
      </c>
      <c r="M46" s="16">
        <f t="shared" si="72"/>
        <v>0.11146609868654589</v>
      </c>
      <c r="N46" s="16">
        <f t="shared" si="72"/>
        <v>0.1868844861545591</v>
      </c>
      <c r="O46" s="16">
        <f>+O26/K26-1</f>
        <v>0.17453447408153</v>
      </c>
      <c r="P46" s="16">
        <f t="shared" ref="P46:R46" si="73">+P26/L26-1</f>
        <v>0.12333707154179185</v>
      </c>
      <c r="Q46" s="16">
        <f t="shared" si="73"/>
        <v>0.13075694666240834</v>
      </c>
      <c r="R46" s="16">
        <f t="shared" si="73"/>
        <v>0.11767921538002168</v>
      </c>
      <c r="W46" s="16">
        <f t="shared" ref="W46:AA46" si="74">+W26/V26-1</f>
        <v>-3.056894491822193E-2</v>
      </c>
      <c r="X46" s="16">
        <f t="shared" si="74"/>
        <v>0.42645871403680258</v>
      </c>
      <c r="Y46" s="16">
        <f t="shared" si="74"/>
        <v>0.31683846749687183</v>
      </c>
      <c r="Z46" s="16">
        <f t="shared" si="74"/>
        <v>-0.18961109477161153</v>
      </c>
      <c r="AA46" s="16">
        <f t="shared" si="74"/>
        <v>8.7688442211055317E-2</v>
      </c>
      <c r="AB46" s="16">
        <f t="shared" si="68"/>
        <v>0.13669355630139934</v>
      </c>
      <c r="AC46" s="16">
        <f t="shared" si="68"/>
        <v>0.12927883569393117</v>
      </c>
      <c r="AD46" s="16">
        <f t="shared" si="68"/>
        <v>-2.5216942409999943E-2</v>
      </c>
      <c r="AE46" s="16">
        <f t="shared" si="68"/>
        <v>0.10441999347530651</v>
      </c>
      <c r="AF46" s="16">
        <f t="shared" si="68"/>
        <v>0.10710821893314582</v>
      </c>
      <c r="AG46" s="16">
        <f t="shared" si="68"/>
        <v>7.7456658261758182E-2</v>
      </c>
      <c r="AH46" s="16">
        <f t="shared" si="68"/>
        <v>4.7395117274286358E-2</v>
      </c>
      <c r="AI46" s="16">
        <f t="shared" si="68"/>
        <v>4.8097987595103309E-2</v>
      </c>
      <c r="AJ46" s="16">
        <f t="shared" si="68"/>
        <v>4.8823102931891738E-2</v>
      </c>
      <c r="AK46" s="16">
        <f t="shared" si="68"/>
        <v>3.7731170458825458E-2</v>
      </c>
      <c r="AL46" s="16">
        <f t="shared" si="68"/>
        <v>3.5408868318489661E-2</v>
      </c>
      <c r="AM46" s="16">
        <f t="shared" si="68"/>
        <v>3.674786658650242E-2</v>
      </c>
      <c r="AN46" s="16">
        <f t="shared" si="68"/>
        <v>1.6323557881197548E-2</v>
      </c>
      <c r="AO46" s="16">
        <f t="shared" si="68"/>
        <v>1.6381825842433084E-2</v>
      </c>
      <c r="AP46" s="16">
        <f t="shared" si="68"/>
        <v>1.644041161751808E-2</v>
      </c>
      <c r="AQ46" s="16">
        <f t="shared" si="68"/>
        <v>1.6499311895104896E-2</v>
      </c>
      <c r="AU46" s="16" t="s">
        <v>152</v>
      </c>
      <c r="AV46" s="18">
        <f>Main!K4</f>
        <v>155.30000000000001</v>
      </c>
    </row>
    <row r="47" spans="2:176" s="5" customFormat="1" x14ac:dyDescent="0.2">
      <c r="B47" s="5" t="s">
        <v>83</v>
      </c>
      <c r="G47" s="5">
        <f t="shared" ref="G47:N47" si="75">G29/C29-1</f>
        <v>0.16632124352331612</v>
      </c>
      <c r="H47" s="5">
        <f t="shared" si="75"/>
        <v>8.6529006882989146E-2</v>
      </c>
      <c r="I47" s="5">
        <f t="shared" si="75"/>
        <v>8.284600389863539E-2</v>
      </c>
      <c r="J47" s="5">
        <f t="shared" si="75"/>
        <v>-2.0192748967416296E-2</v>
      </c>
      <c r="K47" s="5">
        <f t="shared" si="75"/>
        <v>-6.8858285206574887E-2</v>
      </c>
      <c r="L47" s="5">
        <f t="shared" si="75"/>
        <v>1.1764705882352899E-2</v>
      </c>
      <c r="M47" s="5">
        <f t="shared" si="75"/>
        <v>1.6651665166516727E-2</v>
      </c>
      <c r="N47" s="5">
        <f t="shared" si="75"/>
        <v>7.8220140515222525E-2</v>
      </c>
      <c r="O47" s="5">
        <f>O29/K29-1</f>
        <v>6.3931297709923562E-2</v>
      </c>
      <c r="P47" s="5">
        <f t="shared" ref="P47:R47" si="76">P29/L29-1</f>
        <v>4.0000000000000036E-2</v>
      </c>
      <c r="Q47" s="5">
        <f t="shared" si="76"/>
        <v>4.0000000000000036E-2</v>
      </c>
      <c r="R47" s="5">
        <f t="shared" si="76"/>
        <v>4.0000000000000036E-2</v>
      </c>
      <c r="W47" s="5">
        <f t="shared" ref="W47:Z47" si="77">+W29/V29-1</f>
        <v>0.10689144127454608</v>
      </c>
      <c r="X47" s="5">
        <f t="shared" si="77"/>
        <v>0.20100418410041843</v>
      </c>
      <c r="Y47" s="5">
        <f t="shared" si="77"/>
        <v>0.14200111482720179</v>
      </c>
      <c r="Z47" s="5">
        <f t="shared" si="77"/>
        <v>7.6021964612568604E-2</v>
      </c>
      <c r="AA47" s="5">
        <f>+AA29/Z29-1</f>
        <v>8.5053300068043125E-3</v>
      </c>
      <c r="AB47" s="5">
        <f t="shared" ref="AB47:AQ48" si="78">+AB29/AA29-1</f>
        <v>4.5640391319015094E-2</v>
      </c>
      <c r="AC47" s="5">
        <f t="shared" si="78"/>
        <v>1.0000000000000009E-2</v>
      </c>
      <c r="AD47" s="5">
        <f t="shared" si="78"/>
        <v>1.0000000000000009E-2</v>
      </c>
      <c r="AE47" s="5">
        <f t="shared" si="78"/>
        <v>1.0000000000000009E-2</v>
      </c>
      <c r="AF47" s="5">
        <f t="shared" si="78"/>
        <v>1.0000000000000009E-2</v>
      </c>
      <c r="AG47" s="5">
        <f t="shared" si="78"/>
        <v>1.0000000000000009E-2</v>
      </c>
      <c r="AH47" s="5">
        <f t="shared" si="78"/>
        <v>1.0000000000000009E-2</v>
      </c>
      <c r="AI47" s="5">
        <f t="shared" si="78"/>
        <v>1.0000000000000009E-2</v>
      </c>
      <c r="AJ47" s="5">
        <f t="shared" si="78"/>
        <v>1.0000000000000009E-2</v>
      </c>
      <c r="AK47" s="5">
        <f t="shared" si="78"/>
        <v>1.0000000000000009E-2</v>
      </c>
      <c r="AL47" s="5">
        <f t="shared" si="78"/>
        <v>1.0000000000000009E-2</v>
      </c>
      <c r="AM47" s="5">
        <f t="shared" si="78"/>
        <v>1.0000000000000009E-2</v>
      </c>
      <c r="AN47" s="5">
        <f t="shared" si="78"/>
        <v>1.0000000000000009E-2</v>
      </c>
      <c r="AO47" s="5">
        <f t="shared" si="78"/>
        <v>1.0000000000000009E-2</v>
      </c>
      <c r="AP47" s="5">
        <f t="shared" si="78"/>
        <v>1.0000000000000009E-2</v>
      </c>
      <c r="AQ47" s="5">
        <f t="shared" si="78"/>
        <v>1.0000000000000009E-2</v>
      </c>
      <c r="AU47" s="5" t="s">
        <v>153</v>
      </c>
      <c r="AV47" s="5">
        <f>+AV45/AV46-1</f>
        <v>0.20424704832769303</v>
      </c>
    </row>
    <row r="48" spans="2:176" s="5" customFormat="1" x14ac:dyDescent="0.2">
      <c r="B48" s="5" t="s">
        <v>84</v>
      </c>
      <c r="G48" s="5">
        <f t="shared" ref="G48:N48" si="79">G30/C30-1</f>
        <v>2.4671052631578982E-2</v>
      </c>
      <c r="H48" s="5">
        <f t="shared" si="79"/>
        <v>-1.602564102564108E-2</v>
      </c>
      <c r="I48" s="5">
        <f t="shared" si="79"/>
        <v>-5.6488549618320616E-2</v>
      </c>
      <c r="J48" s="5">
        <f t="shared" si="79"/>
        <v>-8.0527086383601731E-2</v>
      </c>
      <c r="K48" s="5">
        <f t="shared" si="79"/>
        <v>6.4205457463883953E-3</v>
      </c>
      <c r="L48" s="5">
        <f t="shared" si="79"/>
        <v>0.15146579804560267</v>
      </c>
      <c r="M48" s="5">
        <f t="shared" si="79"/>
        <v>7.4433656957928696E-2</v>
      </c>
      <c r="N48" s="5">
        <f t="shared" si="79"/>
        <v>0.21337579617834401</v>
      </c>
      <c r="O48" s="5">
        <f>O30/K30-1</f>
        <v>0.15311004784688986</v>
      </c>
      <c r="P48" s="5">
        <f t="shared" ref="P48:R48" si="80">P30/L30-1</f>
        <v>0.14999999999999991</v>
      </c>
      <c r="Q48" s="5">
        <f t="shared" si="80"/>
        <v>0.14999999999999991</v>
      </c>
      <c r="R48" s="5">
        <f t="shared" si="80"/>
        <v>0.14999999999999991</v>
      </c>
      <c r="W48" s="5">
        <f t="shared" ref="W48:AA48" si="81">+W30/V30-1</f>
        <v>-5.5125284738041014E-2</v>
      </c>
      <c r="X48" s="5">
        <f t="shared" si="81"/>
        <v>0.12777242044358728</v>
      </c>
      <c r="Y48" s="5">
        <f t="shared" si="81"/>
        <v>9.8760153911928272E-2</v>
      </c>
      <c r="Z48" s="5">
        <f t="shared" si="81"/>
        <v>-3.3852140077821002E-2</v>
      </c>
      <c r="AA48" s="5">
        <f t="shared" si="81"/>
        <v>0.11155859846959326</v>
      </c>
      <c r="AB48" s="5">
        <f t="shared" si="78"/>
        <v>0.15070652173913035</v>
      </c>
      <c r="AC48" s="5">
        <f t="shared" si="78"/>
        <v>0.14999999999999991</v>
      </c>
      <c r="AD48" s="5">
        <f t="shared" si="78"/>
        <v>0.14999999999999991</v>
      </c>
      <c r="AE48" s="5">
        <f t="shared" si="78"/>
        <v>0.14999999999999991</v>
      </c>
      <c r="AF48" s="5">
        <f t="shared" si="78"/>
        <v>0.14999999999999991</v>
      </c>
      <c r="AG48" s="5">
        <f t="shared" si="78"/>
        <v>5.0000000000000044E-2</v>
      </c>
      <c r="AH48" s="5">
        <f t="shared" si="78"/>
        <v>5.0000000000000044E-2</v>
      </c>
      <c r="AI48" s="5">
        <f t="shared" si="78"/>
        <v>5.0000000000000044E-2</v>
      </c>
      <c r="AJ48" s="5">
        <f t="shared" si="78"/>
        <v>5.0000000000000044E-2</v>
      </c>
      <c r="AK48" s="5">
        <f t="shared" si="78"/>
        <v>5.0000000000000044E-2</v>
      </c>
      <c r="AL48" s="5">
        <f t="shared" si="78"/>
        <v>5.0000000000000044E-2</v>
      </c>
      <c r="AM48" s="5">
        <f t="shared" si="78"/>
        <v>5.0000000000000044E-2</v>
      </c>
      <c r="AN48" s="5">
        <f t="shared" si="78"/>
        <v>2.0000000000000018E-2</v>
      </c>
      <c r="AO48" s="5">
        <f t="shared" si="78"/>
        <v>2.0000000000000018E-2</v>
      </c>
      <c r="AP48" s="5">
        <f t="shared" si="78"/>
        <v>2.0000000000000018E-2</v>
      </c>
      <c r="AQ48" s="5">
        <f t="shared" si="78"/>
        <v>2.0000000000000018E-2</v>
      </c>
    </row>
    <row r="49" spans="2:43" s="5" customFormat="1" x14ac:dyDescent="0.2"/>
    <row r="50" spans="2:43" s="5" customFormat="1" x14ac:dyDescent="0.2">
      <c r="B50" s="5" t="s">
        <v>85</v>
      </c>
      <c r="C50" s="5">
        <f t="shared" ref="C50:N50" si="82">+C28/C26</f>
        <v>0.59803829985987855</v>
      </c>
      <c r="D50" s="5">
        <f t="shared" si="82"/>
        <v>0.58366176997491936</v>
      </c>
      <c r="E50" s="5">
        <f t="shared" si="82"/>
        <v>0.55961960497439645</v>
      </c>
      <c r="F50" s="5">
        <f t="shared" si="82"/>
        <v>0.57283257283257283</v>
      </c>
      <c r="G50" s="5">
        <f t="shared" si="82"/>
        <v>0.57265137905526786</v>
      </c>
      <c r="H50" s="5">
        <f t="shared" si="82"/>
        <v>0.55223719676549865</v>
      </c>
      <c r="I50" s="5">
        <f t="shared" si="82"/>
        <v>0.55129570465033728</v>
      </c>
      <c r="J50" s="5">
        <f t="shared" si="82"/>
        <v>0.55045765264743363</v>
      </c>
      <c r="K50" s="5">
        <f t="shared" si="82"/>
        <v>0.56597886260694519</v>
      </c>
      <c r="L50" s="5">
        <f t="shared" si="82"/>
        <v>0.56267973160080942</v>
      </c>
      <c r="M50" s="5">
        <f t="shared" si="82"/>
        <v>0.555626530394975</v>
      </c>
      <c r="N50" s="5">
        <f t="shared" si="82"/>
        <v>0.56393986723935963</v>
      </c>
      <c r="O50" s="5">
        <f>+O28/O26</f>
        <v>0.55771702802296685</v>
      </c>
      <c r="P50" s="5">
        <f t="shared" ref="P50:R50" si="83">+P28/P26</f>
        <v>0.56000000000000005</v>
      </c>
      <c r="Q50" s="5">
        <f t="shared" si="83"/>
        <v>0.56000000000000005</v>
      </c>
      <c r="R50" s="5">
        <f t="shared" si="83"/>
        <v>0.56000000000000005</v>
      </c>
      <c r="V50" s="5">
        <f t="shared" ref="V50:AA50" si="84">+V28/V26</f>
        <v>0.64573806286820745</v>
      </c>
      <c r="W50" s="5">
        <f t="shared" si="84"/>
        <v>0.606689048489227</v>
      </c>
      <c r="X50" s="5">
        <f t="shared" si="84"/>
        <v>0.57510576178275641</v>
      </c>
      <c r="Y50" s="5">
        <f t="shared" si="84"/>
        <v>0.57840320354743102</v>
      </c>
      <c r="Z50" s="5">
        <f t="shared" si="84"/>
        <v>0.55697934115019543</v>
      </c>
      <c r="AA50" s="5">
        <f t="shared" si="84"/>
        <v>0.56215189548522881</v>
      </c>
      <c r="AB50" s="5">
        <f t="shared" ref="AB50:AQ50" si="85">+AB28/AB26</f>
        <v>0.55939846524160353</v>
      </c>
      <c r="AC50" s="5">
        <f t="shared" si="85"/>
        <v>0.55000000000000004</v>
      </c>
      <c r="AD50" s="5">
        <f t="shared" si="85"/>
        <v>0.55000000000000004</v>
      </c>
      <c r="AE50" s="5">
        <f t="shared" si="85"/>
        <v>0.55000000000000004</v>
      </c>
      <c r="AF50" s="5">
        <f t="shared" si="85"/>
        <v>0.55000000000000004</v>
      </c>
      <c r="AG50" s="5">
        <f t="shared" si="85"/>
        <v>0.55000000000000004</v>
      </c>
      <c r="AH50" s="5">
        <f t="shared" si="85"/>
        <v>0.55000000000000004</v>
      </c>
      <c r="AI50" s="5">
        <f t="shared" si="85"/>
        <v>0.55000000000000004</v>
      </c>
      <c r="AJ50" s="5">
        <f t="shared" si="85"/>
        <v>0.55000000000000004</v>
      </c>
      <c r="AK50" s="5">
        <f t="shared" si="85"/>
        <v>0.55000000000000004</v>
      </c>
      <c r="AL50" s="5">
        <f t="shared" si="85"/>
        <v>0.55000000000000004</v>
      </c>
      <c r="AM50" s="5">
        <f t="shared" si="85"/>
        <v>0.55000000000000004</v>
      </c>
      <c r="AN50" s="5">
        <f t="shared" si="85"/>
        <v>0.55000000000000004</v>
      </c>
      <c r="AO50" s="5">
        <f t="shared" si="85"/>
        <v>0.55000000000000004</v>
      </c>
      <c r="AP50" s="5">
        <f t="shared" si="85"/>
        <v>0.55000000000000004</v>
      </c>
      <c r="AQ50" s="5">
        <f t="shared" si="85"/>
        <v>0.55000000000000004</v>
      </c>
    </row>
    <row r="51" spans="2:43" s="5" customFormat="1" x14ac:dyDescent="0.2">
      <c r="B51" s="5" t="s">
        <v>86</v>
      </c>
      <c r="C51" s="5">
        <f t="shared" ref="C51:N51" si="86">+C33/C26</f>
        <v>0.36095282578234472</v>
      </c>
      <c r="D51" s="5">
        <f t="shared" si="86"/>
        <v>0.34557506270154065</v>
      </c>
      <c r="E51" s="5">
        <f t="shared" si="86"/>
        <v>0.40892465252377469</v>
      </c>
      <c r="F51" s="5">
        <f t="shared" si="86"/>
        <v>0.3216918216918217</v>
      </c>
      <c r="G51" s="5">
        <f t="shared" si="86"/>
        <v>0.26048821726725141</v>
      </c>
      <c r="H51" s="5">
        <f t="shared" si="86"/>
        <v>0.22533692722371967</v>
      </c>
      <c r="I51" s="5">
        <f t="shared" si="86"/>
        <v>0.21571411667258314</v>
      </c>
      <c r="J51" s="5">
        <f t="shared" si="86"/>
        <v>0.16348047734909049</v>
      </c>
      <c r="K51" s="5">
        <f t="shared" si="86"/>
        <v>0.29471565173628583</v>
      </c>
      <c r="L51" s="5">
        <f t="shared" si="86"/>
        <v>0.24922781978911493</v>
      </c>
      <c r="M51" s="5">
        <f t="shared" si="86"/>
        <v>0.23645267752581708</v>
      </c>
      <c r="N51" s="5">
        <f t="shared" si="86"/>
        <v>0.25195236235845375</v>
      </c>
      <c r="O51" s="5">
        <f>+O33/O26</f>
        <v>0.30465335504327706</v>
      </c>
      <c r="P51" s="5">
        <f t="shared" ref="P51:R51" si="87">+P33/P26</f>
        <v>0.26242851055665622</v>
      </c>
      <c r="Q51" s="5">
        <f t="shared" si="87"/>
        <v>0.26691070688811064</v>
      </c>
      <c r="R51" s="5">
        <f t="shared" si="87"/>
        <v>0.27436496617372652</v>
      </c>
      <c r="V51" s="5">
        <f t="shared" ref="V51:AA51" si="88">+V33/V26</f>
        <v>0.31586536480863509</v>
      </c>
      <c r="W51" s="5">
        <f t="shared" si="88"/>
        <v>0.26581955717989036</v>
      </c>
      <c r="X51" s="5">
        <f t="shared" si="88"/>
        <v>0.2916343919442293</v>
      </c>
      <c r="Y51" s="5">
        <f t="shared" si="88"/>
        <v>0.35881541141603129</v>
      </c>
      <c r="Z51" s="5">
        <f t="shared" si="88"/>
        <v>0.21744835287548855</v>
      </c>
      <c r="AA51" s="5">
        <f t="shared" si="88"/>
        <v>0.25846359179692513</v>
      </c>
      <c r="AB51" s="5">
        <f t="shared" ref="AB51:AQ51" si="89">+AB33/AB26</f>
        <v>0.27771513753559363</v>
      </c>
      <c r="AC51" s="5">
        <f t="shared" si="89"/>
        <v>0.28917864728843601</v>
      </c>
      <c r="AD51" s="5">
        <f t="shared" si="89"/>
        <v>0.26926711435970158</v>
      </c>
      <c r="AE51" s="5">
        <f t="shared" si="89"/>
        <v>0.28234630998408572</v>
      </c>
      <c r="AF51" s="5">
        <f t="shared" si="89"/>
        <v>0.29447854861502287</v>
      </c>
      <c r="AG51" s="5">
        <f t="shared" si="89"/>
        <v>0.30701651936788149</v>
      </c>
      <c r="AH51" s="5">
        <f t="shared" si="89"/>
        <v>0.31222360873059157</v>
      </c>
      <c r="AI51" s="5">
        <f t="shared" si="89"/>
        <v>0.31739225916569724</v>
      </c>
      <c r="AJ51" s="5">
        <f t="shared" si="89"/>
        <v>0.3225241026037905</v>
      </c>
      <c r="AK51" s="5">
        <f t="shared" si="89"/>
        <v>0.32508345613621287</v>
      </c>
      <c r="AL51" s="5">
        <f t="shared" si="89"/>
        <v>0.32703383856002033</v>
      </c>
      <c r="AM51" s="5">
        <f t="shared" si="89"/>
        <v>0.32917163991607429</v>
      </c>
      <c r="AN51" s="5">
        <f t="shared" si="89"/>
        <v>0.3296120196882778</v>
      </c>
      <c r="AO51" s="5">
        <f t="shared" si="89"/>
        <v>0.33005889186133508</v>
      </c>
      <c r="AP51" s="5">
        <f t="shared" si="89"/>
        <v>0.33051227438270164</v>
      </c>
      <c r="AQ51" s="5">
        <f t="shared" si="89"/>
        <v>0.33097218364400172</v>
      </c>
    </row>
    <row r="52" spans="2:43" s="1" customFormat="1" x14ac:dyDescent="0.2"/>
    <row r="53" spans="2:43" s="5" customFormat="1" x14ac:dyDescent="0.2">
      <c r="B53" s="5" t="s">
        <v>90</v>
      </c>
      <c r="C53" s="5">
        <f t="shared" ref="C53:N53" si="90">+C36/C35</f>
        <v>0.12056921086675292</v>
      </c>
      <c r="D53" s="5">
        <f t="shared" si="90"/>
        <v>0.14285714285714285</v>
      </c>
      <c r="E53" s="5">
        <f t="shared" si="90"/>
        <v>0.12007548950224109</v>
      </c>
      <c r="F53" s="5">
        <f t="shared" si="90"/>
        <v>0.15763688760806915</v>
      </c>
      <c r="G53" s="5">
        <f t="shared" si="90"/>
        <v>4.1332770982707719E-2</v>
      </c>
      <c r="H53" s="5">
        <f t="shared" si="90"/>
        <v>0.10184696569920844</v>
      </c>
      <c r="I53" s="5">
        <f t="shared" si="90"/>
        <v>1.2521343198634035E-2</v>
      </c>
      <c r="J53" s="5">
        <f t="shared" si="90"/>
        <v>-0.14718309859154929</v>
      </c>
      <c r="K53" s="5">
        <f t="shared" si="90"/>
        <v>5.0979068197164079E-2</v>
      </c>
      <c r="L53" s="5">
        <f t="shared" si="90"/>
        <v>8.9271417133706968E-2</v>
      </c>
      <c r="M53" s="5">
        <f t="shared" si="90"/>
        <v>7.5032909170688902E-2</v>
      </c>
      <c r="N53" s="5">
        <f t="shared" si="90"/>
        <v>-0.12244897959183673</v>
      </c>
      <c r="O53" s="5">
        <f>+O36/O35</f>
        <v>0.12517193947730398</v>
      </c>
      <c r="P53" s="5">
        <f t="shared" ref="P53:R53" si="91">+P36/P35</f>
        <v>0.15</v>
      </c>
      <c r="Q53" s="5">
        <f t="shared" si="91"/>
        <v>0.15</v>
      </c>
      <c r="R53" s="5">
        <f t="shared" si="91"/>
        <v>0.15</v>
      </c>
      <c r="V53" s="5">
        <f t="shared" ref="V53:AA53" si="92">+V36/V35</f>
        <v>0.41371474401817937</v>
      </c>
      <c r="W53" s="5">
        <f t="shared" si="92"/>
        <v>9.1099842629830396E-2</v>
      </c>
      <c r="X53" s="5">
        <f t="shared" si="92"/>
        <v>0.11981701382129648</v>
      </c>
      <c r="Y53" s="5">
        <f t="shared" si="92"/>
        <v>0.13409348536373941</v>
      </c>
      <c r="Z53" s="5">
        <f t="shared" si="92"/>
        <v>1.5224710876884789E-2</v>
      </c>
      <c r="AA53" s="5">
        <f t="shared" si="92"/>
        <v>2.1962074303405573E-2</v>
      </c>
      <c r="AB53" s="5">
        <f t="shared" ref="AB53:AQ53" si="93">+AB36/AB35</f>
        <v>0.14270948136925488</v>
      </c>
      <c r="AC53" s="5">
        <f t="shared" si="93"/>
        <v>0.15</v>
      </c>
      <c r="AD53" s="5">
        <f t="shared" si="93"/>
        <v>0.15</v>
      </c>
      <c r="AE53" s="5">
        <f t="shared" si="93"/>
        <v>0.15</v>
      </c>
      <c r="AF53" s="5">
        <f t="shared" si="93"/>
        <v>0.15</v>
      </c>
      <c r="AG53" s="5">
        <f t="shared" si="93"/>
        <v>0.15</v>
      </c>
      <c r="AH53" s="5">
        <f t="shared" si="93"/>
        <v>0.15</v>
      </c>
      <c r="AI53" s="5">
        <f t="shared" si="93"/>
        <v>0.15</v>
      </c>
      <c r="AJ53" s="5">
        <f t="shared" si="93"/>
        <v>0.15</v>
      </c>
      <c r="AK53" s="5">
        <f t="shared" si="93"/>
        <v>0.15</v>
      </c>
      <c r="AL53" s="5">
        <f t="shared" si="93"/>
        <v>0.15</v>
      </c>
      <c r="AM53" s="5">
        <f t="shared" si="93"/>
        <v>0.15</v>
      </c>
      <c r="AN53" s="5">
        <f t="shared" si="93"/>
        <v>0.15</v>
      </c>
      <c r="AO53" s="5">
        <f t="shared" si="93"/>
        <v>0.15</v>
      </c>
      <c r="AP53" s="5">
        <f t="shared" si="93"/>
        <v>0.15</v>
      </c>
      <c r="AQ53" s="5">
        <f t="shared" si="93"/>
        <v>0.15</v>
      </c>
    </row>
    <row r="54" spans="2:43" s="1" customFormat="1" x14ac:dyDescent="0.2"/>
    <row r="55" spans="2:43" s="1" customFormat="1" x14ac:dyDescent="0.2">
      <c r="F55" s="1">
        <v>25027</v>
      </c>
      <c r="G55" s="1">
        <v>28815</v>
      </c>
      <c r="H55" s="5">
        <f>+(G55-F55)/$F$56</f>
        <v>0.87482678983833717</v>
      </c>
      <c r="Q55" s="1" t="s">
        <v>133</v>
      </c>
      <c r="R55" s="1" t="s">
        <v>134</v>
      </c>
      <c r="S55" s="1" t="s">
        <v>142</v>
      </c>
      <c r="T55" s="1" t="s">
        <v>143</v>
      </c>
      <c r="U55" s="11"/>
      <c r="V55" s="11"/>
    </row>
    <row r="56" spans="2:43" s="1" customFormat="1" x14ac:dyDescent="0.2">
      <c r="F56" s="1">
        <v>4330</v>
      </c>
      <c r="H56" s="5"/>
      <c r="R56" s="1" t="s">
        <v>137</v>
      </c>
      <c r="T56" s="5">
        <f>0.2 * 0.85</f>
        <v>0.17</v>
      </c>
      <c r="U56" s="11" t="s">
        <v>144</v>
      </c>
      <c r="V56" s="11"/>
    </row>
    <row r="57" spans="2:43" s="1" customFormat="1" x14ac:dyDescent="0.2">
      <c r="F57" s="1">
        <v>1372</v>
      </c>
      <c r="G57" s="1">
        <v>1509</v>
      </c>
      <c r="H57" s="5">
        <f t="shared" ref="H57:H58" si="94">+(G57-F57)/$F$56</f>
        <v>3.1639722863741337E-2</v>
      </c>
      <c r="Q57" s="1" t="s">
        <v>135</v>
      </c>
      <c r="R57" s="1" t="s">
        <v>136</v>
      </c>
      <c r="S57" s="1" t="s">
        <v>140</v>
      </c>
      <c r="T57" s="1" t="s">
        <v>141</v>
      </c>
      <c r="U57" s="11">
        <f>T56*0.8</f>
        <v>0.13600000000000001</v>
      </c>
      <c r="V57" s="11"/>
    </row>
    <row r="58" spans="2:43" s="1" customFormat="1" x14ac:dyDescent="0.2">
      <c r="F58" s="1">
        <v>6948</v>
      </c>
      <c r="G58" s="1">
        <v>7353</v>
      </c>
      <c r="H58" s="5">
        <f t="shared" si="94"/>
        <v>9.3533487297921478E-2</v>
      </c>
      <c r="R58" s="1" t="s">
        <v>138</v>
      </c>
      <c r="U58" s="11" t="s">
        <v>145</v>
      </c>
      <c r="V58" s="11"/>
    </row>
    <row r="59" spans="2:43" s="1" customFormat="1" x14ac:dyDescent="0.2">
      <c r="R59" s="1" t="s">
        <v>139</v>
      </c>
      <c r="U59" s="11">
        <f>U57*AA26</f>
        <v>5298.6960000000008</v>
      </c>
      <c r="V59" s="11" t="s">
        <v>146</v>
      </c>
    </row>
    <row r="60" spans="2:43" s="1" customFormat="1" x14ac:dyDescent="0.2">
      <c r="L60" s="5"/>
    </row>
    <row r="61" spans="2:43" s="1" customFormat="1" x14ac:dyDescent="0.2">
      <c r="B61" s="1" t="s">
        <v>6</v>
      </c>
      <c r="K61" s="1">
        <f>8450+2874-914-14484</f>
        <v>-4074</v>
      </c>
      <c r="O61" s="1">
        <v>-272</v>
      </c>
      <c r="AA61" s="1">
        <v>-272</v>
      </c>
      <c r="AB61" s="1">
        <f>+AA61+AB38</f>
        <v>10340.4781</v>
      </c>
      <c r="AC61" s="1">
        <f t="shared" ref="AC61:AQ61" si="95">+AB61+AC38</f>
        <v>22721.427308849998</v>
      </c>
      <c r="AD61" s="1">
        <f t="shared" si="95"/>
        <v>34072.521912425225</v>
      </c>
      <c r="AE61" s="1">
        <f t="shared" si="95"/>
        <v>47283.787847820349</v>
      </c>
      <c r="AF61" s="1">
        <f t="shared" si="95"/>
        <v>62606.069567791979</v>
      </c>
      <c r="AG61" s="1">
        <f t="shared" si="95"/>
        <v>79898.740374517278</v>
      </c>
      <c r="AH61" s="1">
        <f t="shared" si="95"/>
        <v>98430.501623301767</v>
      </c>
      <c r="AI61" s="1">
        <f t="shared" si="95"/>
        <v>118288.21088682766</v>
      </c>
      <c r="AJ61" s="1">
        <f t="shared" si="95"/>
        <v>139565.9398045415</v>
      </c>
      <c r="AK61" s="1">
        <f t="shared" si="95"/>
        <v>161956.36436730745</v>
      </c>
      <c r="AL61" s="1">
        <f t="shared" si="95"/>
        <v>185419.64279805284</v>
      </c>
      <c r="AM61" s="1">
        <f t="shared" si="95"/>
        <v>210043.6811182622</v>
      </c>
      <c r="AN61" s="1">
        <f t="shared" si="95"/>
        <v>235284.5865412805</v>
      </c>
      <c r="AO61" s="1">
        <f t="shared" si="95"/>
        <v>261156.60496445131</v>
      </c>
      <c r="AP61" s="1">
        <f t="shared" si="95"/>
        <v>287674.33349563723</v>
      </c>
      <c r="AQ61" s="1">
        <f t="shared" si="95"/>
        <v>314852.72978832963</v>
      </c>
    </row>
    <row r="62" spans="2:43" s="1" customFormat="1" x14ac:dyDescent="0.2"/>
    <row r="63" spans="2:43" s="1" customFormat="1" x14ac:dyDescent="0.2">
      <c r="B63" s="1" t="s">
        <v>61</v>
      </c>
      <c r="K63" s="1">
        <f>+K38</f>
        <v>2811</v>
      </c>
      <c r="O63" s="1">
        <f>+O38</f>
        <v>3180</v>
      </c>
    </row>
    <row r="64" spans="2:43" s="1" customFormat="1" x14ac:dyDescent="0.2">
      <c r="B64" s="1" t="s">
        <v>60</v>
      </c>
      <c r="K64" s="1">
        <v>2811</v>
      </c>
      <c r="O64" s="1">
        <v>3180</v>
      </c>
    </row>
    <row r="65" spans="2:15" s="1" customFormat="1" x14ac:dyDescent="0.2">
      <c r="B65" s="1" t="s">
        <v>62</v>
      </c>
      <c r="K65" s="1">
        <v>437</v>
      </c>
      <c r="O65" s="1">
        <v>436</v>
      </c>
    </row>
    <row r="66" spans="2:15" x14ac:dyDescent="0.2">
      <c r="B66" s="1" t="s">
        <v>63</v>
      </c>
      <c r="K66" s="1">
        <v>-1012</v>
      </c>
      <c r="O66" s="1">
        <v>247</v>
      </c>
    </row>
    <row r="67" spans="2:15" x14ac:dyDescent="0.2">
      <c r="B67" s="1" t="s">
        <v>64</v>
      </c>
      <c r="K67" s="1">
        <v>602</v>
      </c>
      <c r="O67" s="1">
        <v>759</v>
      </c>
    </row>
    <row r="68" spans="2:15" x14ac:dyDescent="0.2">
      <c r="B68" s="1" t="s">
        <v>65</v>
      </c>
      <c r="K68" s="1">
        <v>-71</v>
      </c>
      <c r="O68" s="1">
        <v>-45</v>
      </c>
    </row>
    <row r="69" spans="2:15" x14ac:dyDescent="0.2">
      <c r="B69" s="1" t="s">
        <v>52</v>
      </c>
      <c r="K69" s="1">
        <v>9</v>
      </c>
      <c r="O69" s="1">
        <v>-23</v>
      </c>
    </row>
    <row r="70" spans="2:15" x14ac:dyDescent="0.2">
      <c r="B70" s="1" t="s">
        <v>66</v>
      </c>
      <c r="K70" s="1">
        <v>-325</v>
      </c>
      <c r="O70" s="1">
        <v>392</v>
      </c>
    </row>
    <row r="71" spans="2:15" x14ac:dyDescent="0.2">
      <c r="B71" s="1" t="s">
        <v>67</v>
      </c>
      <c r="K71" s="1">
        <v>165</v>
      </c>
      <c r="O71" s="1">
        <v>111</v>
      </c>
    </row>
    <row r="72" spans="2:15" x14ac:dyDescent="0.2">
      <c r="B72" s="1" t="s">
        <v>68</v>
      </c>
      <c r="K72" s="1">
        <v>115</v>
      </c>
      <c r="O72" s="1">
        <v>148</v>
      </c>
    </row>
    <row r="73" spans="2:15" x14ac:dyDescent="0.2">
      <c r="B73" s="1" t="s">
        <v>69</v>
      </c>
      <c r="K73" s="1">
        <v>241</v>
      </c>
      <c r="O73" s="1">
        <v>11</v>
      </c>
    </row>
    <row r="74" spans="2:15" x14ac:dyDescent="0.2">
      <c r="B74" s="1" t="s">
        <v>70</v>
      </c>
      <c r="K74" s="1">
        <v>74</v>
      </c>
      <c r="O74" s="1">
        <v>-541</v>
      </c>
    </row>
    <row r="75" spans="2:15" x14ac:dyDescent="0.2">
      <c r="B75" s="1" t="s">
        <v>71</v>
      </c>
      <c r="K75" s="1">
        <v>-81</v>
      </c>
      <c r="O75" s="1">
        <v>-88</v>
      </c>
    </row>
    <row r="76" spans="2:15" x14ac:dyDescent="0.2">
      <c r="B76" s="1" t="s">
        <v>79</v>
      </c>
      <c r="K76" s="1">
        <v>-16</v>
      </c>
      <c r="O76" s="1">
        <v>0</v>
      </c>
    </row>
    <row r="77" spans="2:15" s="2" customFormat="1" x14ac:dyDescent="0.2">
      <c r="B77" s="10" t="s">
        <v>72</v>
      </c>
      <c r="K77" s="10">
        <f>SUM(K64:K76)</f>
        <v>2949</v>
      </c>
      <c r="O77" s="10">
        <f>SUM(O64:O76)</f>
        <v>4587</v>
      </c>
    </row>
    <row r="78" spans="2:15" x14ac:dyDescent="0.2">
      <c r="B78" s="1" t="s">
        <v>73</v>
      </c>
      <c r="K78" s="1">
        <v>214</v>
      </c>
      <c r="O78" s="1">
        <v>-277</v>
      </c>
    </row>
    <row r="79" spans="2:15" s="2" customFormat="1" x14ac:dyDescent="0.2">
      <c r="B79" s="10" t="s">
        <v>74</v>
      </c>
      <c r="K79" s="10">
        <f>+K77-K78</f>
        <v>2735</v>
      </c>
      <c r="O79" s="10">
        <f>+O77-O78</f>
        <v>4864</v>
      </c>
    </row>
    <row r="80" spans="2:15" x14ac:dyDescent="0.2">
      <c r="B80" s="1" t="s">
        <v>75</v>
      </c>
      <c r="K80" s="1">
        <v>-1256</v>
      </c>
      <c r="O80" s="1">
        <v>-671</v>
      </c>
    </row>
    <row r="81" spans="2:15" x14ac:dyDescent="0.2">
      <c r="B81" s="1" t="s">
        <v>76</v>
      </c>
      <c r="K81" s="10">
        <v>-784</v>
      </c>
      <c r="O81" s="10">
        <v>-1750</v>
      </c>
    </row>
    <row r="82" spans="2:15" x14ac:dyDescent="0.2">
      <c r="B82" s="1" t="s">
        <v>77</v>
      </c>
      <c r="K82" s="1">
        <v>-2041</v>
      </c>
      <c r="O82" s="1">
        <v>-3008</v>
      </c>
    </row>
    <row r="83" spans="2:15" x14ac:dyDescent="0.2">
      <c r="B83" s="1" t="s">
        <v>80</v>
      </c>
      <c r="K83" s="1">
        <v>15</v>
      </c>
      <c r="O83" s="1">
        <v>-44</v>
      </c>
    </row>
    <row r="84" spans="2:15" s="2" customFormat="1" x14ac:dyDescent="0.2">
      <c r="B84" s="10" t="s">
        <v>78</v>
      </c>
      <c r="K84" s="10">
        <f>+K83+K82+K80+K77</f>
        <v>-333</v>
      </c>
      <c r="O84" s="10">
        <f>+O83+O82+O80+O77</f>
        <v>864</v>
      </c>
    </row>
    <row r="85" spans="2:15" x14ac:dyDescent="0.2">
      <c r="B85" s="1" t="s">
        <v>81</v>
      </c>
      <c r="K85" s="1">
        <f>+K84-K82</f>
        <v>1708</v>
      </c>
      <c r="O85" s="1">
        <f>+O84-O82</f>
        <v>3872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2025-03-05T15:10:06Z</dcterms:created>
  <dcterms:modified xsi:type="dcterms:W3CDTF">2025-03-12T15:24:18Z</dcterms:modified>
</cp:coreProperties>
</file>