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.3 DMA\"/>
    </mc:Choice>
  </mc:AlternateContent>
  <xr:revisionPtr revIDLastSave="0" documentId="13_ncr:1_{F4F6C0EF-F02B-450C-92A5-74E6992C75EE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4" i="1" l="1"/>
  <c r="O210" i="1" l="1"/>
  <c r="Y210" i="1"/>
  <c r="T195" i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K232" i="1" l="1"/>
  <c r="D238" i="1"/>
  <c r="G223" i="1"/>
  <c r="G225" i="1" s="1"/>
  <c r="G226" i="1" s="1"/>
  <c r="G232" i="1" s="1"/>
  <c r="G233" i="1" s="1"/>
  <c r="C225" i="1"/>
  <c r="C226" i="1" s="1"/>
  <c r="C232" i="1" s="1"/>
  <c r="C233" i="1" s="1"/>
  <c r="C65" i="1"/>
  <c r="E67" i="1" s="1"/>
  <c r="E68" i="1" s="1"/>
  <c r="C64" i="1"/>
  <c r="C63" i="1"/>
  <c r="B59" i="1"/>
  <c r="B60" i="1"/>
  <c r="B61" i="1"/>
  <c r="O23" i="1"/>
  <c r="O24" i="1"/>
  <c r="P24" i="1"/>
  <c r="S24" i="1" s="1"/>
  <c r="O25" i="1"/>
  <c r="P25" i="1"/>
  <c r="Q25" i="1" s="1"/>
  <c r="T25" i="1" s="1"/>
  <c r="O26" i="1"/>
  <c r="P26" i="1"/>
  <c r="R26" i="1" s="1"/>
  <c r="U26" i="1" s="1"/>
  <c r="O27" i="1"/>
  <c r="O30" i="1"/>
  <c r="O31" i="1"/>
  <c r="O32" i="1"/>
  <c r="R25" i="1" l="1"/>
  <c r="U25" i="1" s="1"/>
  <c r="S25" i="1"/>
  <c r="Q24" i="1"/>
  <c r="T24" i="1" s="1"/>
  <c r="S26" i="1"/>
  <c r="R24" i="1"/>
  <c r="U24" i="1" s="1"/>
  <c r="Q26" i="1"/>
  <c r="T26" i="1" s="1"/>
  <c r="K223" i="1"/>
  <c r="K225" i="1" s="1"/>
  <c r="K226" i="1" s="1"/>
  <c r="K227" i="1" s="1"/>
  <c r="C67" i="1"/>
  <c r="C68" i="1" s="1"/>
  <c r="L24" i="1"/>
  <c r="P27" i="1" s="1"/>
  <c r="E191" i="1"/>
  <c r="E192" i="1" s="1"/>
  <c r="S27" i="1" l="1"/>
  <c r="R27" i="1"/>
  <c r="U27" i="1" s="1"/>
  <c r="Q27" i="1"/>
  <c r="T27" i="1" s="1"/>
  <c r="D192" i="1"/>
  <c r="D188" i="1"/>
  <c r="D189" i="1"/>
  <c r="D191" i="1"/>
  <c r="D190" i="1"/>
  <c r="E193" i="1"/>
  <c r="D193" i="1" s="1"/>
  <c r="I189" i="1" l="1"/>
  <c r="C189" i="1"/>
  <c r="C192" i="1"/>
  <c r="I192" i="1"/>
  <c r="K192" i="1" s="1"/>
  <c r="I191" i="1"/>
  <c r="K191" i="1" s="1"/>
  <c r="C191" i="1"/>
  <c r="I190" i="1"/>
  <c r="K190" i="1" s="1"/>
  <c r="C190" i="1"/>
  <c r="C193" i="1"/>
  <c r="I193" i="1"/>
  <c r="C188" i="1"/>
  <c r="I188" i="1"/>
  <c r="K188" i="1" s="1"/>
  <c r="K189" i="1"/>
  <c r="E194" i="1"/>
  <c r="D194" i="1" s="1"/>
  <c r="I194" i="1" s="1"/>
  <c r="C194" i="1" l="1"/>
  <c r="E195" i="1"/>
  <c r="D195" i="1" s="1"/>
  <c r="K193" i="1"/>
  <c r="C195" i="1" l="1"/>
  <c r="I195" i="1"/>
  <c r="K194" i="1"/>
  <c r="E196" i="1"/>
  <c r="D196" i="1" s="1"/>
  <c r="C196" i="1" l="1"/>
  <c r="I196" i="1"/>
  <c r="E197" i="1"/>
  <c r="D197" i="1" s="1"/>
  <c r="K195" i="1"/>
  <c r="M47" i="1"/>
  <c r="M46" i="1"/>
  <c r="J47" i="1"/>
  <c r="J46" i="1"/>
  <c r="I197" i="1" l="1"/>
  <c r="C197" i="1"/>
  <c r="E198" i="1"/>
  <c r="D198" i="1" s="1"/>
  <c r="K196" i="1"/>
  <c r="L27" i="1"/>
  <c r="I198" i="1" l="1"/>
  <c r="C198" i="1"/>
  <c r="E199" i="1"/>
  <c r="D199" i="1" s="1"/>
  <c r="K197" i="1"/>
  <c r="L28" i="1"/>
  <c r="L29" i="1" s="1"/>
  <c r="L10" i="1"/>
  <c r="L14" i="1" s="1"/>
  <c r="L15" i="1" s="1"/>
  <c r="L13" i="1"/>
  <c r="I199" i="1" l="1"/>
  <c r="C199" i="1"/>
  <c r="K198" i="1"/>
  <c r="E200" i="1"/>
  <c r="D200" i="1" s="1"/>
  <c r="C200" i="1" l="1"/>
  <c r="I200" i="1"/>
  <c r="K199" i="1"/>
  <c r="E201" i="1"/>
  <c r="D201" i="1" s="1"/>
  <c r="C201" i="1" l="1"/>
  <c r="I201" i="1"/>
  <c r="K200" i="1"/>
  <c r="E202" i="1"/>
  <c r="D202" i="1" s="1"/>
  <c r="I202" i="1" l="1"/>
  <c r="C202" i="1"/>
  <c r="K201" i="1"/>
  <c r="E203" i="1"/>
  <c r="D203" i="1" s="1"/>
  <c r="C203" i="1" l="1"/>
  <c r="I203" i="1"/>
  <c r="K202" i="1"/>
  <c r="E204" i="1"/>
  <c r="D204" i="1" s="1"/>
  <c r="C204" i="1" l="1"/>
  <c r="I204" i="1"/>
  <c r="K203" i="1"/>
  <c r="E205" i="1"/>
  <c r="D205" i="1" s="1"/>
  <c r="C205" i="1" l="1"/>
  <c r="I205" i="1"/>
  <c r="E206" i="1"/>
  <c r="D206" i="1" s="1"/>
  <c r="K204" i="1"/>
  <c r="C206" i="1" l="1"/>
  <c r="I206" i="1"/>
  <c r="E207" i="1"/>
  <c r="D207" i="1" s="1"/>
  <c r="K205" i="1"/>
  <c r="I207" i="1" l="1"/>
  <c r="C207" i="1"/>
  <c r="K206" i="1"/>
  <c r="E208" i="1"/>
  <c r="D208" i="1" s="1"/>
  <c r="C208" i="1" l="1"/>
  <c r="I208" i="1"/>
  <c r="K207" i="1"/>
  <c r="E209" i="1"/>
  <c r="D209" i="1" s="1"/>
  <c r="C209" i="1" l="1"/>
  <c r="I209" i="1"/>
  <c r="E210" i="1"/>
  <c r="D210" i="1" s="1"/>
  <c r="K208" i="1"/>
  <c r="I210" i="1" l="1"/>
  <c r="C210" i="1"/>
  <c r="E211" i="1"/>
  <c r="D211" i="1" s="1"/>
  <c r="K209" i="1"/>
  <c r="I211" i="1" l="1"/>
  <c r="C211" i="1"/>
  <c r="K210" i="1"/>
  <c r="E212" i="1"/>
  <c r="D212" i="1" s="1"/>
  <c r="C212" i="1" l="1"/>
  <c r="I212" i="1"/>
  <c r="K211" i="1"/>
  <c r="E213" i="1"/>
  <c r="D213" i="1" s="1"/>
  <c r="I213" i="1" l="1"/>
  <c r="C213" i="1"/>
  <c r="K212" i="1"/>
  <c r="E214" i="1"/>
  <c r="D214" i="1" s="1"/>
  <c r="I214" i="1" l="1"/>
  <c r="C214" i="1"/>
  <c r="E215" i="1"/>
  <c r="D215" i="1" s="1"/>
  <c r="K213" i="1"/>
  <c r="I215" i="1" l="1"/>
  <c r="C215" i="1"/>
  <c r="K214" i="1"/>
  <c r="E216" i="1"/>
  <c r="D216" i="1" s="1"/>
  <c r="I216" i="1" l="1"/>
  <c r="C216" i="1"/>
  <c r="K215" i="1"/>
  <c r="E217" i="1"/>
  <c r="D217" i="1" s="1"/>
  <c r="C217" i="1" l="1"/>
  <c r="I217" i="1"/>
  <c r="E218" i="1"/>
  <c r="D218" i="1" s="1"/>
  <c r="K216" i="1"/>
  <c r="I218" i="1" l="1"/>
  <c r="K218" i="1" s="1"/>
  <c r="C218" i="1"/>
  <c r="K217" i="1"/>
</calcChain>
</file>

<file path=xl/sharedStrings.xml><?xml version="1.0" encoding="utf-8"?>
<sst xmlns="http://schemas.openxmlformats.org/spreadsheetml/2006/main" count="90" uniqueCount="47">
  <si>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</si>
  <si>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</si>
  <si>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</si>
  <si>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</si>
  <si>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</si>
  <si>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</si>
  <si>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</si>
  <si>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</si>
  <si>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</si>
  <si>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Vout_high</t>
  </si>
  <si>
    <t>I1-HIGH</t>
  </si>
  <si>
    <t>I1-LOW</t>
  </si>
  <si>
    <t>Vout_low</t>
  </si>
  <si>
    <t>Vdac inicio(1/4.13)</t>
  </si>
  <si>
    <t>VOUTMATH</t>
  </si>
  <si>
    <t>VOLTAGE</t>
  </si>
  <si>
    <t>DAC REAL</t>
  </si>
  <si>
    <t>DAC WAIT</t>
  </si>
  <si>
    <t>ENCODER</t>
  </si>
  <si>
    <t>CORREGIR</t>
  </si>
  <si>
    <t>AQUIIIII EDITANDO</t>
  </si>
  <si>
    <t>C1</t>
  </si>
  <si>
    <t>C2</t>
  </si>
  <si>
    <t>C3</t>
  </si>
  <si>
    <t>-</t>
  </si>
  <si>
    <t>x Vdac</t>
  </si>
  <si>
    <t>Vadc =</t>
  </si>
  <si>
    <t>VouthMath =</t>
  </si>
  <si>
    <t xml:space="preserve">VouthMath </t>
  </si>
  <si>
    <t xml:space="preserve">Freq </t>
  </si>
  <si>
    <t>MHz</t>
  </si>
  <si>
    <t>precaler</t>
  </si>
  <si>
    <t>Hz</t>
  </si>
  <si>
    <t>Freq Reducida</t>
  </si>
  <si>
    <t>Periodo</t>
  </si>
  <si>
    <t>seg</t>
  </si>
  <si>
    <t>Periodo Deseado</t>
  </si>
  <si>
    <t>KHz</t>
  </si>
  <si>
    <t>Autoreload</t>
  </si>
  <si>
    <t>Freq Maxima</t>
  </si>
  <si>
    <t>Freq Minima</t>
  </si>
  <si>
    <t>BUZZER</t>
  </si>
  <si>
    <t>IN</t>
  </si>
  <si>
    <t>bits</t>
  </si>
  <si>
    <t>Presc</t>
  </si>
  <si>
    <t>Khz</t>
  </si>
  <si>
    <t>Freq Deseada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</si>
</sst>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4" borderId="2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2" fillId="4" borderId="3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1" fontId="0" fillId="5" borderId="2" xfId="0" applyNumberFormat="1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3" fillId="6" borderId="1" xfId="1" applyBorder="1"/>
    <xf numFmtId="0" fontId="3" fillId="6" borderId="0" xfId="1" applyBorder="1"/>
    <xf numFmtId="0" fontId="0" fillId="7" borderId="1" xfId="0" applyFill="1" applyBorder="1"/>
    <xf numFmtId="0" fontId="0" fillId="8" borderId="1" xfId="0" applyFill="1" applyBorder="1"/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2" fontId="0" fillId="9" borderId="0" xfId="0" applyNumberFormat="1" applyFill="1" applyAlignment="1"/>
    <xf numFmtId="164" fontId="0" fillId="10" borderId="0" xfId="0" applyNumberFormat="1" applyFill="1"/>
    <xf numFmtId="165" fontId="0" fillId="10" borderId="0" xfId="0" applyNumberFormat="1" applyFill="1"/>
    <xf numFmtId="11" fontId="0" fillId="0" borderId="0" xfId="0" applyNumberFormat="1"/>
    <xf numFmtId="0" fontId="0" fillId="11" borderId="0" xfId="0" applyFill="1"/>
    <xf numFmtId="0" fontId="0" fillId="11" borderId="0" xfId="0" applyNumberFormat="1" applyFill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11" fontId="0" fillId="7" borderId="1" xfId="0" applyNumberFormat="1" applyFill="1" applyBorder="1"/>
    <xf numFmtId="0" fontId="0" fillId="12" borderId="1" xfId="0" applyFill="1" applyBorder="1"/>
    <xf numFmtId="0" fontId="0" fillId="12" borderId="1" xfId="0" applyNumberFormat="1" applyFill="1" applyBorder="1"/>
    <xf numFmtId="0" fontId="0" fillId="13" borderId="2" xfId="0" applyFont="1" applyFill="1" applyBorder="1"/>
    <xf numFmtId="0" fontId="0" fillId="0" borderId="0" xfId="0" applyNumberFormat="1" applyFill="1" applyBorder="1"/>
    <xf numFmtId="0" fontId="0" fillId="0" borderId="0" xfId="0" applyNumberFormat="1" applyFont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Hoja1!$T$191:$T$222</c:f>
              <c:numCache>
                <c:formatCode>General</c:formatCode>
                <c:ptCount val="32"/>
                <c:pt idx="0">
                  <c:v>0.1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Hoja1!$U$191:$U$222</c:f>
              <c:numCache>
                <c:formatCode>General</c:formatCode>
                <c:ptCount val="32"/>
                <c:pt idx="0">
                  <c:v>3845</c:v>
                </c:pt>
                <c:pt idx="1">
                  <c:v>3738</c:v>
                </c:pt>
                <c:pt idx="2">
                  <c:v>3677</c:v>
                </c:pt>
                <c:pt idx="3">
                  <c:v>3617</c:v>
                </c:pt>
                <c:pt idx="4">
                  <c:v>3495</c:v>
                </c:pt>
                <c:pt idx="5">
                  <c:v>3378</c:v>
                </c:pt>
                <c:pt idx="6">
                  <c:v>3258</c:v>
                </c:pt>
                <c:pt idx="7">
                  <c:v>3136</c:v>
                </c:pt>
                <c:pt idx="8">
                  <c:v>3015</c:v>
                </c:pt>
                <c:pt idx="9">
                  <c:v>2913</c:v>
                </c:pt>
                <c:pt idx="10">
                  <c:v>2804</c:v>
                </c:pt>
                <c:pt idx="11">
                  <c:v>2684</c:v>
                </c:pt>
                <c:pt idx="12">
                  <c:v>2565</c:v>
                </c:pt>
                <c:pt idx="13">
                  <c:v>2446</c:v>
                </c:pt>
                <c:pt idx="14">
                  <c:v>2323</c:v>
                </c:pt>
                <c:pt idx="15">
                  <c:v>2207</c:v>
                </c:pt>
                <c:pt idx="16">
                  <c:v>2089</c:v>
                </c:pt>
                <c:pt idx="17">
                  <c:v>1980</c:v>
                </c:pt>
                <c:pt idx="18">
                  <c:v>1858</c:v>
                </c:pt>
                <c:pt idx="19">
                  <c:v>1735</c:v>
                </c:pt>
                <c:pt idx="20">
                  <c:v>1615</c:v>
                </c:pt>
                <c:pt idx="21">
                  <c:v>1495</c:v>
                </c:pt>
                <c:pt idx="22">
                  <c:v>1355</c:v>
                </c:pt>
                <c:pt idx="23">
                  <c:v>1235</c:v>
                </c:pt>
                <c:pt idx="24">
                  <c:v>1119</c:v>
                </c:pt>
                <c:pt idx="25">
                  <c:v>994</c:v>
                </c:pt>
                <c:pt idx="26">
                  <c:v>877</c:v>
                </c:pt>
                <c:pt idx="27">
                  <c:v>761</c:v>
                </c:pt>
                <c:pt idx="28">
                  <c:v>637</c:v>
                </c:pt>
                <c:pt idx="29">
                  <c:v>520</c:v>
                </c:pt>
                <c:pt idx="30">
                  <c:v>400</c:v>
                </c:pt>
                <c:pt idx="31" formatCode="0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3-45B5-A844-F16451EB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09407"/>
        <c:axId val="695916415"/>
      </c:scatterChart>
      <c:valAx>
        <c:axId val="6012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5916415"/>
        <c:crosses val="autoZero"/>
        <c:crossBetween val="midCat"/>
      </c:valAx>
      <c:valAx>
        <c:axId val="6959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12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Hoja1!$J$188:$J$218</c:f>
              <c:numCache>
                <c:formatCode>General</c:formatCode>
                <c:ptCount val="31"/>
                <c:pt idx="0">
                  <c:v>3738</c:v>
                </c:pt>
                <c:pt idx="1">
                  <c:v>3677</c:v>
                </c:pt>
                <c:pt idx="2">
                  <c:v>3617</c:v>
                </c:pt>
                <c:pt idx="3">
                  <c:v>3495</c:v>
                </c:pt>
                <c:pt idx="4">
                  <c:v>3378</c:v>
                </c:pt>
                <c:pt idx="5">
                  <c:v>3258</c:v>
                </c:pt>
                <c:pt idx="6">
                  <c:v>3136</c:v>
                </c:pt>
                <c:pt idx="7">
                  <c:v>3015</c:v>
                </c:pt>
                <c:pt idx="8">
                  <c:v>2913</c:v>
                </c:pt>
                <c:pt idx="9">
                  <c:v>2804</c:v>
                </c:pt>
                <c:pt idx="10">
                  <c:v>2684</c:v>
                </c:pt>
                <c:pt idx="11">
                  <c:v>2565</c:v>
                </c:pt>
                <c:pt idx="12">
                  <c:v>2446</c:v>
                </c:pt>
                <c:pt idx="13">
                  <c:v>2323</c:v>
                </c:pt>
                <c:pt idx="14">
                  <c:v>2207</c:v>
                </c:pt>
                <c:pt idx="15">
                  <c:v>2089</c:v>
                </c:pt>
                <c:pt idx="16">
                  <c:v>1980</c:v>
                </c:pt>
                <c:pt idx="17">
                  <c:v>1858</c:v>
                </c:pt>
                <c:pt idx="18">
                  <c:v>1735</c:v>
                </c:pt>
                <c:pt idx="19">
                  <c:v>1615</c:v>
                </c:pt>
                <c:pt idx="20">
                  <c:v>1495</c:v>
                </c:pt>
                <c:pt idx="21">
                  <c:v>1355</c:v>
                </c:pt>
                <c:pt idx="22">
                  <c:v>1235</c:v>
                </c:pt>
                <c:pt idx="23">
                  <c:v>1119</c:v>
                </c:pt>
                <c:pt idx="24">
                  <c:v>994</c:v>
                </c:pt>
                <c:pt idx="25">
                  <c:v>877</c:v>
                </c:pt>
                <c:pt idx="26">
                  <c:v>761</c:v>
                </c:pt>
                <c:pt idx="27">
                  <c:v>637</c:v>
                </c:pt>
                <c:pt idx="28">
                  <c:v>520</c:v>
                </c:pt>
                <c:pt idx="29">
                  <c:v>400</c:v>
                </c:pt>
                <c:pt idx="30" formatCode="0">
                  <c:v>290</c:v>
                </c:pt>
              </c:numCache>
            </c:numRef>
          </c:xVal>
          <c:yVal>
            <c:numRef>
              <c:f>Hoja1!$K$188:$K$218</c:f>
              <c:numCache>
                <c:formatCode>0</c:formatCode>
                <c:ptCount val="31"/>
                <c:pt idx="0">
                  <c:v>118.56392041926483</c:v>
                </c:pt>
                <c:pt idx="1">
                  <c:v>117.8439763874062</c:v>
                </c:pt>
                <c:pt idx="2">
                  <c:v>116.12403235554712</c:v>
                </c:pt>
                <c:pt idx="3">
                  <c:v>114.68414429182985</c:v>
                </c:pt>
                <c:pt idx="4">
                  <c:v>108.24425622811214</c:v>
                </c:pt>
                <c:pt idx="5">
                  <c:v>104.80436816439442</c:v>
                </c:pt>
                <c:pt idx="6">
                  <c:v>103.3644801006767</c:v>
                </c:pt>
                <c:pt idx="7">
                  <c:v>100.92459203695944</c:v>
                </c:pt>
                <c:pt idx="8">
                  <c:v>79.484703973241267</c:v>
                </c:pt>
                <c:pt idx="9">
                  <c:v>65.044815909524004</c:v>
                </c:pt>
                <c:pt idx="10">
                  <c:v>61.604927845806742</c:v>
                </c:pt>
                <c:pt idx="11">
                  <c:v>57.16503978208857</c:v>
                </c:pt>
                <c:pt idx="12">
                  <c:v>52.725151718371308</c:v>
                </c:pt>
                <c:pt idx="13">
                  <c:v>52.285263654654045</c:v>
                </c:pt>
                <c:pt idx="14">
                  <c:v>44.845375590936328</c:v>
                </c:pt>
                <c:pt idx="15">
                  <c:v>39.405487527218611</c:v>
                </c:pt>
                <c:pt idx="16">
                  <c:v>24.965599463501121</c:v>
                </c:pt>
                <c:pt idx="17">
                  <c:v>23.525711399783404</c:v>
                </c:pt>
                <c:pt idx="18">
                  <c:v>23.085823336065914</c:v>
                </c:pt>
                <c:pt idx="19">
                  <c:v>19.645935272348197</c:v>
                </c:pt>
                <c:pt idx="20">
                  <c:v>16.206047208630935</c:v>
                </c:pt>
                <c:pt idx="21">
                  <c:v>32.76615914491299</c:v>
                </c:pt>
                <c:pt idx="22">
                  <c:v>29.3262710811955</c:v>
                </c:pt>
                <c:pt idx="23">
                  <c:v>21.886383017478011</c:v>
                </c:pt>
                <c:pt idx="24">
                  <c:v>23.446494953760066</c:v>
                </c:pt>
                <c:pt idx="25">
                  <c:v>17.00660689004269</c:v>
                </c:pt>
                <c:pt idx="26">
                  <c:v>9.5667188263253138</c:v>
                </c:pt>
                <c:pt idx="27">
                  <c:v>10.126830762607938</c:v>
                </c:pt>
                <c:pt idx="28">
                  <c:v>3.6869426988898795</c:v>
                </c:pt>
                <c:pt idx="29">
                  <c:v>0.24705463517250337</c:v>
                </c:pt>
                <c:pt idx="30">
                  <c:v>-13.19283342854493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6-42D6-B1C5-3B2D9A88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8703"/>
        <c:axId val="830592191"/>
      </c:scatterChart>
      <c:valAx>
        <c:axId val="8276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0592191"/>
        <c:crosses val="autoZero"/>
        <c:crossBetween val="midCat"/>
      </c:valAx>
      <c:valAx>
        <c:axId val="8305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76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Hoja1!$F$252:$F$259</c:f>
              <c:numCache>
                <c:formatCode>General</c:formatCode>
                <c:ptCount val="8"/>
                <c:pt idx="0">
                  <c:v>2.5</c:v>
                </c:pt>
                <c:pt idx="1">
                  <c:v>3.8</c:v>
                </c:pt>
                <c:pt idx="2">
                  <c:v>7</c:v>
                </c:pt>
                <c:pt idx="3">
                  <c:v>9.5</c:v>
                </c:pt>
                <c:pt idx="4">
                  <c:v>12.5</c:v>
                </c:pt>
                <c:pt idx="5">
                  <c:v>15.5</c:v>
                </c:pt>
                <c:pt idx="6">
                  <c:v>24.5</c:v>
                </c:pt>
                <c:pt idx="7">
                  <c:v>30.5</c:v>
                </c:pt>
              </c:numCache>
            </c:numRef>
          </c:xVal>
          <c:yVal>
            <c:numRef>
              <c:f>Hoja1!$G$252:$G$259</c:f>
              <c:numCache>
                <c:formatCode>General</c:formatCode>
                <c:ptCount val="8"/>
                <c:pt idx="0">
                  <c:v>2100</c:v>
                </c:pt>
                <c:pt idx="1">
                  <c:v>2050</c:v>
                </c:pt>
                <c:pt idx="2">
                  <c:v>2000</c:v>
                </c:pt>
                <c:pt idx="3">
                  <c:v>1250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2-49F9-BE21-23F3B66D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30016"/>
        <c:axId val="165899840"/>
      </c:scatterChart>
      <c:valAx>
        <c:axId val="1662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899840"/>
        <c:crosses val="autoZero"/>
        <c:crossBetween val="midCat"/>
      </c:valAx>
      <c:valAx>
        <c:axId val="1658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5</xdr:col>
      <xdr:colOff>476250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342900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114773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4</xdr:col>
      <xdr:colOff>609600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133350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4</xdr:col>
      <xdr:colOff>523875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4</xdr:col>
      <xdr:colOff>677446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5</xdr:col>
      <xdr:colOff>657225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280987</xdr:colOff>
      <xdr:row>192</xdr:row>
      <xdr:rowOff>90487</xdr:rowOff>
    </xdr:from>
    <xdr:to>
      <xdr:col>28</xdr:col>
      <xdr:colOff>280987</xdr:colOff>
      <xdr:row>206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252D85C-658D-4A30-96C1-4E0157928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517663</xdr:colOff>
      <xdr:row>191</xdr:row>
      <xdr:rowOff>127554</xdr:rowOff>
    </xdr:from>
    <xdr:to>
      <xdr:col>17</xdr:col>
      <xdr:colOff>327163</xdr:colOff>
      <xdr:row>206</xdr:row>
      <xdr:rowOff>13254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40AC0DB-8A84-4125-9CA5-A450E1E3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695325</xdr:colOff>
      <xdr:row>236</xdr:row>
      <xdr:rowOff>52387</xdr:rowOff>
    </xdr:from>
    <xdr:to>
      <xdr:col>14</xdr:col>
      <xdr:colOff>0</xdr:colOff>
      <xdr:row>250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212DC3-2CF3-4614-9FC4-4A271647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B6:Y259"/>
  <sheetViews>
    <sheetView tabSelected="1" topLeftCell="A223" zoomScaleNormal="100" workbookViewId="0">
      <selection activeCell="G241" sqref="G241"/>
    </sheetView>
  </sheetViews>
  <sheetFormatPr baseColWidth="10" defaultRowHeight="15" x14ac:dyDescent="0.25"/>
  <cols>
    <col min="2" max="2" width="13.28515625" customWidth="1"/>
    <col min="4" max="4" width="17" customWidth="1"/>
    <col min="5" max="5" width="14.85546875" customWidth="1"/>
    <col min="6" max="6" width="13.42578125" customWidth="1"/>
    <col min="7" max="7" width="13.7109375" customWidth="1"/>
    <col min="10" max="10" width="15.85546875" customWidth="1"/>
    <col min="11" max="11" width="17.42578125" customWidth="1"/>
    <col min="15" max="15" width="14.285156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5">
        <f>L9/(L7-L9/(L14+L8))</f>
        <v>131290.32258064512</v>
      </c>
    </row>
    <row r="17" spans="11:21" x14ac:dyDescent="0.25">
      <c r="K17" s="2"/>
      <c r="Q17" s="15"/>
      <c r="R17" s="15"/>
      <c r="S17" s="15"/>
      <c r="T17" s="15"/>
    </row>
    <row r="18" spans="11:21" x14ac:dyDescent="0.25">
      <c r="Q18" s="15"/>
      <c r="R18" s="15"/>
      <c r="S18" s="15"/>
      <c r="T18" s="15"/>
    </row>
    <row r="19" spans="11:21" x14ac:dyDescent="0.25">
      <c r="Q19" s="15"/>
      <c r="R19" s="15"/>
      <c r="S19" s="15"/>
      <c r="T19" s="15"/>
    </row>
    <row r="20" spans="11:21" x14ac:dyDescent="0.25">
      <c r="K20" s="4" t="s">
        <v>2</v>
      </c>
      <c r="L20" s="4">
        <v>29.25</v>
      </c>
      <c r="Q20" s="15"/>
      <c r="R20" s="15"/>
      <c r="S20" s="15"/>
      <c r="T20" s="15"/>
    </row>
    <row r="21" spans="11:21" x14ac:dyDescent="0.25">
      <c r="K21" s="4" t="s">
        <v>3</v>
      </c>
      <c r="L21" s="4">
        <v>5.0000000000000002E-5</v>
      </c>
      <c r="Q21" s="15"/>
      <c r="R21" s="15"/>
      <c r="S21" s="15"/>
      <c r="T21" s="15"/>
    </row>
    <row r="22" spans="11:21" x14ac:dyDescent="0.25">
      <c r="K22" s="4" t="s">
        <v>4</v>
      </c>
      <c r="L22" s="4">
        <v>15000</v>
      </c>
      <c r="Q22" s="15"/>
      <c r="R22" s="15"/>
      <c r="S22" s="15"/>
      <c r="T22" s="15"/>
    </row>
    <row r="23" spans="11:21" x14ac:dyDescent="0.25">
      <c r="K23" s="4" t="s">
        <v>0</v>
      </c>
      <c r="L23" s="4">
        <v>1.25</v>
      </c>
      <c r="O23" s="19" t="str">
        <f t="shared" ref="O23:O32" si="0">K20</f>
        <v>Vout</v>
      </c>
      <c r="P23" s="19">
        <v>5</v>
      </c>
      <c r="Q23" s="19">
        <v>10</v>
      </c>
      <c r="R23" s="19">
        <v>15</v>
      </c>
      <c r="S23" s="19">
        <v>20</v>
      </c>
      <c r="T23" s="19">
        <v>25</v>
      </c>
      <c r="U23" s="19">
        <v>30</v>
      </c>
    </row>
    <row r="24" spans="11:21" x14ac:dyDescent="0.25">
      <c r="K24" s="4" t="s">
        <v>13</v>
      </c>
      <c r="L24" s="4">
        <f>L23/4.7334</f>
        <v>0.26408078759454096</v>
      </c>
      <c r="O24" s="19" t="str">
        <f t="shared" si="0"/>
        <v>I1</v>
      </c>
      <c r="P24" s="19">
        <f t="shared" ref="P24:P27" si="1">L21</f>
        <v>5.0000000000000002E-5</v>
      </c>
      <c r="Q24" s="19">
        <f>P24</f>
        <v>5.0000000000000002E-5</v>
      </c>
      <c r="R24" s="19">
        <f>P24</f>
        <v>5.0000000000000002E-5</v>
      </c>
      <c r="S24" s="19">
        <f t="shared" ref="S24:U27" si="2">P24</f>
        <v>5.0000000000000002E-5</v>
      </c>
      <c r="T24" s="19">
        <f t="shared" si="2"/>
        <v>5.0000000000000002E-5</v>
      </c>
      <c r="U24" s="19">
        <f t="shared" si="2"/>
        <v>5.0000000000000002E-5</v>
      </c>
    </row>
    <row r="25" spans="11:21" x14ac:dyDescent="0.25">
      <c r="K25" s="4"/>
      <c r="L25" s="4"/>
      <c r="O25" s="19" t="str">
        <f t="shared" si="0"/>
        <v>Rpull-down Ω</v>
      </c>
      <c r="P25" s="19">
        <f t="shared" si="1"/>
        <v>15000</v>
      </c>
      <c r="Q25" s="19">
        <f>P25</f>
        <v>15000</v>
      </c>
      <c r="R25" s="19">
        <f>P25</f>
        <v>15000</v>
      </c>
      <c r="S25" s="19">
        <f t="shared" si="2"/>
        <v>15000</v>
      </c>
      <c r="T25" s="19">
        <f t="shared" si="2"/>
        <v>15000</v>
      </c>
      <c r="U25" s="19">
        <f t="shared" si="2"/>
        <v>15000</v>
      </c>
    </row>
    <row r="26" spans="11:21" x14ac:dyDescent="0.25">
      <c r="K26" s="4"/>
      <c r="L26" s="4"/>
      <c r="O26" s="19" t="str">
        <f t="shared" si="0"/>
        <v>Vref</v>
      </c>
      <c r="P26" s="19">
        <f t="shared" si="1"/>
        <v>1.25</v>
      </c>
      <c r="Q26" s="19">
        <f>P26</f>
        <v>1.25</v>
      </c>
      <c r="R26" s="19">
        <f>P26</f>
        <v>1.25</v>
      </c>
      <c r="S26" s="19">
        <f t="shared" si="2"/>
        <v>1.25</v>
      </c>
      <c r="T26" s="19">
        <f t="shared" si="2"/>
        <v>1.25</v>
      </c>
      <c r="U26" s="19">
        <f t="shared" si="2"/>
        <v>1.25</v>
      </c>
    </row>
    <row r="27" spans="11:21" x14ac:dyDescent="0.25">
      <c r="K27" s="4" t="s">
        <v>5</v>
      </c>
      <c r="L27" s="6">
        <f>(L20-L23)/L21</f>
        <v>560000</v>
      </c>
      <c r="O27" s="19" t="str">
        <f t="shared" si="0"/>
        <v>Vdac inicio(1/4.13)</v>
      </c>
      <c r="P27" s="19">
        <f t="shared" si="1"/>
        <v>0.26408078759454096</v>
      </c>
      <c r="Q27" s="19">
        <f>P27</f>
        <v>0.26408078759454096</v>
      </c>
      <c r="R27" s="19">
        <f>P27</f>
        <v>0.26408078759454096</v>
      </c>
      <c r="S27" s="19">
        <f t="shared" si="2"/>
        <v>0.26408078759454096</v>
      </c>
      <c r="T27" s="19">
        <f t="shared" si="2"/>
        <v>0.26408078759454096</v>
      </c>
      <c r="U27" s="19">
        <f t="shared" si="2"/>
        <v>0.26408078759454096</v>
      </c>
    </row>
    <row r="28" spans="11:21" x14ac:dyDescent="0.25">
      <c r="K28" s="4" t="s">
        <v>6</v>
      </c>
      <c r="L28" s="6">
        <f>L22*(L23-L24)/L24</f>
        <v>56000.999999999993</v>
      </c>
      <c r="O28" s="19"/>
      <c r="P28" s="19"/>
      <c r="Q28" s="19"/>
      <c r="R28" s="19"/>
      <c r="S28" s="19"/>
      <c r="T28" s="19"/>
      <c r="U28" s="19"/>
    </row>
    <row r="29" spans="11:21" x14ac:dyDescent="0.25">
      <c r="K29" s="4" t="s">
        <v>7</v>
      </c>
      <c r="L29" s="6">
        <f>L23/(L21-L23/(L28+L22))</f>
        <v>38586.66115954001</v>
      </c>
      <c r="O29" s="19"/>
      <c r="P29" s="19"/>
      <c r="Q29" s="19"/>
      <c r="R29" s="19"/>
      <c r="S29" s="19"/>
      <c r="T29" s="19"/>
      <c r="U29" s="19"/>
    </row>
    <row r="30" spans="11:21" x14ac:dyDescent="0.25">
      <c r="O30" s="19" t="str">
        <f t="shared" si="0"/>
        <v>R1 Ω</v>
      </c>
      <c r="P30" s="19">
        <v>75000</v>
      </c>
      <c r="Q30" s="19">
        <v>175000</v>
      </c>
      <c r="R30" s="19">
        <v>275000</v>
      </c>
      <c r="S30" s="19">
        <v>375000</v>
      </c>
      <c r="T30" s="19">
        <v>475000</v>
      </c>
      <c r="U30" s="19">
        <v>575000</v>
      </c>
    </row>
    <row r="31" spans="11:21" x14ac:dyDescent="0.25">
      <c r="O31" s="19" t="str">
        <f t="shared" si="0"/>
        <v>R3 Ω</v>
      </c>
      <c r="P31" s="19">
        <v>56000</v>
      </c>
      <c r="Q31" s="19">
        <v>56000</v>
      </c>
      <c r="R31" s="19">
        <v>56000</v>
      </c>
      <c r="S31" s="19">
        <v>56000</v>
      </c>
      <c r="T31" s="19">
        <v>56000</v>
      </c>
      <c r="U31" s="19">
        <v>56000</v>
      </c>
    </row>
    <row r="32" spans="11:21" x14ac:dyDescent="0.25">
      <c r="O32" s="19" t="str">
        <f t="shared" si="0"/>
        <v>R2 Ω</v>
      </c>
      <c r="P32" s="19">
        <v>38.5</v>
      </c>
      <c r="Q32" s="19">
        <v>38.5</v>
      </c>
      <c r="R32" s="19">
        <v>38.5</v>
      </c>
      <c r="S32" s="19">
        <v>38.5</v>
      </c>
      <c r="T32" s="19">
        <v>38.5</v>
      </c>
      <c r="U32" s="19">
        <v>38.5</v>
      </c>
    </row>
    <row r="34" spans="9:21" x14ac:dyDescent="0.25">
      <c r="P34" s="20">
        <v>5.0199999999999996</v>
      </c>
      <c r="Q34" s="20">
        <v>10.09</v>
      </c>
      <c r="R34" s="20">
        <v>15.25</v>
      </c>
      <c r="S34" s="20">
        <v>20.350000000000001</v>
      </c>
      <c r="T34" s="20">
        <v>25.55</v>
      </c>
      <c r="U34" s="20">
        <v>30.65</v>
      </c>
    </row>
    <row r="35" spans="9:21" x14ac:dyDescent="0.25">
      <c r="R35" s="20">
        <v>270600</v>
      </c>
      <c r="U35" s="20">
        <v>562500</v>
      </c>
    </row>
    <row r="41" spans="9:21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21" x14ac:dyDescent="0.25">
      <c r="I42" t="s">
        <v>1</v>
      </c>
      <c r="J42">
        <v>75580</v>
      </c>
      <c r="L42" t="s">
        <v>1</v>
      </c>
      <c r="M42">
        <v>75580</v>
      </c>
    </row>
    <row r="43" spans="9:21" x14ac:dyDescent="0.25">
      <c r="I43" t="s">
        <v>10</v>
      </c>
      <c r="J43">
        <v>5.66E-5</v>
      </c>
      <c r="L43" t="s">
        <v>9</v>
      </c>
      <c r="M43">
        <v>5</v>
      </c>
    </row>
    <row r="44" spans="9:21" x14ac:dyDescent="0.25">
      <c r="I44" t="s">
        <v>11</v>
      </c>
      <c r="J44">
        <v>4.3399999999999998E-5</v>
      </c>
      <c r="L44" t="s">
        <v>12</v>
      </c>
      <c r="M44">
        <v>5</v>
      </c>
    </row>
    <row r="46" spans="9:21" x14ac:dyDescent="0.25">
      <c r="I46" t="s">
        <v>9</v>
      </c>
      <c r="J46">
        <f>J43*J42+J41</f>
        <v>5.4988280000000005</v>
      </c>
      <c r="L46" t="s">
        <v>10</v>
      </c>
      <c r="M46">
        <f>(M43-M41)/M42</f>
        <v>4.9999999999999996E-5</v>
      </c>
    </row>
    <row r="47" spans="9:21" x14ac:dyDescent="0.25">
      <c r="I47" t="s">
        <v>12</v>
      </c>
      <c r="J47">
        <f>J44*J42+J41</f>
        <v>4.5011720000000004</v>
      </c>
      <c r="L47" t="s">
        <v>11</v>
      </c>
      <c r="M47">
        <f>(M44-M41)/M42</f>
        <v>4.9999999999999996E-5</v>
      </c>
    </row>
    <row r="59" spans="2:6" x14ac:dyDescent="0.25">
      <c r="B59" s="21" t="str">
        <f t="shared" ref="B59:B61" si="3">K27</f>
        <v>R1 Ω</v>
      </c>
      <c r="C59" s="21">
        <v>570000</v>
      </c>
      <c r="E59">
        <v>567500</v>
      </c>
    </row>
    <row r="60" spans="2:6" x14ac:dyDescent="0.25">
      <c r="B60" s="21" t="str">
        <f t="shared" si="3"/>
        <v>R3 Ω</v>
      </c>
      <c r="C60" s="21">
        <v>56000</v>
      </c>
      <c r="E60" s="21">
        <v>570000</v>
      </c>
      <c r="F60">
        <v>29.1</v>
      </c>
    </row>
    <row r="61" spans="2:6" x14ac:dyDescent="0.25">
      <c r="B61" s="21" t="str">
        <f t="shared" si="3"/>
        <v>R2 Ω</v>
      </c>
      <c r="C61" s="21">
        <v>39000</v>
      </c>
      <c r="E61" s="21">
        <v>572500</v>
      </c>
      <c r="F61">
        <v>29</v>
      </c>
    </row>
    <row r="62" spans="2:6" x14ac:dyDescent="0.25">
      <c r="B62" s="21" t="s">
        <v>0</v>
      </c>
      <c r="C62" s="21">
        <v>1.25</v>
      </c>
      <c r="E62">
        <v>575000</v>
      </c>
      <c r="F62">
        <v>28.9</v>
      </c>
    </row>
    <row r="63" spans="2:6" x14ac:dyDescent="0.25">
      <c r="B63" s="22" t="s">
        <v>21</v>
      </c>
      <c r="C63" s="22">
        <f>C59*C62/C61</f>
        <v>18.26923076923077</v>
      </c>
    </row>
    <row r="64" spans="2:6" x14ac:dyDescent="0.25">
      <c r="B64" s="22" t="s">
        <v>22</v>
      </c>
      <c r="C64" s="22">
        <f>C59*C62/C60</f>
        <v>12.723214285714286</v>
      </c>
    </row>
    <row r="65" spans="2:6" x14ac:dyDescent="0.25">
      <c r="B65" s="22" t="s">
        <v>23</v>
      </c>
      <c r="C65" s="22">
        <f>C59/C60</f>
        <v>10.178571428571429</v>
      </c>
    </row>
    <row r="67" spans="2:6" x14ac:dyDescent="0.25">
      <c r="B67" s="25" t="s">
        <v>27</v>
      </c>
      <c r="C67" s="29">
        <f>1.25+C63+C64</f>
        <v>32.242445054945058</v>
      </c>
      <c r="D67" s="24" t="s">
        <v>24</v>
      </c>
      <c r="E67" s="23">
        <f>C65</f>
        <v>10.178571428571429</v>
      </c>
      <c r="F67" s="25" t="s">
        <v>25</v>
      </c>
    </row>
    <row r="68" spans="2:6" x14ac:dyDescent="0.25">
      <c r="B68" s="26" t="s">
        <v>26</v>
      </c>
      <c r="C68" s="31">
        <f>C67/E67</f>
        <v>3.1676788124156547</v>
      </c>
      <c r="D68" s="27" t="s">
        <v>24</v>
      </c>
      <c r="E68" s="30">
        <f>1/E67</f>
        <v>9.8245614035087719E-2</v>
      </c>
      <c r="F68" s="28" t="s">
        <v>28</v>
      </c>
    </row>
    <row r="107" spans="7:11" x14ac:dyDescent="0.25">
      <c r="G107" s="15"/>
      <c r="H107" s="15"/>
      <c r="I107" s="15"/>
      <c r="J107" s="15"/>
      <c r="K107" s="15"/>
    </row>
    <row r="108" spans="7:11" x14ac:dyDescent="0.25">
      <c r="G108" s="15"/>
      <c r="H108" s="15"/>
      <c r="I108" s="15"/>
      <c r="J108" s="15"/>
      <c r="K108" s="15"/>
    </row>
    <row r="109" spans="7:11" x14ac:dyDescent="0.25">
      <c r="G109" s="15"/>
      <c r="H109" s="15"/>
      <c r="I109" s="16"/>
      <c r="J109" s="16"/>
      <c r="K109" s="15"/>
    </row>
    <row r="110" spans="7:11" x14ac:dyDescent="0.25">
      <c r="G110" s="42"/>
      <c r="H110" s="15"/>
      <c r="I110" s="17"/>
      <c r="J110" s="43"/>
      <c r="K110" s="15"/>
    </row>
    <row r="111" spans="7:11" x14ac:dyDescent="0.25">
      <c r="G111" s="15"/>
      <c r="H111" s="15"/>
      <c r="I111" s="17"/>
      <c r="J111" s="17"/>
      <c r="K111" s="15"/>
    </row>
    <row r="112" spans="7:11" x14ac:dyDescent="0.25">
      <c r="G112" s="15"/>
      <c r="H112" s="15"/>
      <c r="I112" s="17"/>
      <c r="J112" s="17"/>
      <c r="K112" s="15"/>
    </row>
    <row r="113" spans="7:11" x14ac:dyDescent="0.25">
      <c r="G113" s="15"/>
      <c r="H113" s="15"/>
      <c r="I113" s="17"/>
      <c r="J113" s="17"/>
      <c r="K113" s="15"/>
    </row>
    <row r="114" spans="7:11" x14ac:dyDescent="0.25">
      <c r="G114" s="15"/>
      <c r="H114" s="15"/>
      <c r="I114" s="17"/>
      <c r="J114" s="17"/>
      <c r="K114" s="15"/>
    </row>
    <row r="115" spans="7:11" x14ac:dyDescent="0.25">
      <c r="G115" s="15"/>
      <c r="H115" s="15"/>
      <c r="I115" s="17"/>
      <c r="J115" s="17"/>
      <c r="K115" s="15"/>
    </row>
    <row r="116" spans="7:11" x14ac:dyDescent="0.25">
      <c r="G116" s="15"/>
      <c r="H116" s="15"/>
      <c r="I116" s="17"/>
      <c r="J116" s="17"/>
      <c r="K116" s="15"/>
    </row>
    <row r="117" spans="7:11" x14ac:dyDescent="0.25">
      <c r="G117" s="15"/>
      <c r="H117" s="15"/>
      <c r="I117" s="17"/>
      <c r="J117" s="17"/>
      <c r="K117" s="15"/>
    </row>
    <row r="118" spans="7:11" x14ac:dyDescent="0.25">
      <c r="G118" s="15"/>
      <c r="H118" s="15"/>
      <c r="I118" s="17"/>
      <c r="J118" s="17"/>
      <c r="K118" s="15"/>
    </row>
    <row r="119" spans="7:11" x14ac:dyDescent="0.25">
      <c r="G119" s="15"/>
      <c r="H119" s="15"/>
      <c r="I119" s="17"/>
      <c r="J119" s="17"/>
      <c r="K119" s="15"/>
    </row>
    <row r="120" spans="7:11" x14ac:dyDescent="0.25">
      <c r="G120" s="15"/>
      <c r="H120" s="15"/>
      <c r="I120" s="17"/>
      <c r="J120" s="17"/>
      <c r="K120" s="15"/>
    </row>
    <row r="121" spans="7:11" x14ac:dyDescent="0.25">
      <c r="G121" s="15"/>
      <c r="H121" s="15"/>
      <c r="I121" s="17"/>
      <c r="J121" s="17"/>
      <c r="K121" s="15"/>
    </row>
    <row r="122" spans="7:11" x14ac:dyDescent="0.25">
      <c r="G122" s="15"/>
      <c r="H122" s="15"/>
      <c r="I122" s="17"/>
      <c r="J122" s="17"/>
      <c r="K122" s="15"/>
    </row>
    <row r="123" spans="7:11" x14ac:dyDescent="0.25">
      <c r="G123" s="15"/>
      <c r="H123" s="15"/>
      <c r="I123" s="17"/>
      <c r="J123" s="17"/>
      <c r="K123" s="15"/>
    </row>
    <row r="124" spans="7:11" x14ac:dyDescent="0.25">
      <c r="G124" s="15"/>
      <c r="H124" s="15"/>
      <c r="I124" s="17"/>
      <c r="J124" s="17"/>
      <c r="K124" s="15"/>
    </row>
    <row r="125" spans="7:11" x14ac:dyDescent="0.25">
      <c r="G125" s="15"/>
      <c r="H125" s="15"/>
      <c r="I125" s="17"/>
      <c r="J125" s="17"/>
      <c r="K125" s="15"/>
    </row>
    <row r="126" spans="7:11" x14ac:dyDescent="0.25">
      <c r="G126" s="15"/>
      <c r="H126" s="15"/>
      <c r="I126" s="17"/>
      <c r="J126" s="17"/>
      <c r="K126" s="15"/>
    </row>
    <row r="127" spans="7:11" x14ac:dyDescent="0.25">
      <c r="G127" s="15"/>
      <c r="H127" s="15"/>
      <c r="I127" s="17"/>
      <c r="J127" s="17"/>
      <c r="K127" s="15"/>
    </row>
    <row r="128" spans="7:11" x14ac:dyDescent="0.25">
      <c r="G128" s="15"/>
      <c r="H128" s="15"/>
      <c r="I128" s="17"/>
      <c r="J128" s="17"/>
      <c r="K128" s="15"/>
    </row>
    <row r="129" spans="7:11" x14ac:dyDescent="0.25">
      <c r="G129" s="15"/>
      <c r="H129" s="15"/>
      <c r="I129" s="17"/>
      <c r="J129" s="17"/>
      <c r="K129" s="15"/>
    </row>
    <row r="130" spans="7:11" x14ac:dyDescent="0.25">
      <c r="G130" s="15"/>
      <c r="H130" s="15"/>
      <c r="I130" s="17"/>
      <c r="J130" s="17"/>
      <c r="K130" s="15"/>
    </row>
    <row r="131" spans="7:11" x14ac:dyDescent="0.25">
      <c r="G131" s="15"/>
      <c r="H131" s="15"/>
      <c r="I131" s="17"/>
      <c r="J131" s="17"/>
      <c r="K131" s="15"/>
    </row>
    <row r="132" spans="7:11" x14ac:dyDescent="0.25">
      <c r="G132" s="15"/>
      <c r="H132" s="15"/>
      <c r="I132" s="17"/>
      <c r="J132" s="17"/>
      <c r="K132" s="15"/>
    </row>
    <row r="133" spans="7:11" x14ac:dyDescent="0.25">
      <c r="G133" s="15"/>
      <c r="H133" s="15"/>
      <c r="I133" s="17"/>
      <c r="J133" s="17"/>
      <c r="K133" s="15"/>
    </row>
    <row r="134" spans="7:11" x14ac:dyDescent="0.25">
      <c r="G134" s="15"/>
      <c r="H134" s="15"/>
      <c r="I134" s="17"/>
      <c r="J134" s="17"/>
      <c r="K134" s="15"/>
    </row>
    <row r="135" spans="7:11" x14ac:dyDescent="0.25">
      <c r="G135" s="15"/>
      <c r="H135" s="15"/>
      <c r="I135" s="17"/>
      <c r="J135" s="17"/>
      <c r="K135" s="15"/>
    </row>
    <row r="136" spans="7:11" x14ac:dyDescent="0.25">
      <c r="G136" s="15"/>
      <c r="H136" s="15"/>
      <c r="I136" s="17"/>
      <c r="J136" s="17"/>
      <c r="K136" s="15"/>
    </row>
    <row r="137" spans="7:11" x14ac:dyDescent="0.25">
      <c r="G137" s="15"/>
      <c r="H137" s="15"/>
      <c r="I137" s="17"/>
      <c r="J137" s="17"/>
      <c r="K137" s="15"/>
    </row>
    <row r="138" spans="7:11" x14ac:dyDescent="0.25">
      <c r="G138" s="15"/>
      <c r="H138" s="15"/>
      <c r="I138" s="17"/>
      <c r="J138" s="17"/>
      <c r="K138" s="15"/>
    </row>
    <row r="139" spans="7:11" x14ac:dyDescent="0.25">
      <c r="G139" s="15"/>
      <c r="H139" s="15"/>
      <c r="I139" s="17"/>
      <c r="J139" s="17"/>
      <c r="K139" s="15"/>
    </row>
    <row r="140" spans="7:11" x14ac:dyDescent="0.25">
      <c r="G140" s="15"/>
      <c r="H140" s="15"/>
      <c r="I140" s="17"/>
      <c r="J140" s="17"/>
      <c r="K140" s="15"/>
    </row>
    <row r="141" spans="7:11" x14ac:dyDescent="0.25">
      <c r="G141" s="15"/>
      <c r="H141" s="15"/>
      <c r="I141" s="15"/>
      <c r="J141" s="15"/>
      <c r="K141" s="15"/>
    </row>
    <row r="142" spans="7:11" x14ac:dyDescent="0.25">
      <c r="G142" s="15"/>
      <c r="H142" s="15"/>
      <c r="I142" s="15"/>
      <c r="J142" s="15"/>
      <c r="K142" s="15"/>
    </row>
    <row r="145" spans="2:11" x14ac:dyDescent="0.25">
      <c r="B145" s="16"/>
      <c r="C145" s="16"/>
      <c r="D145" s="16"/>
      <c r="E145" s="16"/>
      <c r="F145" s="16"/>
      <c r="G145" s="15"/>
      <c r="H145" s="15"/>
      <c r="I145" s="16"/>
      <c r="J145" s="16"/>
      <c r="K145" s="16"/>
    </row>
    <row r="146" spans="2:11" x14ac:dyDescent="0.25">
      <c r="B146" s="17"/>
      <c r="C146" s="18"/>
      <c r="D146" s="17"/>
      <c r="E146" s="17"/>
      <c r="F146" s="17"/>
      <c r="G146" s="15"/>
      <c r="H146" s="15"/>
      <c r="I146" s="18"/>
      <c r="J146" s="17"/>
      <c r="K146" s="18"/>
    </row>
    <row r="147" spans="2:11" x14ac:dyDescent="0.25">
      <c r="B147" s="17"/>
      <c r="C147" s="18"/>
      <c r="D147" s="17"/>
      <c r="E147" s="17"/>
      <c r="F147" s="17"/>
      <c r="G147" s="15"/>
      <c r="H147" s="15"/>
      <c r="I147" s="18"/>
      <c r="J147" s="17"/>
      <c r="K147" s="18"/>
    </row>
    <row r="148" spans="2:11" x14ac:dyDescent="0.25">
      <c r="B148" s="17"/>
      <c r="C148" s="18"/>
      <c r="D148" s="17"/>
      <c r="E148" s="17"/>
      <c r="F148" s="17"/>
      <c r="G148" s="15"/>
      <c r="H148" s="15"/>
      <c r="I148" s="18"/>
      <c r="J148" s="17"/>
      <c r="K148" s="18"/>
    </row>
    <row r="149" spans="2:11" x14ac:dyDescent="0.25">
      <c r="B149" s="17"/>
      <c r="C149" s="18"/>
      <c r="D149" s="17"/>
      <c r="E149" s="17"/>
      <c r="F149" s="17"/>
      <c r="G149" s="15"/>
      <c r="H149" s="15"/>
      <c r="I149" s="18"/>
      <c r="J149" s="17"/>
      <c r="K149" s="18"/>
    </row>
    <row r="150" spans="2:11" x14ac:dyDescent="0.25">
      <c r="B150" s="17"/>
      <c r="C150" s="18"/>
      <c r="D150" s="17"/>
      <c r="E150" s="17"/>
      <c r="F150" s="17"/>
      <c r="G150" s="15"/>
      <c r="H150" s="15"/>
      <c r="I150" s="18"/>
      <c r="J150" s="17"/>
      <c r="K150" s="18"/>
    </row>
    <row r="151" spans="2:11" x14ac:dyDescent="0.25">
      <c r="B151" s="17"/>
      <c r="C151" s="18"/>
      <c r="D151" s="17"/>
      <c r="E151" s="17"/>
      <c r="F151" s="17"/>
      <c r="G151" s="15"/>
      <c r="H151" s="15"/>
      <c r="I151" s="18"/>
      <c r="J151" s="17"/>
      <c r="K151" s="18"/>
    </row>
    <row r="152" spans="2:11" x14ac:dyDescent="0.25">
      <c r="B152" s="17"/>
      <c r="C152" s="18"/>
      <c r="D152" s="17"/>
      <c r="E152" s="17"/>
      <c r="F152" s="17"/>
      <c r="G152" s="15"/>
      <c r="H152" s="15"/>
      <c r="I152" s="18"/>
      <c r="J152" s="17"/>
      <c r="K152" s="18"/>
    </row>
    <row r="153" spans="2:11" x14ac:dyDescent="0.25">
      <c r="B153" s="17"/>
      <c r="C153" s="18"/>
      <c r="D153" s="17"/>
      <c r="E153" s="17"/>
      <c r="F153" s="17"/>
      <c r="G153" s="15"/>
      <c r="H153" s="15"/>
      <c r="I153" s="18"/>
      <c r="J153" s="17"/>
      <c r="K153" s="18"/>
    </row>
    <row r="154" spans="2:11" x14ac:dyDescent="0.25">
      <c r="B154" s="17"/>
      <c r="C154" s="18"/>
      <c r="D154" s="17"/>
      <c r="E154" s="17"/>
      <c r="F154" s="17"/>
      <c r="G154" s="15"/>
      <c r="H154" s="15"/>
      <c r="I154" s="18"/>
      <c r="J154" s="17"/>
      <c r="K154" s="18"/>
    </row>
    <row r="155" spans="2:11" x14ac:dyDescent="0.25">
      <c r="B155" s="17"/>
      <c r="C155" s="18"/>
      <c r="D155" s="17"/>
      <c r="E155" s="17"/>
      <c r="F155" s="17"/>
      <c r="G155" s="15"/>
      <c r="H155" s="15"/>
      <c r="I155" s="18"/>
      <c r="J155" s="17"/>
      <c r="K155" s="18"/>
    </row>
    <row r="156" spans="2:11" x14ac:dyDescent="0.25">
      <c r="B156" s="17"/>
      <c r="C156" s="18"/>
      <c r="D156" s="17"/>
      <c r="E156" s="17"/>
      <c r="F156" s="17"/>
      <c r="G156" s="15"/>
      <c r="H156" s="15"/>
      <c r="I156" s="18"/>
      <c r="J156" s="17"/>
      <c r="K156" s="18"/>
    </row>
    <row r="157" spans="2:11" x14ac:dyDescent="0.25">
      <c r="B157" s="17"/>
      <c r="C157" s="18"/>
      <c r="D157" s="17"/>
      <c r="E157" s="17"/>
      <c r="F157" s="17"/>
      <c r="G157" s="15"/>
      <c r="H157" s="15"/>
      <c r="I157" s="18"/>
      <c r="J157" s="17"/>
      <c r="K157" s="18"/>
    </row>
    <row r="158" spans="2:11" x14ac:dyDescent="0.25">
      <c r="B158" s="17"/>
      <c r="C158" s="18"/>
      <c r="D158" s="17"/>
      <c r="E158" s="17"/>
      <c r="F158" s="17"/>
      <c r="G158" s="15"/>
      <c r="H158" s="15"/>
      <c r="I158" s="18"/>
      <c r="J158" s="17"/>
      <c r="K158" s="18"/>
    </row>
    <row r="159" spans="2:11" x14ac:dyDescent="0.25">
      <c r="B159" s="17"/>
      <c r="C159" s="18"/>
      <c r="D159" s="17"/>
      <c r="E159" s="17"/>
      <c r="F159" s="17"/>
      <c r="G159" s="15"/>
      <c r="H159" s="15"/>
      <c r="I159" s="18"/>
      <c r="J159" s="17"/>
      <c r="K159" s="18"/>
    </row>
    <row r="160" spans="2:11" x14ac:dyDescent="0.25">
      <c r="B160" s="17"/>
      <c r="C160" s="18"/>
      <c r="D160" s="17"/>
      <c r="E160" s="17"/>
      <c r="F160" s="17"/>
      <c r="G160" s="15"/>
      <c r="H160" s="15"/>
      <c r="I160" s="18"/>
      <c r="J160" s="17"/>
      <c r="K160" s="18"/>
    </row>
    <row r="161" spans="2:11" x14ac:dyDescent="0.25">
      <c r="B161" s="17"/>
      <c r="C161" s="18"/>
      <c r="D161" s="17"/>
      <c r="E161" s="17"/>
      <c r="F161" s="17"/>
      <c r="G161" s="15"/>
      <c r="H161" s="15"/>
      <c r="I161" s="18"/>
      <c r="J161" s="17"/>
      <c r="K161" s="18"/>
    </row>
    <row r="162" spans="2:11" x14ac:dyDescent="0.25">
      <c r="B162" s="17"/>
      <c r="C162" s="18"/>
      <c r="D162" s="17"/>
      <c r="E162" s="17"/>
      <c r="F162" s="17"/>
      <c r="G162" s="15"/>
      <c r="H162" s="15"/>
      <c r="I162" s="18"/>
      <c r="J162" s="17"/>
      <c r="K162" s="18"/>
    </row>
    <row r="163" spans="2:11" x14ac:dyDescent="0.25">
      <c r="B163" s="17"/>
      <c r="C163" s="18"/>
      <c r="D163" s="17"/>
      <c r="E163" s="17"/>
      <c r="F163" s="17"/>
      <c r="G163" s="15"/>
      <c r="H163" s="15"/>
      <c r="I163" s="18"/>
      <c r="J163" s="17"/>
      <c r="K163" s="18"/>
    </row>
    <row r="164" spans="2:11" x14ac:dyDescent="0.25">
      <c r="B164" s="17"/>
      <c r="C164" s="18"/>
      <c r="D164" s="17"/>
      <c r="E164" s="17"/>
      <c r="F164" s="17"/>
      <c r="G164" s="15"/>
      <c r="H164" s="15"/>
      <c r="I164" s="18"/>
      <c r="J164" s="17"/>
      <c r="K164" s="18"/>
    </row>
    <row r="165" spans="2:11" x14ac:dyDescent="0.25">
      <c r="B165" s="17"/>
      <c r="C165" s="18"/>
      <c r="D165" s="17"/>
      <c r="E165" s="17"/>
      <c r="F165" s="17"/>
      <c r="G165" s="15"/>
      <c r="H165" s="15"/>
      <c r="I165" s="18"/>
      <c r="J165" s="17"/>
      <c r="K165" s="18"/>
    </row>
    <row r="166" spans="2:11" x14ac:dyDescent="0.25">
      <c r="B166" s="17"/>
      <c r="C166" s="18"/>
      <c r="D166" s="17"/>
      <c r="E166" s="17"/>
      <c r="F166" s="17"/>
      <c r="G166" s="15"/>
      <c r="H166" s="15"/>
      <c r="I166" s="18"/>
      <c r="J166" s="17"/>
      <c r="K166" s="18"/>
    </row>
    <row r="167" spans="2:11" x14ac:dyDescent="0.25">
      <c r="B167" s="17"/>
      <c r="C167" s="18"/>
      <c r="D167" s="17"/>
      <c r="E167" s="17"/>
      <c r="F167" s="17"/>
      <c r="G167" s="15"/>
      <c r="H167" s="15"/>
      <c r="I167" s="18"/>
      <c r="J167" s="17"/>
      <c r="K167" s="18"/>
    </row>
    <row r="168" spans="2:11" x14ac:dyDescent="0.25">
      <c r="B168" s="17"/>
      <c r="C168" s="18"/>
      <c r="D168" s="17"/>
      <c r="E168" s="17"/>
      <c r="F168" s="17"/>
      <c r="G168" s="15"/>
      <c r="H168" s="15"/>
      <c r="I168" s="18"/>
      <c r="J168" s="17"/>
      <c r="K168" s="18"/>
    </row>
    <row r="169" spans="2:11" x14ac:dyDescent="0.25">
      <c r="B169" s="17"/>
      <c r="C169" s="18"/>
      <c r="D169" s="17"/>
      <c r="E169" s="17"/>
      <c r="F169" s="17"/>
      <c r="G169" s="15"/>
      <c r="H169" s="15"/>
      <c r="I169" s="18"/>
      <c r="J169" s="17"/>
      <c r="K169" s="18"/>
    </row>
    <row r="170" spans="2:11" x14ac:dyDescent="0.25">
      <c r="B170" s="17"/>
      <c r="C170" s="18"/>
      <c r="D170" s="17"/>
      <c r="E170" s="17"/>
      <c r="F170" s="17"/>
      <c r="G170" s="15"/>
      <c r="H170" s="15"/>
      <c r="I170" s="18"/>
      <c r="J170" s="17"/>
      <c r="K170" s="18"/>
    </row>
    <row r="171" spans="2:11" x14ac:dyDescent="0.25">
      <c r="B171" s="17"/>
      <c r="C171" s="18"/>
      <c r="D171" s="17"/>
      <c r="E171" s="17"/>
      <c r="F171" s="17"/>
      <c r="G171" s="15"/>
      <c r="H171" s="15"/>
      <c r="I171" s="18"/>
      <c r="J171" s="17"/>
      <c r="K171" s="18"/>
    </row>
    <row r="172" spans="2:11" x14ac:dyDescent="0.25">
      <c r="B172" s="17"/>
      <c r="C172" s="18"/>
      <c r="D172" s="17"/>
      <c r="E172" s="17"/>
      <c r="F172" s="17"/>
      <c r="G172" s="15"/>
      <c r="H172" s="15"/>
      <c r="I172" s="18"/>
      <c r="J172" s="17"/>
      <c r="K172" s="18"/>
    </row>
    <row r="173" spans="2:11" x14ac:dyDescent="0.25">
      <c r="B173" s="17"/>
      <c r="C173" s="18"/>
      <c r="D173" s="17"/>
      <c r="E173" s="17"/>
      <c r="F173" s="17"/>
      <c r="G173" s="15"/>
      <c r="H173" s="15"/>
      <c r="I173" s="18"/>
      <c r="J173" s="17"/>
      <c r="K173" s="18"/>
    </row>
    <row r="174" spans="2:11" x14ac:dyDescent="0.25">
      <c r="B174" s="17"/>
      <c r="C174" s="18"/>
      <c r="D174" s="17"/>
      <c r="E174" s="17"/>
      <c r="F174" s="17"/>
      <c r="G174" s="15"/>
      <c r="H174" s="15"/>
      <c r="I174" s="18"/>
      <c r="J174" s="17"/>
      <c r="K174" s="18"/>
    </row>
    <row r="175" spans="2:11" x14ac:dyDescent="0.25">
      <c r="B175" s="17"/>
      <c r="C175" s="18"/>
      <c r="D175" s="17"/>
      <c r="E175" s="17"/>
      <c r="F175" s="17"/>
      <c r="G175" s="15"/>
      <c r="H175" s="15"/>
      <c r="I175" s="18"/>
      <c r="J175" s="17"/>
      <c r="K175" s="18"/>
    </row>
    <row r="176" spans="2:11" x14ac:dyDescent="0.25">
      <c r="B176" s="17"/>
      <c r="C176" s="18"/>
      <c r="D176" s="17"/>
      <c r="E176" s="17"/>
      <c r="F176" s="17"/>
      <c r="G176" s="15"/>
      <c r="H176" s="15"/>
      <c r="I176" s="18"/>
      <c r="J176" s="18"/>
      <c r="K176" s="18"/>
    </row>
    <row r="184" spans="2:21" x14ac:dyDescent="0.25">
      <c r="B184" t="s">
        <v>20</v>
      </c>
    </row>
    <row r="185" spans="2:21" x14ac:dyDescent="0.25">
      <c r="M185" s="15"/>
      <c r="N185" s="15"/>
      <c r="O185" s="15"/>
      <c r="P185" s="15"/>
      <c r="Q185" s="15"/>
      <c r="R185" s="15"/>
      <c r="S185" s="15"/>
      <c r="T185" s="15"/>
    </row>
    <row r="186" spans="2:21" x14ac:dyDescent="0.25">
      <c r="M186" s="15"/>
      <c r="N186" s="15"/>
      <c r="O186" s="15"/>
      <c r="P186" s="15"/>
      <c r="Q186" s="15"/>
      <c r="R186" s="15"/>
      <c r="S186" s="15"/>
      <c r="T186" s="15"/>
    </row>
    <row r="187" spans="2:21" x14ac:dyDescent="0.25">
      <c r="B187" s="7" t="s">
        <v>16</v>
      </c>
      <c r="C187" s="7" t="s">
        <v>18</v>
      </c>
      <c r="D187" s="7" t="s">
        <v>17</v>
      </c>
      <c r="E187" s="7" t="s">
        <v>14</v>
      </c>
      <c r="F187" s="10" t="s">
        <v>15</v>
      </c>
      <c r="I187" s="7" t="s">
        <v>18</v>
      </c>
      <c r="J187" s="7" t="s">
        <v>16</v>
      </c>
      <c r="K187" s="7" t="s">
        <v>19</v>
      </c>
      <c r="M187" s="15"/>
      <c r="N187" s="16"/>
      <c r="O187" s="16"/>
      <c r="P187" s="16"/>
      <c r="Q187" s="16"/>
      <c r="R187" s="16"/>
      <c r="S187" s="15"/>
      <c r="T187" s="15"/>
    </row>
    <row r="188" spans="2:21" x14ac:dyDescent="0.25">
      <c r="B188" s="8"/>
      <c r="C188" s="13">
        <f>D188*4096/3.26</f>
        <v>3856.5639204192648</v>
      </c>
      <c r="D188" s="8">
        <f>$C$68-E188*$E$68</f>
        <v>3.0694331983805672</v>
      </c>
      <c r="E188" s="8">
        <v>1</v>
      </c>
      <c r="F188" s="11">
        <v>0.04</v>
      </c>
      <c r="I188" s="13">
        <f>D188*4096/3.26</f>
        <v>3856.5639204192648</v>
      </c>
      <c r="J188" s="8">
        <v>3738</v>
      </c>
      <c r="K188" s="13">
        <f>I188-J188</f>
        <v>118.56392041926483</v>
      </c>
      <c r="M188" s="15"/>
      <c r="N188" s="17"/>
      <c r="O188" s="18"/>
      <c r="P188" s="17"/>
      <c r="Q188" s="17"/>
      <c r="R188" s="17"/>
      <c r="S188" s="15"/>
      <c r="T188" s="15"/>
    </row>
    <row r="189" spans="2:21" x14ac:dyDescent="0.25">
      <c r="B189" s="9"/>
      <c r="C189" s="13">
        <f t="shared" ref="C189:C218" si="4">D189*4096/3.26</f>
        <v>3794.8439763874062</v>
      </c>
      <c r="D189" s="8">
        <f t="shared" ref="D189:D218" si="5">$C$68-E189*$E$68</f>
        <v>3.0203103913630232</v>
      </c>
      <c r="E189" s="9">
        <v>1.5</v>
      </c>
      <c r="F189" s="12">
        <v>0.54</v>
      </c>
      <c r="I189" s="13">
        <f t="shared" ref="I189:I218" si="6">D189*4096/3.26</f>
        <v>3794.8439763874062</v>
      </c>
      <c r="J189" s="9">
        <v>3677</v>
      </c>
      <c r="K189" s="13">
        <f t="shared" ref="K189:K218" si="7">I189-J189</f>
        <v>117.8439763874062</v>
      </c>
      <c r="M189" s="15"/>
      <c r="N189" s="17"/>
      <c r="O189" s="18"/>
      <c r="P189" s="17"/>
      <c r="Q189" s="17"/>
      <c r="R189" s="17"/>
      <c r="S189" s="15"/>
      <c r="T189" s="15"/>
    </row>
    <row r="190" spans="2:21" x14ac:dyDescent="0.25">
      <c r="B190" s="8"/>
      <c r="C190" s="13">
        <f t="shared" si="4"/>
        <v>3733.1240323555471</v>
      </c>
      <c r="D190" s="8">
        <f t="shared" si="5"/>
        <v>2.9711875843454791</v>
      </c>
      <c r="E190" s="8">
        <v>2</v>
      </c>
      <c r="F190" s="11">
        <v>1.04</v>
      </c>
      <c r="I190" s="13">
        <f t="shared" si="6"/>
        <v>3733.1240323555471</v>
      </c>
      <c r="J190" s="8">
        <v>3617</v>
      </c>
      <c r="K190" s="13">
        <f t="shared" si="7"/>
        <v>116.12403235554712</v>
      </c>
      <c r="M190" s="15"/>
      <c r="N190" s="17"/>
      <c r="O190" s="18"/>
      <c r="P190" s="17"/>
      <c r="Q190" s="17"/>
      <c r="R190" s="17"/>
      <c r="S190" s="15"/>
      <c r="T190" s="7" t="s">
        <v>14</v>
      </c>
      <c r="U190" s="7" t="s">
        <v>16</v>
      </c>
    </row>
    <row r="191" spans="2:21" x14ac:dyDescent="0.25">
      <c r="B191" s="9"/>
      <c r="C191" s="13">
        <f t="shared" si="4"/>
        <v>3609.6841442918299</v>
      </c>
      <c r="D191" s="8">
        <f t="shared" si="5"/>
        <v>2.8729419703103916</v>
      </c>
      <c r="E191" s="9">
        <f>E190+1</f>
        <v>3</v>
      </c>
      <c r="F191" s="12">
        <v>2.06</v>
      </c>
      <c r="I191" s="13">
        <f t="shared" si="6"/>
        <v>3609.6841442918299</v>
      </c>
      <c r="J191" s="9">
        <v>3495</v>
      </c>
      <c r="K191" s="13">
        <f t="shared" si="7"/>
        <v>114.68414429182985</v>
      </c>
      <c r="M191" s="15"/>
      <c r="N191" s="17"/>
      <c r="O191" s="18"/>
      <c r="P191" s="17"/>
      <c r="Q191" s="17"/>
      <c r="R191" s="17"/>
      <c r="S191" s="15"/>
      <c r="T191" s="8">
        <v>0.1</v>
      </c>
      <c r="U191" s="8">
        <v>3845</v>
      </c>
    </row>
    <row r="192" spans="2:21" x14ac:dyDescent="0.25">
      <c r="B192" s="8"/>
      <c r="C192" s="13">
        <f t="shared" si="4"/>
        <v>3486.2442562281121</v>
      </c>
      <c r="D192" s="8">
        <f t="shared" si="5"/>
        <v>2.774696356275304</v>
      </c>
      <c r="E192" s="8">
        <f t="shared" ref="E192:E217" si="8">E191+1</f>
        <v>4</v>
      </c>
      <c r="F192" s="11">
        <v>3.07</v>
      </c>
      <c r="I192" s="13">
        <f t="shared" si="6"/>
        <v>3486.2442562281121</v>
      </c>
      <c r="J192" s="8">
        <v>3378</v>
      </c>
      <c r="K192" s="13">
        <f t="shared" si="7"/>
        <v>108.24425622811214</v>
      </c>
      <c r="M192" s="15"/>
      <c r="N192" s="17"/>
      <c r="O192" s="18"/>
      <c r="P192" s="17"/>
      <c r="Q192" s="17"/>
      <c r="R192" s="17"/>
      <c r="S192" s="15"/>
      <c r="T192" s="8">
        <v>1</v>
      </c>
      <c r="U192" s="8">
        <v>3738</v>
      </c>
    </row>
    <row r="193" spans="2:21" x14ac:dyDescent="0.25">
      <c r="B193" s="9"/>
      <c r="C193" s="13">
        <f t="shared" si="4"/>
        <v>3362.8043681643944</v>
      </c>
      <c r="D193" s="8">
        <f t="shared" si="5"/>
        <v>2.676450742240216</v>
      </c>
      <c r="E193" s="9">
        <f t="shared" si="8"/>
        <v>5</v>
      </c>
      <c r="F193" s="12">
        <v>4.0999999999999996</v>
      </c>
      <c r="I193" s="13">
        <f t="shared" si="6"/>
        <v>3362.8043681643944</v>
      </c>
      <c r="J193" s="14">
        <v>3258</v>
      </c>
      <c r="K193" s="13">
        <f t="shared" si="7"/>
        <v>104.80436816439442</v>
      </c>
      <c r="M193" s="15"/>
      <c r="N193" s="17"/>
      <c r="O193" s="18"/>
      <c r="P193" s="17"/>
      <c r="Q193" s="17"/>
      <c r="R193" s="17"/>
      <c r="S193" s="15"/>
      <c r="T193" s="9">
        <v>1.5</v>
      </c>
      <c r="U193" s="9">
        <v>3677</v>
      </c>
    </row>
    <row r="194" spans="2:21" x14ac:dyDescent="0.25">
      <c r="B194" s="8"/>
      <c r="C194" s="13">
        <f t="shared" si="4"/>
        <v>3239.3644801006767</v>
      </c>
      <c r="D194" s="8">
        <f t="shared" si="5"/>
        <v>2.5782051282051284</v>
      </c>
      <c r="E194" s="8">
        <f t="shared" si="8"/>
        <v>6</v>
      </c>
      <c r="F194" s="11">
        <v>5.15</v>
      </c>
      <c r="I194" s="13">
        <f t="shared" si="6"/>
        <v>3239.3644801006767</v>
      </c>
      <c r="J194" s="8">
        <v>3136</v>
      </c>
      <c r="K194" s="13">
        <f t="shared" si="7"/>
        <v>103.3644801006767</v>
      </c>
      <c r="M194" s="15"/>
      <c r="N194" s="17"/>
      <c r="O194" s="18"/>
      <c r="P194" s="17"/>
      <c r="Q194" s="17"/>
      <c r="R194" s="17"/>
      <c r="S194" s="15"/>
      <c r="T194" s="8">
        <v>2</v>
      </c>
      <c r="U194" s="8">
        <v>3617</v>
      </c>
    </row>
    <row r="195" spans="2:21" x14ac:dyDescent="0.25">
      <c r="B195" s="9"/>
      <c r="C195" s="13">
        <f t="shared" si="4"/>
        <v>3115.9245920369594</v>
      </c>
      <c r="D195" s="8">
        <f t="shared" si="5"/>
        <v>2.4799595141700408</v>
      </c>
      <c r="E195" s="9">
        <f t="shared" si="8"/>
        <v>7</v>
      </c>
      <c r="F195" s="12">
        <v>6.15</v>
      </c>
      <c r="I195" s="13">
        <f t="shared" si="6"/>
        <v>3115.9245920369594</v>
      </c>
      <c r="J195" s="9">
        <v>3015</v>
      </c>
      <c r="K195" s="13">
        <f t="shared" si="7"/>
        <v>100.92459203695944</v>
      </c>
      <c r="M195" s="15"/>
      <c r="N195" s="17"/>
      <c r="O195" s="18"/>
      <c r="P195" s="17"/>
      <c r="Q195" s="17"/>
      <c r="R195" s="17"/>
      <c r="S195" s="15"/>
      <c r="T195" s="9">
        <f>T194+1</f>
        <v>3</v>
      </c>
      <c r="U195" s="9">
        <v>3495</v>
      </c>
    </row>
    <row r="196" spans="2:21" x14ac:dyDescent="0.25">
      <c r="B196" s="8"/>
      <c r="C196" s="13">
        <f t="shared" si="4"/>
        <v>2992.4847039732413</v>
      </c>
      <c r="D196" s="8">
        <f t="shared" si="5"/>
        <v>2.3817139001349528</v>
      </c>
      <c r="E196" s="8">
        <f t="shared" si="8"/>
        <v>8</v>
      </c>
      <c r="F196" s="11">
        <v>7.36</v>
      </c>
      <c r="I196" s="13">
        <f t="shared" si="6"/>
        <v>2992.4847039732413</v>
      </c>
      <c r="J196" s="14">
        <v>2913</v>
      </c>
      <c r="K196" s="13">
        <f t="shared" si="7"/>
        <v>79.484703973241267</v>
      </c>
      <c r="M196" s="15"/>
      <c r="N196" s="17"/>
      <c r="O196" s="18"/>
      <c r="P196" s="17"/>
      <c r="Q196" s="17"/>
      <c r="R196" s="17"/>
      <c r="S196" s="15"/>
      <c r="T196" s="8">
        <f t="shared" ref="T196:T221" si="9">T195+1</f>
        <v>4</v>
      </c>
      <c r="U196" s="8">
        <v>3378</v>
      </c>
    </row>
    <row r="197" spans="2:21" x14ac:dyDescent="0.25">
      <c r="B197" s="9"/>
      <c r="C197" s="13">
        <f t="shared" si="4"/>
        <v>2869.044815909524</v>
      </c>
      <c r="D197" s="8">
        <f t="shared" si="5"/>
        <v>2.2834682860998652</v>
      </c>
      <c r="E197" s="9">
        <f t="shared" si="8"/>
        <v>9</v>
      </c>
      <c r="F197" s="12">
        <v>8.42</v>
      </c>
      <c r="I197" s="13">
        <f t="shared" si="6"/>
        <v>2869.044815909524</v>
      </c>
      <c r="J197" s="9">
        <v>2804</v>
      </c>
      <c r="K197" s="13">
        <f t="shared" si="7"/>
        <v>65.044815909524004</v>
      </c>
      <c r="M197" s="15"/>
      <c r="N197" s="17"/>
      <c r="O197" s="18"/>
      <c r="P197" s="17"/>
      <c r="Q197" s="17"/>
      <c r="R197" s="17"/>
      <c r="S197" s="15"/>
      <c r="T197" s="9">
        <f t="shared" si="9"/>
        <v>5</v>
      </c>
      <c r="U197" s="14">
        <v>3258</v>
      </c>
    </row>
    <row r="198" spans="2:21" x14ac:dyDescent="0.25">
      <c r="B198" s="8"/>
      <c r="C198" s="13">
        <f t="shared" si="4"/>
        <v>2745.6049278458067</v>
      </c>
      <c r="D198" s="8">
        <f t="shared" si="5"/>
        <v>2.1852226720647776</v>
      </c>
      <c r="E198" s="8">
        <f t="shared" si="8"/>
        <v>10</v>
      </c>
      <c r="F198" s="11">
        <v>9.48</v>
      </c>
      <c r="I198" s="13">
        <f t="shared" si="6"/>
        <v>2745.6049278458067</v>
      </c>
      <c r="J198" s="8">
        <v>2684</v>
      </c>
      <c r="K198" s="13">
        <f t="shared" si="7"/>
        <v>61.604927845806742</v>
      </c>
      <c r="M198" s="15"/>
      <c r="N198" s="17"/>
      <c r="O198" s="18"/>
      <c r="P198" s="17"/>
      <c r="Q198" s="17"/>
      <c r="R198" s="17"/>
      <c r="S198" s="15"/>
      <c r="T198" s="8">
        <f t="shared" si="9"/>
        <v>6</v>
      </c>
      <c r="U198" s="8">
        <v>3136</v>
      </c>
    </row>
    <row r="199" spans="2:21" x14ac:dyDescent="0.25">
      <c r="B199" s="9"/>
      <c r="C199" s="13">
        <f t="shared" si="4"/>
        <v>2622.1650397820886</v>
      </c>
      <c r="D199" s="8">
        <f t="shared" si="5"/>
        <v>2.0869770580296896</v>
      </c>
      <c r="E199" s="9">
        <f t="shared" si="8"/>
        <v>11</v>
      </c>
      <c r="F199" s="12">
        <v>10.55</v>
      </c>
      <c r="I199" s="13">
        <f t="shared" si="6"/>
        <v>2622.1650397820886</v>
      </c>
      <c r="J199" s="9">
        <v>2565</v>
      </c>
      <c r="K199" s="13">
        <f t="shared" si="7"/>
        <v>57.16503978208857</v>
      </c>
      <c r="M199" s="15"/>
      <c r="N199" s="17"/>
      <c r="O199" s="18"/>
      <c r="P199" s="17"/>
      <c r="Q199" s="17"/>
      <c r="R199" s="17"/>
      <c r="S199" s="15"/>
      <c r="T199" s="9">
        <f t="shared" si="9"/>
        <v>7</v>
      </c>
      <c r="U199" s="9">
        <v>3015</v>
      </c>
    </row>
    <row r="200" spans="2:21" x14ac:dyDescent="0.25">
      <c r="B200" s="8"/>
      <c r="C200" s="13">
        <f t="shared" si="4"/>
        <v>2498.7251517183713</v>
      </c>
      <c r="D200" s="8">
        <f t="shared" si="5"/>
        <v>1.988731443994602</v>
      </c>
      <c r="E200" s="8">
        <f t="shared" si="8"/>
        <v>12</v>
      </c>
      <c r="F200" s="11">
        <v>11.57</v>
      </c>
      <c r="I200" s="13">
        <f t="shared" si="6"/>
        <v>2498.7251517183713</v>
      </c>
      <c r="J200" s="8">
        <v>2446</v>
      </c>
      <c r="K200" s="13">
        <f t="shared" si="7"/>
        <v>52.725151718371308</v>
      </c>
      <c r="M200" s="15"/>
      <c r="N200" s="17"/>
      <c r="O200" s="18"/>
      <c r="P200" s="17"/>
      <c r="Q200" s="17"/>
      <c r="R200" s="17"/>
      <c r="S200" s="15"/>
      <c r="T200" s="8">
        <f t="shared" si="9"/>
        <v>8</v>
      </c>
      <c r="U200" s="14">
        <v>2913</v>
      </c>
    </row>
    <row r="201" spans="2:21" x14ac:dyDescent="0.25">
      <c r="B201" s="9"/>
      <c r="C201" s="13">
        <f t="shared" si="4"/>
        <v>2375.285263654654</v>
      </c>
      <c r="D201" s="8">
        <f t="shared" si="5"/>
        <v>1.8904858299595144</v>
      </c>
      <c r="E201" s="9">
        <f t="shared" si="8"/>
        <v>13</v>
      </c>
      <c r="F201" s="12">
        <v>12.59</v>
      </c>
      <c r="I201" s="13">
        <f t="shared" si="6"/>
        <v>2375.285263654654</v>
      </c>
      <c r="J201" s="9">
        <v>2323</v>
      </c>
      <c r="K201" s="13">
        <f t="shared" si="7"/>
        <v>52.285263654654045</v>
      </c>
      <c r="M201" s="15"/>
      <c r="N201" s="17"/>
      <c r="O201" s="18"/>
      <c r="P201" s="17"/>
      <c r="Q201" s="17"/>
      <c r="R201" s="17"/>
      <c r="S201" s="15"/>
      <c r="T201" s="9">
        <f t="shared" si="9"/>
        <v>9</v>
      </c>
      <c r="U201" s="9">
        <v>2804</v>
      </c>
    </row>
    <row r="202" spans="2:21" x14ac:dyDescent="0.25">
      <c r="B202" s="8"/>
      <c r="C202" s="13">
        <f t="shared" si="4"/>
        <v>2251.8453755909363</v>
      </c>
      <c r="D202" s="8">
        <f t="shared" si="5"/>
        <v>1.7922402159244266</v>
      </c>
      <c r="E202" s="8">
        <f t="shared" si="8"/>
        <v>14</v>
      </c>
      <c r="F202" s="11">
        <v>16.63</v>
      </c>
      <c r="I202" s="13">
        <f t="shared" si="6"/>
        <v>2251.8453755909363</v>
      </c>
      <c r="J202" s="8">
        <v>2207</v>
      </c>
      <c r="K202" s="13">
        <f t="shared" si="7"/>
        <v>44.845375590936328</v>
      </c>
      <c r="M202" s="15"/>
      <c r="N202" s="17"/>
      <c r="O202" s="18"/>
      <c r="P202" s="17"/>
      <c r="Q202" s="17"/>
      <c r="R202" s="17"/>
      <c r="S202" s="15"/>
      <c r="T202" s="8">
        <f t="shared" si="9"/>
        <v>10</v>
      </c>
      <c r="U202" s="8">
        <v>2684</v>
      </c>
    </row>
    <row r="203" spans="2:21" x14ac:dyDescent="0.25">
      <c r="B203" s="9"/>
      <c r="C203" s="13">
        <f t="shared" si="4"/>
        <v>2128.4054875272186</v>
      </c>
      <c r="D203" s="8">
        <f t="shared" si="5"/>
        <v>1.693994601889339</v>
      </c>
      <c r="E203" s="9">
        <f t="shared" si="8"/>
        <v>15</v>
      </c>
      <c r="F203" s="12">
        <v>14.78</v>
      </c>
      <c r="I203" s="13">
        <f t="shared" si="6"/>
        <v>2128.4054875272186</v>
      </c>
      <c r="J203" s="9">
        <v>2089</v>
      </c>
      <c r="K203" s="13">
        <f t="shared" si="7"/>
        <v>39.405487527218611</v>
      </c>
      <c r="M203" s="15"/>
      <c r="N203" s="17"/>
      <c r="O203" s="18"/>
      <c r="P203" s="17"/>
      <c r="Q203" s="17"/>
      <c r="R203" s="17"/>
      <c r="S203" s="15"/>
      <c r="T203" s="9">
        <f t="shared" si="9"/>
        <v>11</v>
      </c>
      <c r="U203" s="9">
        <v>2565</v>
      </c>
    </row>
    <row r="204" spans="2:21" x14ac:dyDescent="0.25">
      <c r="B204" s="8"/>
      <c r="C204" s="13">
        <f t="shared" si="4"/>
        <v>2004.9655994635011</v>
      </c>
      <c r="D204" s="8">
        <f t="shared" si="5"/>
        <v>1.5957489878542512</v>
      </c>
      <c r="E204" s="8">
        <f t="shared" si="8"/>
        <v>16</v>
      </c>
      <c r="F204" s="11">
        <v>15.8</v>
      </c>
      <c r="I204" s="13">
        <f t="shared" si="6"/>
        <v>2004.9655994635011</v>
      </c>
      <c r="J204" s="8">
        <v>1980</v>
      </c>
      <c r="K204" s="13">
        <f t="shared" si="7"/>
        <v>24.965599463501121</v>
      </c>
      <c r="M204" s="15"/>
      <c r="N204" s="17"/>
      <c r="O204" s="18"/>
      <c r="P204" s="17"/>
      <c r="Q204" s="17"/>
      <c r="R204" s="17"/>
      <c r="S204" s="15"/>
      <c r="T204" s="8">
        <f t="shared" si="9"/>
        <v>12</v>
      </c>
      <c r="U204" s="8">
        <v>2446</v>
      </c>
    </row>
    <row r="205" spans="2:21" x14ac:dyDescent="0.25">
      <c r="B205" s="9"/>
      <c r="C205" s="13">
        <f t="shared" si="4"/>
        <v>1881.5257113997834</v>
      </c>
      <c r="D205" s="8">
        <f t="shared" si="5"/>
        <v>1.4975033738191634</v>
      </c>
      <c r="E205" s="9">
        <f t="shared" si="8"/>
        <v>17</v>
      </c>
      <c r="F205" s="12">
        <v>16.8</v>
      </c>
      <c r="I205" s="13">
        <f t="shared" si="6"/>
        <v>1881.5257113997834</v>
      </c>
      <c r="J205" s="9">
        <v>1858</v>
      </c>
      <c r="K205" s="13">
        <f t="shared" si="7"/>
        <v>23.525711399783404</v>
      </c>
      <c r="M205" s="15"/>
      <c r="N205" s="17"/>
      <c r="O205" s="18"/>
      <c r="P205" s="17"/>
      <c r="Q205" s="17"/>
      <c r="R205" s="17"/>
      <c r="S205" s="15"/>
      <c r="T205" s="9">
        <f t="shared" si="9"/>
        <v>13</v>
      </c>
      <c r="U205" s="9">
        <v>2323</v>
      </c>
    </row>
    <row r="206" spans="2:21" x14ac:dyDescent="0.25">
      <c r="B206" s="8"/>
      <c r="C206" s="13">
        <f>D206*4096/3.26</f>
        <v>1758.0858233360659</v>
      </c>
      <c r="D206" s="8">
        <f t="shared" si="5"/>
        <v>1.3992577597840758</v>
      </c>
      <c r="E206" s="8">
        <f t="shared" si="8"/>
        <v>18</v>
      </c>
      <c r="F206" s="11">
        <v>17.809999999999999</v>
      </c>
      <c r="I206" s="13">
        <f t="shared" si="6"/>
        <v>1758.0858233360659</v>
      </c>
      <c r="J206" s="41">
        <v>1735</v>
      </c>
      <c r="K206" s="13">
        <f t="shared" si="7"/>
        <v>23.085823336065914</v>
      </c>
      <c r="M206" s="15"/>
      <c r="N206" s="17"/>
      <c r="O206" s="18"/>
      <c r="P206" s="17"/>
      <c r="Q206" s="17"/>
      <c r="R206" s="17"/>
      <c r="S206" s="15"/>
      <c r="T206" s="8">
        <f t="shared" si="9"/>
        <v>14</v>
      </c>
      <c r="U206" s="8">
        <v>2207</v>
      </c>
    </row>
    <row r="207" spans="2:21" x14ac:dyDescent="0.25">
      <c r="B207" s="9"/>
      <c r="C207" s="13">
        <f t="shared" si="4"/>
        <v>1634.6459352723482</v>
      </c>
      <c r="D207" s="8">
        <f t="shared" si="5"/>
        <v>1.301012145748988</v>
      </c>
      <c r="E207" s="9">
        <f t="shared" si="8"/>
        <v>19</v>
      </c>
      <c r="F207" s="12">
        <v>18.84</v>
      </c>
      <c r="I207" s="13">
        <f t="shared" si="6"/>
        <v>1634.6459352723482</v>
      </c>
      <c r="J207" s="9">
        <v>1615</v>
      </c>
      <c r="K207" s="13">
        <f t="shared" si="7"/>
        <v>19.645935272348197</v>
      </c>
      <c r="M207" s="15"/>
      <c r="N207" s="17"/>
      <c r="O207" s="18"/>
      <c r="P207" s="17"/>
      <c r="Q207" s="17"/>
      <c r="R207" s="17"/>
      <c r="S207" s="15"/>
      <c r="T207" s="9">
        <f t="shared" si="9"/>
        <v>15</v>
      </c>
      <c r="U207" s="9">
        <v>2089</v>
      </c>
    </row>
    <row r="208" spans="2:21" x14ac:dyDescent="0.25">
      <c r="B208" s="8"/>
      <c r="C208" s="13">
        <f t="shared" si="4"/>
        <v>1511.2060472086309</v>
      </c>
      <c r="D208" s="8">
        <f t="shared" si="5"/>
        <v>1.2027665317139005</v>
      </c>
      <c r="E208" s="8">
        <f t="shared" si="8"/>
        <v>20</v>
      </c>
      <c r="F208" s="11">
        <v>19.850000000000001</v>
      </c>
      <c r="I208" s="13">
        <f t="shared" si="6"/>
        <v>1511.2060472086309</v>
      </c>
      <c r="J208" s="8">
        <v>1495</v>
      </c>
      <c r="K208" s="13">
        <f t="shared" si="7"/>
        <v>16.206047208630935</v>
      </c>
      <c r="M208" s="15"/>
      <c r="N208" s="17"/>
      <c r="O208" s="18"/>
      <c r="P208" s="17"/>
      <c r="Q208" s="17"/>
      <c r="R208" s="17"/>
      <c r="S208" s="15"/>
      <c r="T208" s="8">
        <f t="shared" si="9"/>
        <v>16</v>
      </c>
      <c r="U208" s="8">
        <v>1980</v>
      </c>
    </row>
    <row r="209" spans="2:25" x14ac:dyDescent="0.25">
      <c r="B209" s="9"/>
      <c r="C209" s="13">
        <f t="shared" si="4"/>
        <v>1387.766159144913</v>
      </c>
      <c r="D209" s="8">
        <f t="shared" si="5"/>
        <v>1.1045209176788124</v>
      </c>
      <c r="E209" s="9">
        <f t="shared" si="8"/>
        <v>21</v>
      </c>
      <c r="F209" s="12">
        <v>20.8</v>
      </c>
      <c r="I209" s="13">
        <f t="shared" si="6"/>
        <v>1387.766159144913</v>
      </c>
      <c r="J209" s="9">
        <v>1355</v>
      </c>
      <c r="K209" s="13">
        <f t="shared" si="7"/>
        <v>32.76615914491299</v>
      </c>
      <c r="M209" s="15"/>
      <c r="N209" s="17"/>
      <c r="O209" s="18"/>
      <c r="P209" s="17"/>
      <c r="Q209" s="17"/>
      <c r="R209" s="17"/>
      <c r="S209" s="15"/>
      <c r="T209" s="9">
        <f t="shared" si="9"/>
        <v>17</v>
      </c>
      <c r="U209" s="9">
        <v>1858</v>
      </c>
    </row>
    <row r="210" spans="2:25" x14ac:dyDescent="0.25">
      <c r="B210" s="8"/>
      <c r="C210" s="13">
        <f t="shared" si="4"/>
        <v>1264.3262710811955</v>
      </c>
      <c r="D210" s="8">
        <f t="shared" si="5"/>
        <v>1.0062753036437249</v>
      </c>
      <c r="E210" s="8">
        <f t="shared" si="8"/>
        <v>22</v>
      </c>
      <c r="F210" s="11">
        <v>21.8</v>
      </c>
      <c r="I210" s="13">
        <f t="shared" si="6"/>
        <v>1264.3262710811955</v>
      </c>
      <c r="J210" s="8">
        <v>1235</v>
      </c>
      <c r="K210" s="13">
        <f t="shared" si="7"/>
        <v>29.3262710811955</v>
      </c>
      <c r="M210" s="15"/>
      <c r="N210" s="17">
        <v>3363</v>
      </c>
      <c r="O210" s="18">
        <f>0.000008*N210^2 + 0.002*N210 + 1.1844</f>
        <v>98.38855199999999</v>
      </c>
      <c r="P210" s="17"/>
      <c r="Q210" s="17"/>
      <c r="R210" s="17"/>
      <c r="S210" s="15"/>
      <c r="T210" s="8">
        <f t="shared" si="9"/>
        <v>18</v>
      </c>
      <c r="U210" s="41">
        <v>1735</v>
      </c>
      <c r="X210">
        <v>15</v>
      </c>
      <c r="Y210">
        <f>0.0022 * X210^3 - 0.2174 * X210^2 - 114.33 * X210 + 3842.7</f>
        <v>2086.2599999999998</v>
      </c>
    </row>
    <row r="211" spans="2:25" x14ac:dyDescent="0.25">
      <c r="B211" s="9"/>
      <c r="C211" s="13">
        <f t="shared" si="4"/>
        <v>1140.886383017478</v>
      </c>
      <c r="D211" s="8">
        <f t="shared" si="5"/>
        <v>0.90802968960863728</v>
      </c>
      <c r="E211" s="9">
        <f t="shared" si="8"/>
        <v>23</v>
      </c>
      <c r="F211" s="12">
        <v>22.8</v>
      </c>
      <c r="I211" s="13">
        <f t="shared" si="6"/>
        <v>1140.886383017478</v>
      </c>
      <c r="J211" s="9">
        <v>1119</v>
      </c>
      <c r="K211" s="13">
        <f t="shared" si="7"/>
        <v>21.886383017478011</v>
      </c>
      <c r="M211" s="15"/>
      <c r="N211" s="17"/>
      <c r="O211" s="18"/>
      <c r="P211" s="17"/>
      <c r="Q211" s="17"/>
      <c r="R211" s="17"/>
      <c r="S211" s="15"/>
      <c r="T211" s="9">
        <f t="shared" si="9"/>
        <v>19</v>
      </c>
      <c r="U211" s="9">
        <v>1615</v>
      </c>
    </row>
    <row r="212" spans="2:25" x14ac:dyDescent="0.25">
      <c r="B212" s="8"/>
      <c r="C212" s="13">
        <f t="shared" si="4"/>
        <v>1017.4464949537601</v>
      </c>
      <c r="D212" s="8">
        <f t="shared" si="5"/>
        <v>0.80978407557354926</v>
      </c>
      <c r="E212" s="8">
        <f t="shared" si="8"/>
        <v>24</v>
      </c>
      <c r="F212" s="11">
        <v>23.9</v>
      </c>
      <c r="I212" s="13">
        <f t="shared" si="6"/>
        <v>1017.4464949537601</v>
      </c>
      <c r="J212" s="8">
        <v>994</v>
      </c>
      <c r="K212" s="13">
        <f t="shared" si="7"/>
        <v>23.446494953760066</v>
      </c>
      <c r="M212" s="15"/>
      <c r="N212" s="17"/>
      <c r="O212" s="18"/>
      <c r="P212" s="17"/>
      <c r="Q212" s="17"/>
      <c r="R212" s="17"/>
      <c r="S212" s="15"/>
      <c r="T212" s="8">
        <f t="shared" si="9"/>
        <v>20</v>
      </c>
      <c r="U212" s="8">
        <v>1495</v>
      </c>
    </row>
    <row r="213" spans="2:25" x14ac:dyDescent="0.25">
      <c r="B213" s="9"/>
      <c r="C213" s="13">
        <f t="shared" si="4"/>
        <v>894.00660689004269</v>
      </c>
      <c r="D213" s="8">
        <f t="shared" si="5"/>
        <v>0.71153846153846168</v>
      </c>
      <c r="E213" s="9">
        <f t="shared" si="8"/>
        <v>25</v>
      </c>
      <c r="F213" s="12">
        <v>24.9</v>
      </c>
      <c r="I213" s="13">
        <f t="shared" si="6"/>
        <v>894.00660689004269</v>
      </c>
      <c r="J213" s="9">
        <v>877</v>
      </c>
      <c r="K213" s="13">
        <f t="shared" si="7"/>
        <v>17.00660689004269</v>
      </c>
      <c r="M213" s="15"/>
      <c r="N213" s="17"/>
      <c r="O213" s="18"/>
      <c r="P213" s="17"/>
      <c r="Q213" s="17"/>
      <c r="R213" s="17"/>
      <c r="S213" s="15"/>
      <c r="T213" s="9">
        <f t="shared" si="9"/>
        <v>21</v>
      </c>
      <c r="U213" s="9">
        <v>1355</v>
      </c>
    </row>
    <row r="214" spans="2:25" x14ac:dyDescent="0.25">
      <c r="B214" s="8"/>
      <c r="C214" s="13">
        <f t="shared" si="4"/>
        <v>770.56671882632531</v>
      </c>
      <c r="D214" s="8">
        <f t="shared" si="5"/>
        <v>0.61329284750337409</v>
      </c>
      <c r="E214" s="8">
        <f t="shared" si="8"/>
        <v>26</v>
      </c>
      <c r="F214" s="11">
        <v>25.9</v>
      </c>
      <c r="I214" s="13">
        <f t="shared" si="6"/>
        <v>770.56671882632531</v>
      </c>
      <c r="J214" s="8">
        <v>761</v>
      </c>
      <c r="K214" s="13">
        <f t="shared" si="7"/>
        <v>9.5667188263253138</v>
      </c>
      <c r="M214" s="15"/>
      <c r="N214" s="17"/>
      <c r="O214" s="18"/>
      <c r="P214" s="17"/>
      <c r="Q214" s="17"/>
      <c r="R214" s="17"/>
      <c r="S214" s="15"/>
      <c r="T214" s="8">
        <f t="shared" si="9"/>
        <v>22</v>
      </c>
      <c r="U214" s="8">
        <v>1235</v>
      </c>
    </row>
    <row r="215" spans="2:25" x14ac:dyDescent="0.25">
      <c r="B215" s="9"/>
      <c r="C215" s="13">
        <f t="shared" si="4"/>
        <v>647.12683076260794</v>
      </c>
      <c r="D215" s="8">
        <f t="shared" si="5"/>
        <v>0.51504723346828651</v>
      </c>
      <c r="E215" s="9">
        <f t="shared" si="8"/>
        <v>27</v>
      </c>
      <c r="F215" s="12">
        <v>26.9</v>
      </c>
      <c r="I215" s="13">
        <f t="shared" si="6"/>
        <v>647.12683076260794</v>
      </c>
      <c r="J215" s="9">
        <v>637</v>
      </c>
      <c r="K215" s="13">
        <f t="shared" si="7"/>
        <v>10.126830762607938</v>
      </c>
      <c r="M215" s="15"/>
      <c r="N215" s="17"/>
      <c r="O215" s="18"/>
      <c r="P215" s="17"/>
      <c r="Q215" s="17"/>
      <c r="R215" s="17"/>
      <c r="S215" s="15"/>
      <c r="T215" s="9">
        <f t="shared" si="9"/>
        <v>23</v>
      </c>
      <c r="U215" s="9">
        <v>1119</v>
      </c>
    </row>
    <row r="216" spans="2:25" x14ac:dyDescent="0.25">
      <c r="B216" s="8"/>
      <c r="C216" s="13">
        <f t="shared" si="4"/>
        <v>523.68694269888988</v>
      </c>
      <c r="D216" s="8">
        <f t="shared" si="5"/>
        <v>0.41680161943319849</v>
      </c>
      <c r="E216" s="8">
        <f t="shared" si="8"/>
        <v>28</v>
      </c>
      <c r="F216" s="11">
        <v>28</v>
      </c>
      <c r="I216" s="13">
        <f t="shared" si="6"/>
        <v>523.68694269888988</v>
      </c>
      <c r="J216" s="8">
        <v>520</v>
      </c>
      <c r="K216" s="13">
        <f t="shared" si="7"/>
        <v>3.6869426988898795</v>
      </c>
      <c r="M216" s="15"/>
      <c r="N216" s="17"/>
      <c r="O216" s="18"/>
      <c r="P216" s="17"/>
      <c r="Q216" s="17"/>
      <c r="R216" s="17"/>
      <c r="S216" s="15"/>
      <c r="T216" s="8">
        <f t="shared" si="9"/>
        <v>24</v>
      </c>
      <c r="U216" s="8">
        <v>994</v>
      </c>
    </row>
    <row r="217" spans="2:25" x14ac:dyDescent="0.25">
      <c r="B217" s="9"/>
      <c r="C217" s="13">
        <f t="shared" si="4"/>
        <v>400.2470546351725</v>
      </c>
      <c r="D217" s="8">
        <f t="shared" si="5"/>
        <v>0.31855600539811091</v>
      </c>
      <c r="E217" s="9">
        <f t="shared" si="8"/>
        <v>29</v>
      </c>
      <c r="F217" s="12">
        <v>29</v>
      </c>
      <c r="I217" s="13">
        <f t="shared" si="6"/>
        <v>400.2470546351725</v>
      </c>
      <c r="J217" s="9">
        <v>400</v>
      </c>
      <c r="K217" s="13">
        <f t="shared" si="7"/>
        <v>0.24705463517250337</v>
      </c>
      <c r="M217" s="15"/>
      <c r="N217" s="17"/>
      <c r="O217" s="18"/>
      <c r="P217" s="17"/>
      <c r="Q217" s="17"/>
      <c r="R217" s="17"/>
      <c r="S217" s="15"/>
      <c r="T217" s="9">
        <f t="shared" si="9"/>
        <v>25</v>
      </c>
      <c r="U217" s="9">
        <v>877</v>
      </c>
    </row>
    <row r="218" spans="2:25" x14ac:dyDescent="0.25">
      <c r="B218" s="8"/>
      <c r="C218" s="13">
        <f t="shared" si="4"/>
        <v>276.80716657145507</v>
      </c>
      <c r="D218" s="8">
        <f t="shared" si="5"/>
        <v>0.22031039136302333</v>
      </c>
      <c r="E218" s="8">
        <f>E217+1</f>
        <v>30</v>
      </c>
      <c r="F218" s="11">
        <v>30</v>
      </c>
      <c r="I218" s="13">
        <f t="shared" si="6"/>
        <v>276.80716657145507</v>
      </c>
      <c r="J218" s="13">
        <v>290</v>
      </c>
      <c r="K218" s="13">
        <f t="shared" si="7"/>
        <v>-13.19283342854493</v>
      </c>
      <c r="M218" s="15"/>
      <c r="N218" s="17"/>
      <c r="O218" s="18"/>
      <c r="P218" s="17"/>
      <c r="Q218" s="17"/>
      <c r="R218" s="17"/>
      <c r="S218" s="15"/>
      <c r="T218" s="8">
        <f t="shared" si="9"/>
        <v>26</v>
      </c>
      <c r="U218" s="8">
        <v>761</v>
      </c>
    </row>
    <row r="219" spans="2:25" x14ac:dyDescent="0.25">
      <c r="M219" s="15"/>
      <c r="N219" s="15"/>
      <c r="O219" s="15"/>
      <c r="P219" s="15"/>
      <c r="Q219" s="15"/>
      <c r="R219" s="15"/>
      <c r="S219" s="15"/>
      <c r="T219" s="9">
        <f t="shared" si="9"/>
        <v>27</v>
      </c>
      <c r="U219" s="9">
        <v>637</v>
      </c>
    </row>
    <row r="220" spans="2:25" x14ac:dyDescent="0.25">
      <c r="M220" s="15"/>
      <c r="N220" s="15"/>
      <c r="O220" s="15"/>
      <c r="P220" s="15"/>
      <c r="Q220" s="15"/>
      <c r="R220" s="15"/>
      <c r="S220" s="15"/>
      <c r="T220" s="8">
        <f t="shared" si="9"/>
        <v>28</v>
      </c>
      <c r="U220" s="8">
        <v>520</v>
      </c>
    </row>
    <row r="221" spans="2:25" x14ac:dyDescent="0.25">
      <c r="B221" t="s">
        <v>41</v>
      </c>
      <c r="T221" s="9">
        <f t="shared" si="9"/>
        <v>29</v>
      </c>
      <c r="U221" s="9">
        <v>400</v>
      </c>
    </row>
    <row r="222" spans="2:25" x14ac:dyDescent="0.25">
      <c r="J222" s="21"/>
      <c r="K222" s="21"/>
      <c r="L222" s="21"/>
      <c r="T222" s="8">
        <f>T221+1</f>
        <v>30</v>
      </c>
      <c r="U222" s="13">
        <v>290</v>
      </c>
    </row>
    <row r="223" spans="2:25" x14ac:dyDescent="0.25">
      <c r="B223" t="s">
        <v>29</v>
      </c>
      <c r="C223">
        <v>48</v>
      </c>
      <c r="D223" t="s">
        <v>30</v>
      </c>
      <c r="F223" t="s">
        <v>29</v>
      </c>
      <c r="G223">
        <f>C223</f>
        <v>48</v>
      </c>
      <c r="H223" t="s">
        <v>30</v>
      </c>
      <c r="J223" s="21" t="s">
        <v>29</v>
      </c>
      <c r="K223" s="21">
        <f>G223</f>
        <v>48</v>
      </c>
      <c r="L223" s="21" t="s">
        <v>30</v>
      </c>
    </row>
    <row r="224" spans="2:25" x14ac:dyDescent="0.25">
      <c r="B224" t="s">
        <v>31</v>
      </c>
      <c r="C224" s="28">
        <v>24</v>
      </c>
      <c r="F224" t="s">
        <v>31</v>
      </c>
      <c r="G224" s="28">
        <v>24</v>
      </c>
      <c r="J224" s="21" t="s">
        <v>31</v>
      </c>
      <c r="K224" s="21">
        <v>24</v>
      </c>
      <c r="L224" s="21"/>
    </row>
    <row r="225" spans="2:12" x14ac:dyDescent="0.25">
      <c r="B225" t="s">
        <v>33</v>
      </c>
      <c r="C225">
        <f>C223*1000/C224</f>
        <v>2000</v>
      </c>
      <c r="D225" t="s">
        <v>37</v>
      </c>
      <c r="F225" t="s">
        <v>33</v>
      </c>
      <c r="G225">
        <f>G223*1000/G224</f>
        <v>2000</v>
      </c>
      <c r="H225" t="s">
        <v>37</v>
      </c>
      <c r="J225" s="21" t="s">
        <v>33</v>
      </c>
      <c r="K225" s="21">
        <f>K223*1000/K224</f>
        <v>2000</v>
      </c>
      <c r="L225" s="21" t="s">
        <v>37</v>
      </c>
    </row>
    <row r="226" spans="2:12" x14ac:dyDescent="0.25">
      <c r="B226" t="s">
        <v>34</v>
      </c>
      <c r="C226" s="32">
        <f>1/(C225*1000)</f>
        <v>4.9999999999999998E-7</v>
      </c>
      <c r="D226" t="s">
        <v>35</v>
      </c>
      <c r="F226" t="s">
        <v>34</v>
      </c>
      <c r="G226" s="32">
        <f>1/(G225*1000)</f>
        <v>4.9999999999999998E-7</v>
      </c>
      <c r="H226" t="s">
        <v>35</v>
      </c>
      <c r="J226" s="21" t="s">
        <v>34</v>
      </c>
      <c r="K226" s="38">
        <f>1/(K225*1000)</f>
        <v>4.9999999999999998E-7</v>
      </c>
      <c r="L226" s="21" t="s">
        <v>35</v>
      </c>
    </row>
    <row r="227" spans="2:12" x14ac:dyDescent="0.25">
      <c r="B227" t="s">
        <v>38</v>
      </c>
      <c r="C227" s="28">
        <v>500</v>
      </c>
      <c r="D227" s="35"/>
      <c r="F227" t="s">
        <v>38</v>
      </c>
      <c r="G227" s="36">
        <v>20000</v>
      </c>
      <c r="H227" s="35"/>
      <c r="J227" s="21" t="s">
        <v>38</v>
      </c>
      <c r="K227" s="40">
        <f>K232/K226</f>
        <v>1000.0000000000001</v>
      </c>
      <c r="L227" s="21"/>
    </row>
    <row r="228" spans="2:12" x14ac:dyDescent="0.25">
      <c r="J228" s="21"/>
      <c r="K228" s="21"/>
      <c r="L228" s="21"/>
    </row>
    <row r="229" spans="2:12" x14ac:dyDescent="0.25">
      <c r="J229" s="21"/>
      <c r="K229" s="21"/>
      <c r="L229" s="21"/>
    </row>
    <row r="230" spans="2:12" x14ac:dyDescent="0.25">
      <c r="J230" s="21"/>
      <c r="K230" s="21"/>
      <c r="L230" s="21"/>
    </row>
    <row r="231" spans="2:12" x14ac:dyDescent="0.25">
      <c r="J231" s="21"/>
      <c r="K231" s="21"/>
      <c r="L231" s="21"/>
    </row>
    <row r="232" spans="2:12" x14ac:dyDescent="0.25">
      <c r="B232" t="s">
        <v>36</v>
      </c>
      <c r="C232" s="32">
        <f>C226*C227</f>
        <v>2.5000000000000001E-4</v>
      </c>
      <c r="D232" t="s">
        <v>35</v>
      </c>
      <c r="F232" t="s">
        <v>36</v>
      </c>
      <c r="G232" s="32">
        <f>G226*G227</f>
        <v>0.01</v>
      </c>
      <c r="H232" t="s">
        <v>35</v>
      </c>
      <c r="J232" s="21" t="s">
        <v>36</v>
      </c>
      <c r="K232" s="38">
        <f>1/(K233*1000)</f>
        <v>5.0000000000000001E-4</v>
      </c>
      <c r="L232" s="21" t="s">
        <v>35</v>
      </c>
    </row>
    <row r="233" spans="2:12" x14ac:dyDescent="0.25">
      <c r="B233" s="33" t="s">
        <v>39</v>
      </c>
      <c r="C233" s="34">
        <f>1/(C232*1000)</f>
        <v>4</v>
      </c>
      <c r="D233" s="33" t="s">
        <v>37</v>
      </c>
      <c r="F233" s="36" t="s">
        <v>40</v>
      </c>
      <c r="G233" s="37">
        <f>1/(G232*1000)</f>
        <v>0.1</v>
      </c>
      <c r="H233" s="36" t="s">
        <v>37</v>
      </c>
      <c r="J233" s="21" t="s">
        <v>46</v>
      </c>
      <c r="K233" s="39">
        <v>2</v>
      </c>
      <c r="L233" s="39" t="s">
        <v>45</v>
      </c>
    </row>
    <row r="236" spans="2:12" x14ac:dyDescent="0.25">
      <c r="E236" s="32"/>
    </row>
    <row r="237" spans="2:12" x14ac:dyDescent="0.25">
      <c r="C237" t="s">
        <v>42</v>
      </c>
      <c r="D237">
        <v>5000</v>
      </c>
      <c r="E237" t="s">
        <v>32</v>
      </c>
    </row>
    <row r="238" spans="2:12" x14ac:dyDescent="0.25">
      <c r="C238" t="s">
        <v>44</v>
      </c>
      <c r="D238">
        <f>((D237 - 100) / (10000 - 100)) * (200 - 20000) + 20000</f>
        <v>10200</v>
      </c>
      <c r="E238" t="s">
        <v>43</v>
      </c>
    </row>
    <row r="241" spans="6:13" x14ac:dyDescent="0.25">
      <c r="F241">
        <v>1</v>
      </c>
    </row>
    <row r="242" spans="6:13" x14ac:dyDescent="0.25">
      <c r="F242">
        <v>1.8</v>
      </c>
      <c r="G242">
        <v>2200</v>
      </c>
    </row>
    <row r="243" spans="6:13" x14ac:dyDescent="0.25">
      <c r="F243">
        <v>3.3</v>
      </c>
      <c r="G243">
        <v>2100</v>
      </c>
    </row>
    <row r="244" spans="6:13" x14ac:dyDescent="0.25">
      <c r="F244">
        <v>5</v>
      </c>
      <c r="G244">
        <v>2000</v>
      </c>
    </row>
    <row r="245" spans="6:13" x14ac:dyDescent="0.25">
      <c r="F245">
        <v>9</v>
      </c>
      <c r="G245">
        <v>1250</v>
      </c>
    </row>
    <row r="246" spans="6:13" x14ac:dyDescent="0.25">
      <c r="F246">
        <v>12</v>
      </c>
      <c r="G246">
        <v>1000</v>
      </c>
    </row>
    <row r="247" spans="6:13" x14ac:dyDescent="0.25">
      <c r="F247">
        <v>15</v>
      </c>
      <c r="G247">
        <v>750</v>
      </c>
    </row>
    <row r="248" spans="6:13" x14ac:dyDescent="0.25">
      <c r="F248">
        <v>24</v>
      </c>
      <c r="G248">
        <v>500</v>
      </c>
    </row>
    <row r="249" spans="6:13" x14ac:dyDescent="0.25">
      <c r="F249">
        <v>30</v>
      </c>
      <c r="G249">
        <v>250</v>
      </c>
    </row>
    <row r="252" spans="6:13" x14ac:dyDescent="0.25">
      <c r="F252">
        <v>2.5</v>
      </c>
      <c r="G252">
        <v>2100</v>
      </c>
    </row>
    <row r="253" spans="6:13" x14ac:dyDescent="0.25">
      <c r="F253">
        <v>3.8</v>
      </c>
      <c r="G253">
        <v>2050</v>
      </c>
    </row>
    <row r="254" spans="6:13" x14ac:dyDescent="0.25">
      <c r="F254">
        <v>7</v>
      </c>
      <c r="G254">
        <v>2000</v>
      </c>
      <c r="K254">
        <v>15</v>
      </c>
      <c r="M254">
        <f>-0.032*K254^4 + 2.1224*K254^3 - 43.522*K254^2 + 210.64*K254 + 1813.9</f>
        <v>724.15000000000055</v>
      </c>
    </row>
    <row r="255" spans="6:13" x14ac:dyDescent="0.25">
      <c r="F255">
        <v>9.5</v>
      </c>
      <c r="G255">
        <v>1250</v>
      </c>
    </row>
    <row r="256" spans="6:13" x14ac:dyDescent="0.25">
      <c r="F256">
        <v>12.5</v>
      </c>
      <c r="G256">
        <v>1000</v>
      </c>
    </row>
    <row r="257" spans="6:7" x14ac:dyDescent="0.25">
      <c r="F257">
        <v>15.5</v>
      </c>
      <c r="G257">
        <v>750</v>
      </c>
    </row>
    <row r="258" spans="6:7" x14ac:dyDescent="0.25">
      <c r="F258">
        <v>24.5</v>
      </c>
      <c r="G258">
        <v>500</v>
      </c>
    </row>
    <row r="259" spans="6:7" x14ac:dyDescent="0.25">
      <c r="F259">
        <v>30.5</v>
      </c>
      <c r="G259">
        <v>250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2023-10-26T02:29:45Z</dcterms:modified>
</cp:coreProperties>
</file>