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MBA\TERM-3 (COLORS TERM)\entrepreneurial finance\"/>
    </mc:Choice>
  </mc:AlternateContent>
  <xr:revisionPtr revIDLastSave="0" documentId="13_ncr:1_{21D5CF8D-E0E8-4942-B043-4A2A0F1F40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umption Sheet" sheetId="2" r:id="rId1"/>
    <sheet name="Financial Model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4" l="1"/>
  <c r="D58" i="4"/>
  <c r="C46" i="4"/>
  <c r="B42" i="4"/>
  <c r="H6" i="4"/>
  <c r="G6" i="4"/>
  <c r="F6" i="4"/>
  <c r="E6" i="4"/>
  <c r="D6" i="4"/>
  <c r="D12" i="4" l="1"/>
  <c r="E12" i="4" s="1"/>
  <c r="B6" i="4"/>
  <c r="D66" i="4"/>
  <c r="E66" i="4"/>
  <c r="F66" i="4"/>
  <c r="G66" i="4"/>
  <c r="H66" i="4"/>
  <c r="D15" i="4" l="1"/>
  <c r="E15" i="4" s="1"/>
  <c r="F15" i="4" s="1"/>
  <c r="G15" i="4" s="1"/>
  <c r="H15" i="4" s="1"/>
  <c r="D14" i="4"/>
  <c r="E14" i="4" s="1"/>
  <c r="F14" i="4" s="1"/>
  <c r="G14" i="4" s="1"/>
  <c r="H14" i="4" s="1"/>
  <c r="B25" i="4"/>
  <c r="E2" i="4"/>
  <c r="F2" i="4"/>
  <c r="G2" i="4"/>
  <c r="H2" i="4" s="1"/>
  <c r="D2" i="4"/>
  <c r="B15" i="4" l="1"/>
  <c r="D25" i="4" l="1"/>
  <c r="E25" i="4" s="1"/>
  <c r="F25" i="4" s="1"/>
  <c r="G25" i="4" s="1"/>
  <c r="H25" i="4" s="1"/>
  <c r="C98" i="4" l="1"/>
  <c r="C97" i="4"/>
  <c r="C85" i="4"/>
  <c r="C88" i="4" l="1"/>
  <c r="D110" i="4"/>
  <c r="B34" i="4"/>
  <c r="B67" i="4" s="1"/>
  <c r="E118" i="4" l="1"/>
  <c r="F118" i="4"/>
  <c r="G118" i="4"/>
  <c r="H118" i="4"/>
  <c r="D118" i="4"/>
  <c r="F110" i="4"/>
  <c r="G110" i="4"/>
  <c r="H110" i="4"/>
  <c r="E110" i="4"/>
  <c r="E93" i="4" l="1"/>
  <c r="E94" i="4" s="1"/>
  <c r="F93" i="4"/>
  <c r="F94" i="4" s="1"/>
  <c r="G93" i="4"/>
  <c r="G94" i="4" s="1"/>
  <c r="H93" i="4"/>
  <c r="H94" i="4" s="1"/>
  <c r="D93" i="4"/>
  <c r="D94" i="4" s="1"/>
  <c r="C100" i="4" l="1"/>
  <c r="C47" i="4"/>
  <c r="C86" i="4" s="1"/>
  <c r="C57" i="4"/>
  <c r="B53" i="4"/>
  <c r="C87" i="4" l="1"/>
  <c r="C89" i="4" s="1"/>
  <c r="C99" i="4"/>
  <c r="C101" i="4" s="1"/>
  <c r="C62" i="4"/>
  <c r="C60" i="4"/>
  <c r="D56" i="4" s="1"/>
  <c r="D60" i="4" l="1"/>
  <c r="E58" i="4"/>
  <c r="F58" i="4" s="1"/>
  <c r="G58" i="4" s="1"/>
  <c r="H58" i="4" s="1"/>
  <c r="B52" i="4"/>
  <c r="D59" i="4" s="1"/>
  <c r="D32" i="4" s="1"/>
  <c r="B51" i="4"/>
  <c r="B43" i="4"/>
  <c r="B4" i="2"/>
  <c r="D62" i="4" l="1"/>
  <c r="C92" i="4"/>
  <c r="C94" i="4" s="1"/>
  <c r="C103" i="4" s="1"/>
  <c r="C105" i="4" s="1"/>
  <c r="D104" i="4" s="1"/>
  <c r="B78" i="4"/>
  <c r="B73" i="4"/>
  <c r="D100" i="4"/>
  <c r="C48" i="4"/>
  <c r="D45" i="4" s="1"/>
  <c r="B7" i="4"/>
  <c r="D7" i="4" s="1"/>
  <c r="E7" i="4" s="1"/>
  <c r="F7" i="4" s="1"/>
  <c r="G7" i="4" s="1"/>
  <c r="H7" i="4" s="1"/>
  <c r="D47" i="4" l="1"/>
  <c r="D30" i="4" s="1"/>
  <c r="D117" i="4"/>
  <c r="D119" i="4" s="1"/>
  <c r="D112" i="4"/>
  <c r="D23" i="4"/>
  <c r="D22" i="4"/>
  <c r="D9" i="4"/>
  <c r="D39" i="4" s="1"/>
  <c r="D68" i="4" s="1"/>
  <c r="B23" i="4"/>
  <c r="B22" i="4"/>
  <c r="D13" i="4"/>
  <c r="E13" i="4" s="1"/>
  <c r="F13" i="4" s="1"/>
  <c r="G13" i="4" s="1"/>
  <c r="H13" i="4" s="1"/>
  <c r="B14" i="4"/>
  <c r="B13" i="4"/>
  <c r="B12" i="4"/>
  <c r="D48" i="4" l="1"/>
  <c r="E45" i="4" s="1"/>
  <c r="E47" i="4" s="1"/>
  <c r="D27" i="4"/>
  <c r="B27" i="4"/>
  <c r="B16" i="4"/>
  <c r="B17" i="4" s="1"/>
  <c r="E9" i="4"/>
  <c r="E39" i="4" s="1"/>
  <c r="E68" i="4" s="1"/>
  <c r="E88" i="4" s="1"/>
  <c r="D16" i="4"/>
  <c r="E16" i="4" s="1"/>
  <c r="F16" i="4" s="1"/>
  <c r="G16" i="4" s="1"/>
  <c r="H16" i="4" s="1"/>
  <c r="H9" i="4"/>
  <c r="H39" i="4" s="1"/>
  <c r="H124" i="4" s="1"/>
  <c r="F9" i="4"/>
  <c r="F39" i="4" s="1"/>
  <c r="D88" i="4"/>
  <c r="G9" i="4"/>
  <c r="G39" i="4" s="1"/>
  <c r="D99" i="4"/>
  <c r="D101" i="4" s="1"/>
  <c r="D87" i="4"/>
  <c r="D120" i="4"/>
  <c r="D121" i="4" s="1"/>
  <c r="D86" i="4"/>
  <c r="E117" i="4"/>
  <c r="E119" i="4" s="1"/>
  <c r="E56" i="4"/>
  <c r="D74" i="4"/>
  <c r="D79" i="4"/>
  <c r="B9" i="4"/>
  <c r="E23" i="4"/>
  <c r="F23" i="4" s="1"/>
  <c r="G23" i="4" s="1"/>
  <c r="H23" i="4" s="1"/>
  <c r="E22" i="4"/>
  <c r="F12" i="4"/>
  <c r="G12" i="4" s="1"/>
  <c r="H12" i="4" s="1"/>
  <c r="B19" i="4" l="1"/>
  <c r="B29" i="4" s="1"/>
  <c r="E86" i="4"/>
  <c r="E30" i="4"/>
  <c r="E27" i="4"/>
  <c r="E100" i="4"/>
  <c r="E59" i="4"/>
  <c r="E87" i="4" s="1"/>
  <c r="E124" i="4"/>
  <c r="F124" i="4"/>
  <c r="H68" i="4"/>
  <c r="H88" i="4" s="1"/>
  <c r="F68" i="4"/>
  <c r="F88" i="4" s="1"/>
  <c r="G124" i="4"/>
  <c r="G68" i="4"/>
  <c r="G88" i="4" s="1"/>
  <c r="E17" i="4"/>
  <c r="E120" i="4"/>
  <c r="E121" i="4" s="1"/>
  <c r="F117" i="4"/>
  <c r="F119" i="4" s="1"/>
  <c r="E60" i="4"/>
  <c r="E112" i="4" s="1"/>
  <c r="E48" i="4"/>
  <c r="F45" i="4" s="1"/>
  <c r="F47" i="4" s="1"/>
  <c r="F22" i="4"/>
  <c r="F27" i="4" s="1"/>
  <c r="D17" i="4"/>
  <c r="F17" i="4" l="1"/>
  <c r="F120" i="4"/>
  <c r="F121" i="4" s="1"/>
  <c r="F86" i="4"/>
  <c r="E74" i="4"/>
  <c r="E79" i="4"/>
  <c r="G117" i="4"/>
  <c r="G119" i="4" s="1"/>
  <c r="F56" i="4"/>
  <c r="E62" i="4"/>
  <c r="E99" i="4"/>
  <c r="E101" i="4" s="1"/>
  <c r="E32" i="4"/>
  <c r="F30" i="4"/>
  <c r="F48" i="4"/>
  <c r="G45" i="4" s="1"/>
  <c r="G47" i="4" s="1"/>
  <c r="E19" i="4"/>
  <c r="E29" i="4" s="1"/>
  <c r="E65" i="4" s="1"/>
  <c r="E67" i="4" s="1"/>
  <c r="D19" i="4"/>
  <c r="D29" i="4" s="1"/>
  <c r="D31" i="4" s="1"/>
  <c r="G22" i="4"/>
  <c r="G27" i="4" s="1"/>
  <c r="D65" i="4" l="1"/>
  <c r="D67" i="4" s="1"/>
  <c r="D69" i="4" s="1"/>
  <c r="F59" i="4"/>
  <c r="F87" i="4" s="1"/>
  <c r="G17" i="4"/>
  <c r="G120" i="4"/>
  <c r="G121" i="4" s="1"/>
  <c r="G86" i="4"/>
  <c r="H117" i="4"/>
  <c r="H119" i="4" s="1"/>
  <c r="F60" i="4"/>
  <c r="F112" i="4" s="1"/>
  <c r="F100" i="4"/>
  <c r="E31" i="4"/>
  <c r="D33" i="4"/>
  <c r="D34" i="4" s="1"/>
  <c r="G30" i="4"/>
  <c r="G48" i="4"/>
  <c r="F19" i="4"/>
  <c r="F29" i="4" s="1"/>
  <c r="F65" i="4" s="1"/>
  <c r="F67" i="4" s="1"/>
  <c r="H22" i="4"/>
  <c r="H27" i="4" s="1"/>
  <c r="H17" i="4" l="1"/>
  <c r="F79" i="4"/>
  <c r="E33" i="4"/>
  <c r="E34" i="4" s="1"/>
  <c r="F74" i="4"/>
  <c r="G56" i="4"/>
  <c r="F99" i="4"/>
  <c r="F101" i="4" s="1"/>
  <c r="F32" i="4"/>
  <c r="F62" i="4"/>
  <c r="F31" i="4"/>
  <c r="E69" i="4"/>
  <c r="H45" i="4"/>
  <c r="H47" i="4" s="1"/>
  <c r="G19" i="4"/>
  <c r="G29" i="4" s="1"/>
  <c r="G65" i="4" s="1"/>
  <c r="G67" i="4" s="1"/>
  <c r="G100" i="4" l="1"/>
  <c r="G59" i="4"/>
  <c r="H120" i="4"/>
  <c r="H121" i="4" s="1"/>
  <c r="H86" i="4"/>
  <c r="E35" i="4"/>
  <c r="E85" i="4" s="1"/>
  <c r="F33" i="4"/>
  <c r="F34" i="4" s="1"/>
  <c r="G60" i="4"/>
  <c r="G112" i="4" s="1"/>
  <c r="F69" i="4"/>
  <c r="G31" i="4"/>
  <c r="D35" i="4"/>
  <c r="H30" i="4"/>
  <c r="H48" i="4"/>
  <c r="H19" i="4"/>
  <c r="H29" i="4" s="1"/>
  <c r="H65" i="4" s="1"/>
  <c r="H67" i="4" s="1"/>
  <c r="E89" i="4" l="1"/>
  <c r="G99" i="4"/>
  <c r="G101" i="4" s="1"/>
  <c r="G87" i="4"/>
  <c r="D111" i="4"/>
  <c r="D113" i="4" s="1"/>
  <c r="D85" i="4"/>
  <c r="G79" i="4"/>
  <c r="H56" i="4"/>
  <c r="G74" i="4"/>
  <c r="H69" i="4"/>
  <c r="G62" i="4"/>
  <c r="G69" i="4"/>
  <c r="G32" i="4"/>
  <c r="G33" i="4" s="1"/>
  <c r="G34" i="4" s="1"/>
  <c r="F35" i="4"/>
  <c r="F85" i="4" s="1"/>
  <c r="F89" i="4" s="1"/>
  <c r="F103" i="4" s="1"/>
  <c r="H31" i="4"/>
  <c r="H100" i="4" l="1"/>
  <c r="H59" i="4"/>
  <c r="E103" i="4"/>
  <c r="D89" i="4"/>
  <c r="E111" i="4"/>
  <c r="E113" i="4" s="1"/>
  <c r="H60" i="4"/>
  <c r="G35" i="4"/>
  <c r="G85" i="4" s="1"/>
  <c r="G89" i="4" s="1"/>
  <c r="G103" i="4" s="1"/>
  <c r="D103" i="4" l="1"/>
  <c r="D105" i="4" s="1"/>
  <c r="H99" i="4"/>
  <c r="H101" i="4" s="1"/>
  <c r="H87" i="4"/>
  <c r="F111" i="4"/>
  <c r="G111" i="4" s="1"/>
  <c r="H79" i="4"/>
  <c r="H112" i="4"/>
  <c r="H62" i="4"/>
  <c r="H74" i="4"/>
  <c r="H32" i="4"/>
  <c r="H33" i="4" s="1"/>
  <c r="H34" i="4" s="1"/>
  <c r="E104" i="4" l="1"/>
  <c r="E105" i="4" s="1"/>
  <c r="D125" i="4"/>
  <c r="D126" i="4" s="1"/>
  <c r="C130" i="4" s="1"/>
  <c r="F113" i="4"/>
  <c r="G113" i="4"/>
  <c r="E73" i="4"/>
  <c r="E75" i="4" s="1"/>
  <c r="H73" i="4"/>
  <c r="H75" i="4" s="1"/>
  <c r="G73" i="4"/>
  <c r="G75" i="4" s="1"/>
  <c r="F73" i="4"/>
  <c r="F75" i="4" s="1"/>
  <c r="D73" i="4"/>
  <c r="D75" i="4" s="1"/>
  <c r="H35" i="4"/>
  <c r="H85" i="4" s="1"/>
  <c r="H89" i="4" s="1"/>
  <c r="H103" i="4" s="1"/>
  <c r="F104" i="4" l="1"/>
  <c r="F105" i="4" s="1"/>
  <c r="E125" i="4"/>
  <c r="E126" i="4" s="1"/>
  <c r="H111" i="4"/>
  <c r="H113" i="4" s="1"/>
  <c r="E78" i="4" l="1"/>
  <c r="E80" i="4" s="1"/>
  <c r="H78" i="4"/>
  <c r="H80" i="4" s="1"/>
  <c r="D78" i="4"/>
  <c r="D80" i="4" s="1"/>
  <c r="F78" i="4"/>
  <c r="F80" i="4" s="1"/>
  <c r="G78" i="4"/>
  <c r="G80" i="4" s="1"/>
  <c r="G104" i="4"/>
  <c r="G105" i="4" s="1"/>
  <c r="F125" i="4"/>
  <c r="F126" i="4" s="1"/>
  <c r="H104" i="4" l="1"/>
  <c r="H105" i="4" s="1"/>
  <c r="G125" i="4"/>
  <c r="G126" i="4" s="1"/>
  <c r="H125" i="4" l="1"/>
  <c r="H126" i="4" s="1"/>
</calcChain>
</file>

<file path=xl/sharedStrings.xml><?xml version="1.0" encoding="utf-8"?>
<sst xmlns="http://schemas.openxmlformats.org/spreadsheetml/2006/main" count="138" uniqueCount="119">
  <si>
    <t>Revenue</t>
  </si>
  <si>
    <t>Quantity</t>
  </si>
  <si>
    <t xml:space="preserve">Output </t>
  </si>
  <si>
    <t>Direct Cost</t>
  </si>
  <si>
    <t>Labour</t>
  </si>
  <si>
    <t>Material</t>
  </si>
  <si>
    <t>Expense</t>
  </si>
  <si>
    <t>Total Direct Cost</t>
  </si>
  <si>
    <t>Factory OH</t>
  </si>
  <si>
    <t xml:space="preserve">Selling, general &amp; administration OH </t>
  </si>
  <si>
    <t>Selling cost</t>
  </si>
  <si>
    <t>Selling Cost pu</t>
  </si>
  <si>
    <t>Selling Price pu</t>
  </si>
  <si>
    <t>Revenue pu</t>
  </si>
  <si>
    <t>Total Revenue</t>
  </si>
  <si>
    <t>SG&amp;A</t>
  </si>
  <si>
    <t>Direct Cost Per Unit</t>
  </si>
  <si>
    <t>Total Direct Cost p.u</t>
  </si>
  <si>
    <t>Particulars</t>
  </si>
  <si>
    <t>Details</t>
  </si>
  <si>
    <t>Total Indirect Cost</t>
  </si>
  <si>
    <t>Gross Profit</t>
  </si>
  <si>
    <t>EBITDA</t>
  </si>
  <si>
    <t>Indirect Cost excluding Depreciation &amp; Interest</t>
  </si>
  <si>
    <t>Initial Investment</t>
  </si>
  <si>
    <t>Equity</t>
  </si>
  <si>
    <t>Debt</t>
  </si>
  <si>
    <t>Total Investment</t>
  </si>
  <si>
    <t>Depreciation %</t>
  </si>
  <si>
    <t>Revenue and Cost Assumption</t>
  </si>
  <si>
    <t>Less: Depreciation</t>
  </si>
  <si>
    <t>Depreciation Schedule</t>
  </si>
  <si>
    <t>Depreciation Rate</t>
  </si>
  <si>
    <t>Opening Balance</t>
  </si>
  <si>
    <t>Add: Addition</t>
  </si>
  <si>
    <t>Closing Balance</t>
  </si>
  <si>
    <t>Debt Repayment Schedule</t>
  </si>
  <si>
    <t>Debt Amount</t>
  </si>
  <si>
    <t>Interest Rate</t>
  </si>
  <si>
    <t>Loan Life</t>
  </si>
  <si>
    <t>Debt Raised</t>
  </si>
  <si>
    <t>Less: Principal Repayment</t>
  </si>
  <si>
    <t>2020-21</t>
  </si>
  <si>
    <t>2021-22</t>
  </si>
  <si>
    <t>2022-23</t>
  </si>
  <si>
    <t>2023-24</t>
  </si>
  <si>
    <t>2024-25</t>
  </si>
  <si>
    <t>2025-26</t>
  </si>
  <si>
    <t>Interest Payment</t>
  </si>
  <si>
    <t>No of installments</t>
  </si>
  <si>
    <t>Total Payments</t>
  </si>
  <si>
    <t>Depreciation</t>
  </si>
  <si>
    <t>EBIT</t>
  </si>
  <si>
    <t xml:space="preserve">Interest  </t>
  </si>
  <si>
    <t>EBT</t>
  </si>
  <si>
    <t>CAPEX</t>
  </si>
  <si>
    <t>Tax</t>
  </si>
  <si>
    <t>Add: Depreciation</t>
  </si>
  <si>
    <t>Less: Change in NWC</t>
  </si>
  <si>
    <t xml:space="preserve">Capex </t>
  </si>
  <si>
    <t>NWC Requirement</t>
  </si>
  <si>
    <t xml:space="preserve">Cashflow Waterfall </t>
  </si>
  <si>
    <t xml:space="preserve">Change in NWC </t>
  </si>
  <si>
    <t>LLCR &amp; PLCR</t>
  </si>
  <si>
    <t>PV of CFADS</t>
  </si>
  <si>
    <t>Debt O/s</t>
  </si>
  <si>
    <t>Cashflow Statement</t>
  </si>
  <si>
    <t xml:space="preserve">Equity </t>
  </si>
  <si>
    <t>Balance Sheet</t>
  </si>
  <si>
    <t>Addition</t>
  </si>
  <si>
    <t>Current Assets</t>
  </si>
  <si>
    <t>Total Assets</t>
  </si>
  <si>
    <t>Total Liabilities</t>
  </si>
  <si>
    <t>Shareholders Fund</t>
  </si>
  <si>
    <t>Reserves &amp; Surplus</t>
  </si>
  <si>
    <t>Cash Balance</t>
  </si>
  <si>
    <t xml:space="preserve">Cashflow from Operating Activities </t>
  </si>
  <si>
    <t>Cash Inflow/(outflow) from Operating Activities</t>
  </si>
  <si>
    <t>Cashflow from Investing Activity</t>
  </si>
  <si>
    <t>Cashflow from Financing Activity</t>
  </si>
  <si>
    <t>Interest Paid</t>
  </si>
  <si>
    <t>Principle Paid</t>
  </si>
  <si>
    <t>Outflow from Financing Activity</t>
  </si>
  <si>
    <t>Closing Balance of cash &amp; cash equivalent</t>
  </si>
  <si>
    <t>Total Non-current Assets</t>
  </si>
  <si>
    <t xml:space="preserve">Opening </t>
  </si>
  <si>
    <t>Accumulated Depreciation</t>
  </si>
  <si>
    <t>Non-current Assets</t>
  </si>
  <si>
    <t>Net Profit after Tax</t>
  </si>
  <si>
    <t>Add: Interest</t>
  </si>
  <si>
    <t>Purchase of Fixed Assets</t>
  </si>
  <si>
    <t>Capex</t>
  </si>
  <si>
    <t>Cash Inflow/(outflow) from Investing Activities</t>
  </si>
  <si>
    <t>Equity Issued</t>
  </si>
  <si>
    <t>Net Changes in Cash</t>
  </si>
  <si>
    <t>Opening Balance of Cash &amp; Cash equivalents</t>
  </si>
  <si>
    <t>Net Working Capital</t>
  </si>
  <si>
    <t>Research &amp; development</t>
  </si>
  <si>
    <t>R&amp;D expenses</t>
  </si>
  <si>
    <t>Years</t>
  </si>
  <si>
    <t>WC Requirement</t>
  </si>
  <si>
    <t>of Sales</t>
  </si>
  <si>
    <t>Cash Flow Available for Debt Service</t>
  </si>
  <si>
    <t>Project Life Coverage Ratio</t>
  </si>
  <si>
    <t>Loan life coverage ratio</t>
  </si>
  <si>
    <t>Cost of Debt</t>
  </si>
  <si>
    <t>Inflation</t>
  </si>
  <si>
    <t>Cost of Equity</t>
  </si>
  <si>
    <t>Tax rate</t>
  </si>
  <si>
    <t>Cost of Equity &amp; Debt</t>
  </si>
  <si>
    <t>Indirect Cost</t>
  </si>
  <si>
    <t>Units to be manufactured</t>
  </si>
  <si>
    <t>Yr1</t>
  </si>
  <si>
    <t>Yr2</t>
  </si>
  <si>
    <t>Yr3</t>
  </si>
  <si>
    <t>Yr4</t>
  </si>
  <si>
    <t>All Figures in INR</t>
  </si>
  <si>
    <t>PAT</t>
  </si>
  <si>
    <t>This is the assumption sheet for shoe manufacturing startup.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</si>
</sst>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  <numFmt numFmtId="166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0" fillId="2" borderId="0" xfId="0" applyFill="1"/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9" fontId="1" fillId="2" borderId="0" xfId="1" applyNumberFormat="1" applyFont="1" applyFill="1" applyBorder="1" applyAlignment="1">
      <alignment horizontal="center"/>
    </xf>
    <xf numFmtId="43" fontId="1" fillId="2" borderId="0" xfId="1" applyFont="1" applyFill="1" applyBorder="1" applyAlignment="1">
      <alignment horizontal="center"/>
    </xf>
    <xf numFmtId="10" fontId="1" fillId="2" borderId="0" xfId="2" applyNumberFormat="1" applyFont="1" applyFill="1" applyBorder="1" applyAlignment="1">
      <alignment horizontal="center"/>
    </xf>
    <xf numFmtId="9" fontId="1" fillId="2" borderId="0" xfId="0" applyNumberFormat="1" applyFont="1" applyFill="1" applyAlignment="1">
      <alignment horizontal="center"/>
    </xf>
    <xf numFmtId="1" fontId="2" fillId="2" borderId="7" xfId="1" applyNumberFormat="1" applyFont="1" applyFill="1" applyBorder="1" applyAlignment="1">
      <alignment horizontal="center"/>
    </xf>
    <xf numFmtId="1" fontId="2" fillId="2" borderId="7" xfId="2" applyNumberFormat="1" applyFont="1" applyFill="1" applyBorder="1" applyAlignment="1">
      <alignment horizontal="center"/>
    </xf>
    <xf numFmtId="1" fontId="2" fillId="2" borderId="2" xfId="1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0" xfId="0" applyFont="1" applyFill="1" applyAlignment="1">
      <alignment horizontal="left"/>
    </xf>
    <xf numFmtId="9" fontId="1" fillId="7" borderId="8" xfId="1" applyNumberFormat="1" applyFont="1" applyFill="1" applyBorder="1" applyAlignment="1">
      <alignment horizontal="center"/>
    </xf>
    <xf numFmtId="10" fontId="1" fillId="7" borderId="8" xfId="1" applyNumberFormat="1" applyFont="1" applyFill="1" applyBorder="1" applyAlignment="1">
      <alignment horizontal="center"/>
    </xf>
    <xf numFmtId="10" fontId="1" fillId="7" borderId="8" xfId="2" applyNumberFormat="1" applyFont="1" applyFill="1" applyBorder="1" applyAlignment="1">
      <alignment horizontal="center"/>
    </xf>
    <xf numFmtId="9" fontId="1" fillId="7" borderId="8" xfId="0" applyNumberFormat="1" applyFont="1" applyFill="1" applyBorder="1" applyAlignment="1">
      <alignment horizontal="center"/>
    </xf>
    <xf numFmtId="9" fontId="1" fillId="7" borderId="6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9" fontId="1" fillId="2" borderId="7" xfId="1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43" fontId="0" fillId="2" borderId="10" xfId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3" fontId="1" fillId="5" borderId="11" xfId="1" applyFont="1" applyFill="1" applyBorder="1" applyAlignment="1">
      <alignment horizontal="center"/>
    </xf>
    <xf numFmtId="43" fontId="1" fillId="5" borderId="9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43" fontId="0" fillId="4" borderId="7" xfId="1" applyFont="1" applyFill="1" applyBorder="1" applyAlignment="1">
      <alignment horizontal="center"/>
    </xf>
    <xf numFmtId="43" fontId="1" fillId="5" borderId="8" xfId="1" applyFont="1" applyFill="1" applyBorder="1" applyAlignment="1">
      <alignment horizontal="center"/>
    </xf>
    <xf numFmtId="43" fontId="1" fillId="5" borderId="6" xfId="1" applyFont="1" applyFill="1" applyBorder="1" applyAlignment="1">
      <alignment horizontal="center"/>
    </xf>
    <xf numFmtId="43" fontId="0" fillId="4" borderId="2" xfId="1" applyFont="1" applyFill="1" applyBorder="1" applyAlignment="1">
      <alignment horizontal="center"/>
    </xf>
    <xf numFmtId="43" fontId="1" fillId="5" borderId="11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43" fontId="1" fillId="5" borderId="9" xfId="0" applyNumberFormat="1" applyFont="1" applyFill="1" applyBorder="1" applyAlignment="1">
      <alignment horizontal="center"/>
    </xf>
    <xf numFmtId="43" fontId="1" fillId="5" borderId="8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43" fontId="1" fillId="5" borderId="6" xfId="0" applyNumberFormat="1" applyFont="1" applyFill="1" applyBorder="1" applyAlignment="1">
      <alignment horizontal="center"/>
    </xf>
    <xf numFmtId="43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3" fontId="0" fillId="2" borderId="7" xfId="0" applyNumberFormat="1" applyFill="1" applyBorder="1" applyAlignment="1">
      <alignment horizontal="center"/>
    </xf>
    <xf numFmtId="43" fontId="0" fillId="2" borderId="2" xfId="0" applyNumberFormat="1" applyFill="1" applyBorder="1" applyAlignment="1">
      <alignment horizontal="center"/>
    </xf>
    <xf numFmtId="43" fontId="1" fillId="2" borderId="0" xfId="0" applyNumberFormat="1" applyFont="1" applyFill="1" applyAlignment="1">
      <alignment horizontal="center"/>
    </xf>
    <xf numFmtId="43" fontId="1" fillId="2" borderId="10" xfId="0" applyNumberFormat="1" applyFont="1" applyFill="1" applyBorder="1" applyAlignment="1">
      <alignment horizontal="center"/>
    </xf>
    <xf numFmtId="43" fontId="0" fillId="2" borderId="0" xfId="0" applyNumberFormat="1" applyFill="1" applyAlignment="1">
      <alignment horizontal="center"/>
    </xf>
    <xf numFmtId="43" fontId="0" fillId="2" borderId="10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43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43" fontId="0" fillId="7" borderId="2" xfId="0" applyNumberFormat="1" applyFill="1" applyBorder="1" applyAlignment="1">
      <alignment horizontal="center"/>
    </xf>
    <xf numFmtId="43" fontId="0" fillId="7" borderId="11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0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3" fontId="0" fillId="5" borderId="8" xfId="0" applyNumberFormat="1" applyFill="1" applyBorder="1" applyAlignment="1">
      <alignment horizontal="center"/>
    </xf>
    <xf numFmtId="43" fontId="0" fillId="5" borderId="6" xfId="0" applyNumberForma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43" fontId="0" fillId="6" borderId="8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5" borderId="4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2" borderId="12" xfId="0" applyFill="1" applyBorder="1"/>
    <xf numFmtId="43" fontId="0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65" fontId="0" fillId="2" borderId="12" xfId="1" applyNumberFormat="1" applyFont="1" applyFill="1" applyBorder="1" applyAlignment="1"/>
    <xf numFmtId="0" fontId="1" fillId="2" borderId="12" xfId="0" applyFont="1" applyFill="1" applyBorder="1"/>
    <xf numFmtId="9" fontId="0" fillId="2" borderId="12" xfId="0" applyNumberFormat="1" applyFill="1" applyBorder="1"/>
    <xf numFmtId="0" fontId="0" fillId="3" borderId="12" xfId="0" applyFill="1" applyBorder="1" applyAlignment="1">
      <alignment horizontal="center"/>
    </xf>
    <xf numFmtId="10" fontId="1" fillId="7" borderId="12" xfId="2" applyNumberFormat="1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65" fontId="1" fillId="5" borderId="11" xfId="1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4" borderId="7" xfId="1" applyNumberFormat="1" applyFont="1" applyFill="1" applyBorder="1" applyAlignment="1">
      <alignment horizontal="center"/>
    </xf>
    <xf numFmtId="165" fontId="1" fillId="5" borderId="8" xfId="1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1" fillId="5" borderId="11" xfId="0" applyNumberFormat="1" applyFont="1" applyFill="1" applyBorder="1" applyAlignment="1">
      <alignment horizontal="center"/>
    </xf>
    <xf numFmtId="165" fontId="1" fillId="5" borderId="8" xfId="0" applyNumberFormat="1" applyFon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8" xfId="1" applyNumberFormat="1" applyFont="1" applyFill="1" applyBorder="1" applyAlignment="1">
      <alignment horizontal="center"/>
    </xf>
    <xf numFmtId="165" fontId="0" fillId="5" borderId="8" xfId="1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6" fontId="0" fillId="2" borderId="0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7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1" fillId="8" borderId="0" xfId="0" applyFont="1" applyFill="1" applyBorder="1"/>
    <xf numFmtId="0" fontId="1" fillId="8" borderId="10" xfId="0" applyFont="1" applyFill="1" applyBorder="1"/>
    <xf numFmtId="0" fontId="1" fillId="8" borderId="4" xfId="0" applyFont="1" applyFill="1" applyBorder="1"/>
    <xf numFmtId="0" fontId="1" fillId="8" borderId="11" xfId="0" applyFont="1" applyFill="1" applyBorder="1"/>
    <xf numFmtId="0" fontId="1" fillId="8" borderId="9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J3" sqref="J3"/>
    </sheetView>
  </sheetViews>
  <sheetFormatPr defaultColWidth="8.77734375" defaultRowHeight="14.4" x14ac:dyDescent="0.3"/>
  <cols>
    <col min="1" max="1" width="16.21875" style="1" customWidth="1"/>
    <col min="2" max="2" width="12.21875" style="1" bestFit="1" customWidth="1"/>
    <col min="3" max="4" width="8.77734375" style="1"/>
    <col min="5" max="5" width="24.33203125" style="1" customWidth="1"/>
    <col min="6" max="6" width="12.21875" style="1" bestFit="1" customWidth="1"/>
    <col min="7" max="7" width="12.77734375" style="1" bestFit="1" customWidth="1"/>
    <col min="8" max="16384" width="8.77734375" style="1"/>
  </cols>
  <sheetData>
    <row r="1" spans="1:15" ht="15" thickBot="1" x14ac:dyDescent="0.35">
      <c r="A1" s="118" t="s">
        <v>24</v>
      </c>
      <c r="B1" s="119"/>
      <c r="C1" s="120"/>
      <c r="E1" s="118" t="s">
        <v>29</v>
      </c>
      <c r="F1" s="119"/>
      <c r="G1" s="120"/>
    </row>
    <row r="2" spans="1:15" x14ac:dyDescent="0.3">
      <c r="A2" s="88" t="s">
        <v>25</v>
      </c>
      <c r="B2" s="89">
        <v>5000000</v>
      </c>
      <c r="C2" s="88"/>
      <c r="E2" s="88" t="s">
        <v>111</v>
      </c>
      <c r="F2" s="92">
        <v>10000</v>
      </c>
      <c r="G2" s="88"/>
      <c r="J2" s="121" t="s">
        <v>118</v>
      </c>
      <c r="K2" s="122"/>
      <c r="L2" s="122"/>
      <c r="M2" s="122"/>
      <c r="N2" s="122"/>
      <c r="O2" s="123"/>
    </row>
    <row r="3" spans="1:15" x14ac:dyDescent="0.3">
      <c r="A3" s="88" t="s">
        <v>26</v>
      </c>
      <c r="B3" s="89">
        <v>3000000</v>
      </c>
      <c r="C3" s="88"/>
      <c r="E3" s="93" t="s">
        <v>16</v>
      </c>
      <c r="F3" s="92"/>
      <c r="G3" s="88"/>
      <c r="J3" s="124"/>
      <c r="K3" s="125"/>
      <c r="L3" s="125"/>
      <c r="M3" s="125"/>
      <c r="N3" s="125"/>
      <c r="O3" s="126"/>
    </row>
    <row r="4" spans="1:15" x14ac:dyDescent="0.3">
      <c r="A4" s="88" t="s">
        <v>27</v>
      </c>
      <c r="B4" s="89">
        <f>B2+B3</f>
        <v>8000000</v>
      </c>
      <c r="C4" s="88"/>
      <c r="E4" s="88" t="s">
        <v>5</v>
      </c>
      <c r="F4" s="92">
        <v>10</v>
      </c>
      <c r="G4" s="88"/>
      <c r="J4" s="124"/>
      <c r="K4" s="125"/>
      <c r="L4" s="125"/>
      <c r="M4" s="125"/>
      <c r="N4" s="125"/>
      <c r="O4" s="126"/>
    </row>
    <row r="5" spans="1:15" ht="15" thickBot="1" x14ac:dyDescent="0.35">
      <c r="E5" s="88" t="s">
        <v>4</v>
      </c>
      <c r="F5" s="92">
        <v>5</v>
      </c>
      <c r="G5" s="88"/>
      <c r="J5" s="127"/>
      <c r="K5" s="128"/>
      <c r="L5" s="128"/>
      <c r="M5" s="128"/>
      <c r="N5" s="128"/>
      <c r="O5" s="129"/>
    </row>
    <row r="6" spans="1:15" x14ac:dyDescent="0.3">
      <c r="A6" s="118" t="s">
        <v>109</v>
      </c>
      <c r="B6" s="119"/>
      <c r="C6" s="120"/>
      <c r="E6" s="88" t="s">
        <v>6</v>
      </c>
      <c r="F6" s="92">
        <v>0</v>
      </c>
      <c r="G6" s="88"/>
    </row>
    <row r="7" spans="1:15" x14ac:dyDescent="0.3">
      <c r="A7" s="88" t="s">
        <v>39</v>
      </c>
      <c r="B7" s="90">
        <v>7</v>
      </c>
      <c r="C7" s="88"/>
      <c r="E7" s="88" t="s">
        <v>11</v>
      </c>
      <c r="F7" s="92">
        <v>2</v>
      </c>
      <c r="G7" s="88"/>
    </row>
    <row r="8" spans="1:15" x14ac:dyDescent="0.3">
      <c r="A8" s="88" t="s">
        <v>105</v>
      </c>
      <c r="B8" s="91">
        <v>0.06</v>
      </c>
      <c r="C8" s="88"/>
      <c r="E8" s="93" t="s">
        <v>110</v>
      </c>
      <c r="F8" s="92"/>
      <c r="G8" s="88"/>
    </row>
    <row r="9" spans="1:15" x14ac:dyDescent="0.3">
      <c r="A9" s="88" t="s">
        <v>107</v>
      </c>
      <c r="B9" s="91"/>
      <c r="C9" s="88"/>
      <c r="E9" s="88" t="s">
        <v>8</v>
      </c>
      <c r="F9" s="92">
        <v>300000</v>
      </c>
      <c r="G9" s="88"/>
    </row>
    <row r="10" spans="1:15" x14ac:dyDescent="0.3">
      <c r="A10" s="88" t="s">
        <v>108</v>
      </c>
      <c r="B10" s="91">
        <v>0.25</v>
      </c>
      <c r="C10" s="88"/>
      <c r="E10" s="88" t="s">
        <v>15</v>
      </c>
      <c r="F10" s="92">
        <v>200000</v>
      </c>
      <c r="G10" s="88"/>
    </row>
    <row r="11" spans="1:15" x14ac:dyDescent="0.3">
      <c r="E11" s="88" t="s">
        <v>98</v>
      </c>
      <c r="F11" s="92">
        <v>100000</v>
      </c>
      <c r="G11" s="88"/>
    </row>
    <row r="12" spans="1:15" x14ac:dyDescent="0.3">
      <c r="E12" s="93"/>
      <c r="F12" s="92"/>
      <c r="G12" s="88"/>
    </row>
    <row r="13" spans="1:15" x14ac:dyDescent="0.3">
      <c r="E13" s="88" t="s">
        <v>12</v>
      </c>
      <c r="F13" s="92">
        <v>50</v>
      </c>
      <c r="G13" s="88"/>
    </row>
    <row r="14" spans="1:15" x14ac:dyDescent="0.3">
      <c r="A14" s="95" t="s">
        <v>112</v>
      </c>
      <c r="B14" s="95" t="s">
        <v>113</v>
      </c>
      <c r="C14" s="95" t="s">
        <v>114</v>
      </c>
      <c r="D14" s="95" t="s">
        <v>115</v>
      </c>
      <c r="E14" s="88" t="s">
        <v>28</v>
      </c>
      <c r="F14" s="94">
        <v>0.08</v>
      </c>
      <c r="G14" s="88"/>
    </row>
    <row r="15" spans="1:15" x14ac:dyDescent="0.3">
      <c r="A15" s="96">
        <v>0.75</v>
      </c>
      <c r="B15" s="96">
        <v>0.85</v>
      </c>
      <c r="C15" s="96">
        <v>0.95</v>
      </c>
      <c r="D15" s="96">
        <v>1</v>
      </c>
      <c r="E15" s="88" t="s">
        <v>100</v>
      </c>
      <c r="F15" s="94">
        <v>0.1</v>
      </c>
      <c r="G15" s="88" t="s">
        <v>101</v>
      </c>
    </row>
    <row r="16" spans="1:15" x14ac:dyDescent="0.3">
      <c r="A16" s="1">
        <v>100000</v>
      </c>
      <c r="B16" s="1">
        <v>120000</v>
      </c>
      <c r="C16" s="1">
        <v>140000</v>
      </c>
      <c r="E16" s="88" t="s">
        <v>106</v>
      </c>
      <c r="F16" s="91">
        <v>0.03</v>
      </c>
      <c r="G16" s="88"/>
    </row>
    <row r="17" spans="1:1" x14ac:dyDescent="0.3">
      <c r="A17" s="1">
        <v>120000</v>
      </c>
    </row>
    <row r="18" spans="1:1" x14ac:dyDescent="0.3">
      <c r="A18" s="1">
        <v>140000</v>
      </c>
    </row>
    <row r="19" spans="1:1" x14ac:dyDescent="0.3">
      <c r="A19" s="1">
        <v>160000</v>
      </c>
    </row>
    <row r="20" spans="1:1" x14ac:dyDescent="0.3">
      <c r="A20" s="1">
        <v>180000</v>
      </c>
    </row>
    <row r="21" spans="1:1" x14ac:dyDescent="0.3">
      <c r="A21" s="1">
        <v>200000</v>
      </c>
    </row>
  </sheetData>
  <mergeCells count="3">
    <mergeCell ref="A1:C1"/>
    <mergeCell ref="E1:G1"/>
    <mergeCell ref="A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0"/>
  <sheetViews>
    <sheetView topLeftCell="A29" zoomScale="81" zoomScaleNormal="70" workbookViewId="0">
      <selection activeCell="E45" sqref="E45"/>
    </sheetView>
  </sheetViews>
  <sheetFormatPr defaultColWidth="8.77734375" defaultRowHeight="14.4" x14ac:dyDescent="0.3"/>
  <cols>
    <col min="1" max="1" width="30.44140625" style="84" customWidth="1"/>
    <col min="2" max="2" width="14.21875" style="24" bestFit="1" customWidth="1"/>
    <col min="3" max="3" width="17.77734375" style="24" bestFit="1" customWidth="1"/>
    <col min="4" max="4" width="15" style="24" bestFit="1" customWidth="1"/>
    <col min="5" max="5" width="16.5546875" style="24" customWidth="1"/>
    <col min="6" max="6" width="17.88671875" style="24" customWidth="1"/>
    <col min="7" max="9" width="14.88671875" style="24" bestFit="1" customWidth="1"/>
    <col min="10" max="10" width="15.77734375" style="24" customWidth="1"/>
    <col min="11" max="11" width="16" style="24" customWidth="1"/>
    <col min="12" max="12" width="15.44140625" style="24" customWidth="1"/>
    <col min="13" max="16384" width="8.77734375" style="84"/>
  </cols>
  <sheetData>
    <row r="1" spans="1:12" ht="15" thickBot="1" x14ac:dyDescent="0.35">
      <c r="A1" s="83" t="s">
        <v>18</v>
      </c>
      <c r="B1" s="2" t="s">
        <v>19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/>
      <c r="J1" s="2"/>
      <c r="K1" s="2"/>
      <c r="L1" s="3"/>
    </row>
    <row r="2" spans="1:12" s="18" customFormat="1" ht="15" thickBot="1" x14ac:dyDescent="0.35">
      <c r="A2" s="11" t="s">
        <v>2</v>
      </c>
      <c r="B2" s="19">
        <v>0</v>
      </c>
      <c r="C2" s="20">
        <v>0</v>
      </c>
      <c r="D2" s="21">
        <f>'Assumption Sheet'!A15</f>
        <v>0.75</v>
      </c>
      <c r="E2" s="21">
        <f>'Assumption Sheet'!B15</f>
        <v>0.85</v>
      </c>
      <c r="F2" s="21">
        <f>'Assumption Sheet'!C15</f>
        <v>0.95</v>
      </c>
      <c r="G2" s="21">
        <f>'Assumption Sheet'!D15</f>
        <v>1</v>
      </c>
      <c r="H2" s="21">
        <f>G2</f>
        <v>1</v>
      </c>
      <c r="I2" s="21"/>
      <c r="J2" s="22"/>
      <c r="K2" s="22"/>
      <c r="L2" s="23"/>
    </row>
    <row r="3" spans="1:12" s="18" customFormat="1" ht="15" thickBot="1" x14ac:dyDescent="0.35">
      <c r="A3" s="18" t="s">
        <v>116</v>
      </c>
      <c r="B3" s="4"/>
      <c r="C3" s="5"/>
      <c r="D3" s="6"/>
      <c r="E3" s="6"/>
      <c r="F3" s="6"/>
      <c r="G3" s="6"/>
      <c r="H3" s="6"/>
      <c r="I3" s="6"/>
      <c r="J3" s="7"/>
      <c r="K3" s="7"/>
      <c r="L3" s="7"/>
    </row>
    <row r="4" spans="1:12" s="18" customFormat="1" ht="15" thickBot="1" x14ac:dyDescent="0.35">
      <c r="A4" s="14" t="s">
        <v>99</v>
      </c>
      <c r="B4" s="26"/>
      <c r="C4" s="8">
        <v>0</v>
      </c>
      <c r="D4" s="9">
        <v>1</v>
      </c>
      <c r="E4" s="8">
        <v>2</v>
      </c>
      <c r="F4" s="9">
        <v>3</v>
      </c>
      <c r="G4" s="8">
        <v>4</v>
      </c>
      <c r="H4" s="9">
        <v>5</v>
      </c>
      <c r="I4" s="9"/>
      <c r="J4" s="8"/>
      <c r="K4" s="9"/>
      <c r="L4" s="10"/>
    </row>
    <row r="5" spans="1:12" x14ac:dyDescent="0.3">
      <c r="A5" s="83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1:12" x14ac:dyDescent="0.3">
      <c r="A6" s="12" t="s">
        <v>1</v>
      </c>
      <c r="B6" s="29">
        <f>'Assumption Sheet'!F2</f>
        <v>10000</v>
      </c>
      <c r="C6" s="29"/>
      <c r="D6" s="99">
        <f>'Assumption Sheet'!A16</f>
        <v>100000</v>
      </c>
      <c r="E6" s="99">
        <f>'Assumption Sheet'!A17</f>
        <v>120000</v>
      </c>
      <c r="F6" s="99">
        <f>'Assumption Sheet'!A18</f>
        <v>140000</v>
      </c>
      <c r="G6" s="99">
        <f>'Assumption Sheet'!A19</f>
        <v>160000</v>
      </c>
      <c r="H6" s="99">
        <f>'Assumption Sheet'!A20</f>
        <v>180000</v>
      </c>
      <c r="I6" s="29"/>
      <c r="J6" s="29"/>
      <c r="K6" s="29"/>
      <c r="L6" s="30"/>
    </row>
    <row r="7" spans="1:12" x14ac:dyDescent="0.3">
      <c r="A7" s="12" t="s">
        <v>13</v>
      </c>
      <c r="B7" s="31">
        <f>'Assumption Sheet'!F13</f>
        <v>50</v>
      </c>
      <c r="C7" s="29"/>
      <c r="D7" s="99">
        <f>B7</f>
        <v>50</v>
      </c>
      <c r="E7" s="99">
        <f>D7</f>
        <v>50</v>
      </c>
      <c r="F7" s="99">
        <f>E7</f>
        <v>50</v>
      </c>
      <c r="G7" s="99">
        <f>F7</f>
        <v>50</v>
      </c>
      <c r="H7" s="99">
        <f>G7</f>
        <v>50</v>
      </c>
      <c r="I7" s="29"/>
      <c r="J7" s="29"/>
      <c r="K7" s="29"/>
      <c r="L7" s="29"/>
    </row>
    <row r="8" spans="1:12" x14ac:dyDescent="0.3">
      <c r="A8" s="12"/>
      <c r="B8" s="29"/>
      <c r="C8" s="29"/>
      <c r="D8" s="99"/>
      <c r="E8" s="99"/>
      <c r="F8" s="99"/>
      <c r="G8" s="99"/>
      <c r="H8" s="99"/>
      <c r="I8" s="29"/>
      <c r="L8" s="32"/>
    </row>
    <row r="9" spans="1:12" s="18" customFormat="1" ht="15" thickBot="1" x14ac:dyDescent="0.35">
      <c r="A9" s="85" t="s">
        <v>14</v>
      </c>
      <c r="B9" s="33">
        <f>B2*B6*B7</f>
        <v>0</v>
      </c>
      <c r="C9" s="33"/>
      <c r="D9" s="98">
        <f t="shared" ref="D9:H9" si="0">D6*D7</f>
        <v>5000000</v>
      </c>
      <c r="E9" s="98">
        <f t="shared" si="0"/>
        <v>6000000</v>
      </c>
      <c r="F9" s="98">
        <f t="shared" si="0"/>
        <v>7000000</v>
      </c>
      <c r="G9" s="98">
        <f t="shared" si="0"/>
        <v>8000000</v>
      </c>
      <c r="H9" s="98">
        <f t="shared" si="0"/>
        <v>9000000</v>
      </c>
      <c r="I9" s="33"/>
      <c r="J9" s="33"/>
      <c r="K9" s="33"/>
      <c r="L9" s="33"/>
    </row>
    <row r="10" spans="1:12" ht="15" thickBot="1" x14ac:dyDescent="0.35">
      <c r="B10" s="35"/>
      <c r="C10" s="35"/>
      <c r="D10" s="100"/>
      <c r="E10" s="100"/>
      <c r="F10" s="100"/>
      <c r="G10" s="100"/>
      <c r="H10" s="100"/>
      <c r="I10" s="35"/>
    </row>
    <row r="11" spans="1:12" x14ac:dyDescent="0.3">
      <c r="A11" s="83" t="s">
        <v>3</v>
      </c>
      <c r="B11" s="36"/>
      <c r="C11" s="36"/>
      <c r="D11" s="101"/>
      <c r="E11" s="101"/>
      <c r="F11" s="101"/>
      <c r="G11" s="101"/>
      <c r="H11" s="101"/>
      <c r="I11" s="36"/>
      <c r="J11" s="27"/>
      <c r="K11" s="27"/>
      <c r="L11" s="28"/>
    </row>
    <row r="12" spans="1:12" x14ac:dyDescent="0.3">
      <c r="A12" s="12" t="s">
        <v>5</v>
      </c>
      <c r="B12" s="97">
        <f>'Assumption Sheet'!F4</f>
        <v>10</v>
      </c>
      <c r="C12" s="29"/>
      <c r="D12" s="99">
        <f>'Assumption Sheet'!F4</f>
        <v>10</v>
      </c>
      <c r="E12" s="99">
        <f>D12*(1+'Assumption Sheet'!$F$16)</f>
        <v>10.3</v>
      </c>
      <c r="F12" s="99">
        <f>E12*(1+'Assumption Sheet'!$F$16)</f>
        <v>10.609000000000002</v>
      </c>
      <c r="G12" s="99">
        <f>F12*(1+'Assumption Sheet'!$F$16)</f>
        <v>10.927270000000002</v>
      </c>
      <c r="H12" s="99">
        <f>G12*(1+'Assumption Sheet'!$F$16)</f>
        <v>11.255088100000002</v>
      </c>
      <c r="I12" s="29"/>
      <c r="J12" s="29"/>
      <c r="K12" s="29"/>
      <c r="L12" s="30"/>
    </row>
    <row r="13" spans="1:12" x14ac:dyDescent="0.3">
      <c r="A13" s="12" t="s">
        <v>4</v>
      </c>
      <c r="B13" s="97">
        <f>'Assumption Sheet'!F5</f>
        <v>5</v>
      </c>
      <c r="C13" s="29"/>
      <c r="D13" s="99">
        <f>'Assumption Sheet'!F5</f>
        <v>5</v>
      </c>
      <c r="E13" s="99">
        <f>D13*(1+'Assumption Sheet'!$F$16)</f>
        <v>5.15</v>
      </c>
      <c r="F13" s="99">
        <f>E13*(1+'Assumption Sheet'!$F$16)</f>
        <v>5.3045000000000009</v>
      </c>
      <c r="G13" s="99">
        <f>F13*(1+'Assumption Sheet'!$F$16)</f>
        <v>5.4636350000000009</v>
      </c>
      <c r="H13" s="99">
        <f>G13*(1+'Assumption Sheet'!$F$16)</f>
        <v>5.6275440500000009</v>
      </c>
      <c r="I13" s="29"/>
      <c r="J13" s="29"/>
      <c r="K13" s="29"/>
      <c r="L13" s="30"/>
    </row>
    <row r="14" spans="1:12" x14ac:dyDescent="0.3">
      <c r="A14" s="12" t="s">
        <v>6</v>
      </c>
      <c r="B14" s="97">
        <f>'Assumption Sheet'!F6</f>
        <v>0</v>
      </c>
      <c r="C14" s="29"/>
      <c r="D14" s="99">
        <f>'Assumption Sheet'!F6</f>
        <v>0</v>
      </c>
      <c r="E14" s="99">
        <f>D14*(1+'Assumption Sheet'!$F$16)</f>
        <v>0</v>
      </c>
      <c r="F14" s="99">
        <f>E14*(1+'Assumption Sheet'!$F$16)</f>
        <v>0</v>
      </c>
      <c r="G14" s="99">
        <f>F14*(1+'Assumption Sheet'!$F$16)</f>
        <v>0</v>
      </c>
      <c r="H14" s="99">
        <f>G14*(1+'Assumption Sheet'!$F$16)</f>
        <v>0</v>
      </c>
      <c r="I14" s="29"/>
      <c r="J14" s="29"/>
      <c r="K14" s="29"/>
      <c r="L14" s="30"/>
    </row>
    <row r="15" spans="1:12" x14ac:dyDescent="0.3">
      <c r="A15" s="12" t="s">
        <v>10</v>
      </c>
      <c r="B15" s="97">
        <f>'Assumption Sheet'!F7</f>
        <v>2</v>
      </c>
      <c r="C15" s="29"/>
      <c r="D15" s="117">
        <f>'Assumption Sheet'!F7</f>
        <v>2</v>
      </c>
      <c r="E15" s="99">
        <f>D15*(1+'Assumption Sheet'!$F$16)</f>
        <v>2.06</v>
      </c>
      <c r="F15" s="99">
        <f>E15*(1+'Assumption Sheet'!$F$16)</f>
        <v>2.1217999999999999</v>
      </c>
      <c r="G15" s="99">
        <f>F15*(1+'Assumption Sheet'!$F$16)</f>
        <v>2.185454</v>
      </c>
      <c r="H15" s="99">
        <f>G15*(1+'Assumption Sheet'!$F$16)</f>
        <v>2.2510176200000003</v>
      </c>
      <c r="I15" s="29"/>
      <c r="J15" s="29"/>
      <c r="K15" s="29"/>
      <c r="L15" s="30"/>
    </row>
    <row r="16" spans="1:12" x14ac:dyDescent="0.3">
      <c r="A16" s="12" t="s">
        <v>17</v>
      </c>
      <c r="B16" s="97">
        <f>SUM(B12:B15)</f>
        <v>17</v>
      </c>
      <c r="C16" s="29"/>
      <c r="D16" s="99">
        <f>SUM(D12:D15)</f>
        <v>17</v>
      </c>
      <c r="E16" s="99">
        <f>D16*(1+'Assumption Sheet'!$F$16)</f>
        <v>17.510000000000002</v>
      </c>
      <c r="F16" s="99">
        <f>E16*(1+'Assumption Sheet'!$F$16)</f>
        <v>18.035300000000003</v>
      </c>
      <c r="G16" s="99">
        <f>F16*(1+'Assumption Sheet'!$F$16)</f>
        <v>18.576359000000004</v>
      </c>
      <c r="H16" s="99">
        <f>G16*(1+'Assumption Sheet'!$F$16)</f>
        <v>19.133649770000005</v>
      </c>
      <c r="I16" s="29"/>
      <c r="J16" s="29"/>
      <c r="K16" s="29"/>
      <c r="L16" s="29"/>
    </row>
    <row r="17" spans="1:12" s="18" customFormat="1" ht="15" thickBot="1" x14ac:dyDescent="0.35">
      <c r="A17" s="85" t="s">
        <v>7</v>
      </c>
      <c r="B17" s="98">
        <f>B16*B6</f>
        <v>170000</v>
      </c>
      <c r="C17" s="33"/>
      <c r="D17" s="98">
        <f t="shared" ref="D17:H17" si="1">D16*D6</f>
        <v>1700000</v>
      </c>
      <c r="E17" s="98">
        <f t="shared" si="1"/>
        <v>2101200</v>
      </c>
      <c r="F17" s="98">
        <f t="shared" si="1"/>
        <v>2524942.0000000005</v>
      </c>
      <c r="G17" s="98">
        <f t="shared" si="1"/>
        <v>2972217.4400000004</v>
      </c>
      <c r="H17" s="98">
        <f t="shared" si="1"/>
        <v>3444056.9586000009</v>
      </c>
      <c r="I17" s="33"/>
      <c r="J17" s="33"/>
      <c r="K17" s="33"/>
      <c r="L17" s="34"/>
    </row>
    <row r="18" spans="1:12" ht="15" thickBot="1" x14ac:dyDescent="0.35">
      <c r="B18" s="35"/>
      <c r="C18" s="35"/>
      <c r="D18" s="100"/>
      <c r="E18" s="100"/>
      <c r="F18" s="100"/>
      <c r="G18" s="100"/>
      <c r="H18" s="100"/>
      <c r="I18" s="35"/>
    </row>
    <row r="19" spans="1:12" s="18" customFormat="1" ht="15" thickBot="1" x14ac:dyDescent="0.35">
      <c r="A19" s="15" t="s">
        <v>21</v>
      </c>
      <c r="B19" s="37">
        <f>B9-B17</f>
        <v>-170000</v>
      </c>
      <c r="C19" s="37"/>
      <c r="D19" s="102">
        <f t="shared" ref="D19:H19" si="2">D9-D17</f>
        <v>3300000</v>
      </c>
      <c r="E19" s="102">
        <f t="shared" si="2"/>
        <v>3898800</v>
      </c>
      <c r="F19" s="102">
        <f t="shared" si="2"/>
        <v>4475058</v>
      </c>
      <c r="G19" s="102">
        <f t="shared" si="2"/>
        <v>5027782.5599999996</v>
      </c>
      <c r="H19" s="102">
        <f t="shared" si="2"/>
        <v>5555943.0413999986</v>
      </c>
      <c r="I19" s="37"/>
      <c r="J19" s="37"/>
      <c r="K19" s="37"/>
      <c r="L19" s="38"/>
    </row>
    <row r="20" spans="1:12" ht="15" thickBot="1" x14ac:dyDescent="0.35">
      <c r="B20" s="35"/>
      <c r="C20" s="35"/>
      <c r="D20" s="100"/>
      <c r="E20" s="100"/>
      <c r="F20" s="100"/>
      <c r="G20" s="100"/>
      <c r="H20" s="100"/>
      <c r="I20" s="35"/>
    </row>
    <row r="21" spans="1:12" x14ac:dyDescent="0.3">
      <c r="A21" s="83" t="s">
        <v>23</v>
      </c>
      <c r="B21" s="36"/>
      <c r="C21" s="36"/>
      <c r="D21" s="101"/>
      <c r="E21" s="101"/>
      <c r="F21" s="101"/>
      <c r="G21" s="101"/>
      <c r="H21" s="101"/>
      <c r="I21" s="36"/>
      <c r="J21" s="36"/>
      <c r="K21" s="36"/>
      <c r="L21" s="39"/>
    </row>
    <row r="22" spans="1:12" x14ac:dyDescent="0.3">
      <c r="A22" s="12" t="s">
        <v>8</v>
      </c>
      <c r="B22" s="99">
        <f>'Assumption Sheet'!F9</f>
        <v>300000</v>
      </c>
      <c r="C22" s="29"/>
      <c r="D22" s="99">
        <f>'Assumption Sheet'!F9</f>
        <v>300000</v>
      </c>
      <c r="E22" s="99">
        <f>D22*(1+'Assumption Sheet'!$F$16)</f>
        <v>309000</v>
      </c>
      <c r="F22" s="99">
        <f>E22*(1+'Assumption Sheet'!$F$16)</f>
        <v>318270</v>
      </c>
      <c r="G22" s="99">
        <f>F22*(1+'Assumption Sheet'!$F$16)</f>
        <v>327818.10000000003</v>
      </c>
      <c r="H22" s="99">
        <f>G22*(1+'Assumption Sheet'!$F$16)</f>
        <v>337652.64300000004</v>
      </c>
      <c r="I22" s="29"/>
      <c r="J22" s="29"/>
      <c r="K22" s="29"/>
      <c r="L22" s="30"/>
    </row>
    <row r="23" spans="1:12" x14ac:dyDescent="0.3">
      <c r="A23" s="12" t="s">
        <v>9</v>
      </c>
      <c r="B23" s="99">
        <f>'Assumption Sheet'!F10</f>
        <v>200000</v>
      </c>
      <c r="C23" s="29"/>
      <c r="D23" s="99">
        <f>'Assumption Sheet'!F10</f>
        <v>200000</v>
      </c>
      <c r="E23" s="99">
        <f>D23*(1+'Assumption Sheet'!$F$16)</f>
        <v>206000</v>
      </c>
      <c r="F23" s="99">
        <f>E23*(1+'Assumption Sheet'!$F$16)</f>
        <v>212180</v>
      </c>
      <c r="G23" s="99">
        <f>F23*(1+'Assumption Sheet'!$F$16)</f>
        <v>218545.4</v>
      </c>
      <c r="H23" s="99">
        <f>G23*(1+'Assumption Sheet'!$F$16)</f>
        <v>225101.76199999999</v>
      </c>
      <c r="I23" s="29"/>
      <c r="J23" s="29"/>
      <c r="K23" s="29"/>
      <c r="L23" s="30"/>
    </row>
    <row r="24" spans="1:12" x14ac:dyDescent="0.3">
      <c r="A24" s="12"/>
      <c r="B24" s="31"/>
      <c r="C24" s="29"/>
      <c r="D24" s="99"/>
      <c r="E24" s="99"/>
      <c r="F24" s="99"/>
      <c r="G24" s="99"/>
      <c r="H24" s="99"/>
      <c r="I24" s="29"/>
      <c r="J24" s="29"/>
      <c r="K24" s="29"/>
      <c r="L24" s="30"/>
    </row>
    <row r="25" spans="1:12" x14ac:dyDescent="0.3">
      <c r="A25" s="12" t="s">
        <v>97</v>
      </c>
      <c r="B25" s="99">
        <f>'Assumption Sheet'!F11</f>
        <v>100000</v>
      </c>
      <c r="C25" s="29"/>
      <c r="D25" s="99">
        <f>'Assumption Sheet'!F11</f>
        <v>100000</v>
      </c>
      <c r="E25" s="99">
        <f>D25*(1+'Assumption Sheet'!$F$16)</f>
        <v>103000</v>
      </c>
      <c r="F25" s="99">
        <f>E25*(1+'Assumption Sheet'!$F$16)</f>
        <v>106090</v>
      </c>
      <c r="G25" s="99">
        <f>F25*(1+'Assumption Sheet'!$F$16)</f>
        <v>109272.7</v>
      </c>
      <c r="H25" s="99">
        <f>G25*(1+'Assumption Sheet'!$F$16)</f>
        <v>112550.88099999999</v>
      </c>
      <c r="I25" s="29"/>
      <c r="J25" s="29"/>
      <c r="K25" s="29"/>
      <c r="L25" s="29"/>
    </row>
    <row r="26" spans="1:12" x14ac:dyDescent="0.3">
      <c r="A26" s="12"/>
      <c r="D26" s="103"/>
      <c r="E26" s="103"/>
      <c r="F26" s="103"/>
      <c r="G26" s="103"/>
      <c r="H26" s="103"/>
      <c r="L26" s="32"/>
    </row>
    <row r="27" spans="1:12" s="18" customFormat="1" ht="15" thickBot="1" x14ac:dyDescent="0.35">
      <c r="A27" s="85" t="s">
        <v>20</v>
      </c>
      <c r="B27" s="104">
        <f>SUM(B22:B25)</f>
        <v>600000</v>
      </c>
      <c r="C27" s="41"/>
      <c r="D27" s="104">
        <f t="shared" ref="D27:H27" si="3">SUM(D22:D25)</f>
        <v>600000</v>
      </c>
      <c r="E27" s="104">
        <f t="shared" si="3"/>
        <v>618000</v>
      </c>
      <c r="F27" s="104">
        <f t="shared" si="3"/>
        <v>636540</v>
      </c>
      <c r="G27" s="104">
        <f t="shared" si="3"/>
        <v>655636.19999999995</v>
      </c>
      <c r="H27" s="104">
        <f t="shared" si="3"/>
        <v>675305.28600000008</v>
      </c>
      <c r="I27" s="40"/>
      <c r="J27" s="40"/>
      <c r="K27" s="40"/>
      <c r="L27" s="42"/>
    </row>
    <row r="28" spans="1:12" ht="15" thickBot="1" x14ac:dyDescent="0.35">
      <c r="D28" s="103"/>
      <c r="E28" s="103"/>
      <c r="F28" s="103"/>
      <c r="G28" s="103"/>
      <c r="H28" s="103"/>
    </row>
    <row r="29" spans="1:12" s="18" customFormat="1" ht="15" thickBot="1" x14ac:dyDescent="0.35">
      <c r="A29" s="15" t="s">
        <v>22</v>
      </c>
      <c r="B29" s="105">
        <f>B19-B27</f>
        <v>-770000</v>
      </c>
      <c r="C29" s="44"/>
      <c r="D29" s="105">
        <f t="shared" ref="D29:H29" si="4">D19-D27</f>
        <v>2700000</v>
      </c>
      <c r="E29" s="105">
        <f t="shared" si="4"/>
        <v>3280800</v>
      </c>
      <c r="F29" s="105">
        <f t="shared" si="4"/>
        <v>3838518</v>
      </c>
      <c r="G29" s="105">
        <f t="shared" si="4"/>
        <v>4372146.3599999994</v>
      </c>
      <c r="H29" s="105">
        <f t="shared" si="4"/>
        <v>4880637.7553999983</v>
      </c>
      <c r="I29" s="43"/>
      <c r="J29" s="43"/>
      <c r="K29" s="43"/>
      <c r="L29" s="45"/>
    </row>
    <row r="30" spans="1:12" s="18" customFormat="1" x14ac:dyDescent="0.3">
      <c r="A30" s="14" t="s">
        <v>51</v>
      </c>
      <c r="B30" s="46"/>
      <c r="C30" s="47"/>
      <c r="D30" s="106">
        <f t="shared" ref="D30:H30" si="5">D47</f>
        <v>400000</v>
      </c>
      <c r="E30" s="106">
        <f>E47</f>
        <v>368000</v>
      </c>
      <c r="F30" s="106">
        <f t="shared" si="5"/>
        <v>338560</v>
      </c>
      <c r="G30" s="106">
        <f t="shared" si="5"/>
        <v>311475.20000000001</v>
      </c>
      <c r="H30" s="106">
        <f t="shared" si="5"/>
        <v>286557.18400000001</v>
      </c>
      <c r="I30" s="48"/>
      <c r="J30" s="48"/>
      <c r="K30" s="48"/>
      <c r="L30" s="49"/>
    </row>
    <row r="31" spans="1:12" s="18" customFormat="1" x14ac:dyDescent="0.3">
      <c r="A31" s="13" t="s">
        <v>52</v>
      </c>
      <c r="B31" s="50"/>
      <c r="C31" s="25"/>
      <c r="D31" s="107">
        <f>D29-D30</f>
        <v>2300000</v>
      </c>
      <c r="E31" s="107">
        <f t="shared" ref="E31:H31" si="6">E29-E30</f>
        <v>2912800</v>
      </c>
      <c r="F31" s="107">
        <f t="shared" si="6"/>
        <v>3499958</v>
      </c>
      <c r="G31" s="107">
        <f t="shared" si="6"/>
        <v>4060671.1599999992</v>
      </c>
      <c r="H31" s="107">
        <f t="shared" si="6"/>
        <v>4594080.5713999979</v>
      </c>
      <c r="I31" s="50"/>
      <c r="J31" s="50"/>
      <c r="K31" s="50"/>
      <c r="L31" s="51"/>
    </row>
    <row r="32" spans="1:12" s="18" customFormat="1" x14ac:dyDescent="0.3">
      <c r="A32" s="12" t="s">
        <v>53</v>
      </c>
      <c r="B32" s="50"/>
      <c r="C32" s="25"/>
      <c r="D32" s="103">
        <f>D59</f>
        <v>180000</v>
      </c>
      <c r="E32" s="103">
        <f t="shared" ref="E32:H32" si="7">E59</f>
        <v>150000</v>
      </c>
      <c r="F32" s="103">
        <f t="shared" si="7"/>
        <v>120000</v>
      </c>
      <c r="G32" s="103">
        <f t="shared" si="7"/>
        <v>90000</v>
      </c>
      <c r="H32" s="103">
        <f t="shared" si="7"/>
        <v>60000</v>
      </c>
      <c r="I32" s="52"/>
      <c r="J32" s="52"/>
      <c r="K32" s="52"/>
      <c r="L32" s="53"/>
    </row>
    <row r="33" spans="1:12" s="18" customFormat="1" x14ac:dyDescent="0.3">
      <c r="A33" s="13" t="s">
        <v>54</v>
      </c>
      <c r="B33" s="50"/>
      <c r="C33" s="25"/>
      <c r="D33" s="107">
        <f t="shared" ref="D33:H33" si="8">D31-D32</f>
        <v>2120000</v>
      </c>
      <c r="E33" s="107">
        <f t="shared" si="8"/>
        <v>2762800</v>
      </c>
      <c r="F33" s="107">
        <f t="shared" si="8"/>
        <v>3379958</v>
      </c>
      <c r="G33" s="107">
        <f t="shared" si="8"/>
        <v>3970671.1599999992</v>
      </c>
      <c r="H33" s="107">
        <f t="shared" si="8"/>
        <v>4534080.5713999979</v>
      </c>
      <c r="I33" s="50"/>
      <c r="J33" s="50"/>
      <c r="K33" s="50"/>
      <c r="L33" s="51"/>
    </row>
    <row r="34" spans="1:12" s="18" customFormat="1" ht="15" thickBot="1" x14ac:dyDescent="0.35">
      <c r="A34" s="12" t="s">
        <v>56</v>
      </c>
      <c r="B34" s="54">
        <f>'Assumption Sheet'!B10</f>
        <v>0.25</v>
      </c>
      <c r="C34" s="25"/>
      <c r="D34" s="103">
        <f>MAX(0,D33*$B$34)</f>
        <v>530000</v>
      </c>
      <c r="E34" s="103">
        <f t="shared" ref="E34:H34" si="9">MAX(0,E33*$B$34)</f>
        <v>690700</v>
      </c>
      <c r="F34" s="103">
        <f t="shared" si="9"/>
        <v>844989.5</v>
      </c>
      <c r="G34" s="103">
        <f t="shared" si="9"/>
        <v>992667.7899999998</v>
      </c>
      <c r="H34" s="103">
        <f t="shared" si="9"/>
        <v>1133520.1428499995</v>
      </c>
      <c r="I34" s="52"/>
      <c r="J34" s="52"/>
      <c r="K34" s="52"/>
      <c r="L34" s="53"/>
    </row>
    <row r="35" spans="1:12" s="18" customFormat="1" ht="15" thickBot="1" x14ac:dyDescent="0.35">
      <c r="A35" s="15" t="s">
        <v>117</v>
      </c>
      <c r="B35" s="43"/>
      <c r="C35" s="44"/>
      <c r="D35" s="105">
        <f t="shared" ref="D35:H35" si="10">D33-D34</f>
        <v>1590000</v>
      </c>
      <c r="E35" s="105">
        <f t="shared" si="10"/>
        <v>2072100</v>
      </c>
      <c r="F35" s="105">
        <f t="shared" si="10"/>
        <v>2534968.5</v>
      </c>
      <c r="G35" s="105">
        <f t="shared" si="10"/>
        <v>2978003.3699999992</v>
      </c>
      <c r="H35" s="105">
        <f t="shared" si="10"/>
        <v>3400560.4285499984</v>
      </c>
      <c r="I35" s="43"/>
      <c r="J35" s="43"/>
      <c r="K35" s="43"/>
      <c r="L35" s="45"/>
    </row>
    <row r="36" spans="1:12" s="18" customFormat="1" x14ac:dyDescent="0.3">
      <c r="B36" s="50"/>
      <c r="C36" s="25"/>
      <c r="D36" s="107"/>
      <c r="E36" s="107"/>
      <c r="F36" s="107"/>
      <c r="G36" s="107"/>
      <c r="H36" s="107"/>
      <c r="I36" s="50"/>
      <c r="J36" s="50"/>
      <c r="K36" s="50"/>
      <c r="L36" s="50"/>
    </row>
    <row r="37" spans="1:12" s="18" customFormat="1" ht="15" thickBot="1" x14ac:dyDescent="0.35">
      <c r="B37" s="50"/>
      <c r="C37" s="25"/>
      <c r="D37" s="107"/>
      <c r="E37" s="107"/>
      <c r="F37" s="107"/>
      <c r="G37" s="107"/>
      <c r="H37" s="107"/>
      <c r="I37" s="50"/>
      <c r="J37" s="50"/>
      <c r="K37" s="50"/>
      <c r="L37" s="50"/>
    </row>
    <row r="38" spans="1:12" s="18" customFormat="1" x14ac:dyDescent="0.3">
      <c r="A38" s="86" t="s">
        <v>59</v>
      </c>
      <c r="B38" s="55"/>
      <c r="C38" s="56"/>
      <c r="D38" s="108"/>
      <c r="E38" s="108"/>
      <c r="F38" s="108"/>
      <c r="G38" s="108"/>
      <c r="H38" s="108"/>
      <c r="I38" s="55"/>
      <c r="J38" s="55"/>
      <c r="K38" s="55"/>
      <c r="L38" s="57"/>
    </row>
    <row r="39" spans="1:12" s="18" customFormat="1" ht="15" thickBot="1" x14ac:dyDescent="0.35">
      <c r="A39" s="87" t="s">
        <v>60</v>
      </c>
      <c r="B39" s="58"/>
      <c r="C39" s="59">
        <v>0</v>
      </c>
      <c r="D39" s="109">
        <f>'Assumption Sheet'!$F$15*D9</f>
        <v>500000</v>
      </c>
      <c r="E39" s="109">
        <f>'Assumption Sheet'!$F$15*E9</f>
        <v>600000</v>
      </c>
      <c r="F39" s="109">
        <f>'Assumption Sheet'!$F$15*F9</f>
        <v>700000</v>
      </c>
      <c r="G39" s="109">
        <f>'Assumption Sheet'!$F$15*G9</f>
        <v>800000</v>
      </c>
      <c r="H39" s="109">
        <f>'Assumption Sheet'!$F$15*H9</f>
        <v>900000</v>
      </c>
      <c r="I39" s="58"/>
      <c r="J39" s="58"/>
      <c r="K39" s="58"/>
      <c r="L39" s="58"/>
    </row>
    <row r="40" spans="1:12" ht="15" thickBot="1" x14ac:dyDescent="0.35">
      <c r="D40" s="103"/>
      <c r="E40" s="103"/>
      <c r="F40" s="103"/>
      <c r="G40" s="103"/>
      <c r="H40" s="103"/>
    </row>
    <row r="41" spans="1:12" x14ac:dyDescent="0.3">
      <c r="A41" s="83" t="s">
        <v>31</v>
      </c>
      <c r="B41" s="27"/>
      <c r="C41" s="27"/>
      <c r="D41" s="110"/>
      <c r="E41" s="110"/>
      <c r="F41" s="110"/>
      <c r="G41" s="110"/>
      <c r="H41" s="110"/>
      <c r="I41" s="27"/>
      <c r="J41" s="27"/>
      <c r="K41" s="27"/>
      <c r="L41" s="28"/>
    </row>
    <row r="42" spans="1:12" x14ac:dyDescent="0.3">
      <c r="A42" s="12" t="s">
        <v>24</v>
      </c>
      <c r="B42" s="99">
        <f>'Assumption Sheet'!B2</f>
        <v>5000000</v>
      </c>
      <c r="D42" s="103"/>
      <c r="E42" s="103"/>
      <c r="F42" s="103"/>
      <c r="G42" s="103"/>
      <c r="H42" s="103"/>
      <c r="L42" s="32"/>
    </row>
    <row r="43" spans="1:12" x14ac:dyDescent="0.3">
      <c r="A43" s="12" t="s">
        <v>32</v>
      </c>
      <c r="B43" s="54">
        <f>'Assumption Sheet'!F14</f>
        <v>0.08</v>
      </c>
      <c r="D43" s="103"/>
      <c r="E43" s="103"/>
      <c r="F43" s="103"/>
      <c r="G43" s="103"/>
      <c r="H43" s="103"/>
      <c r="L43" s="32"/>
    </row>
    <row r="44" spans="1:12" x14ac:dyDescent="0.3">
      <c r="A44" s="12"/>
      <c r="D44" s="103"/>
      <c r="E44" s="103"/>
      <c r="F44" s="103"/>
      <c r="G44" s="103"/>
      <c r="H44" s="103"/>
      <c r="L44" s="32"/>
    </row>
    <row r="45" spans="1:12" x14ac:dyDescent="0.3">
      <c r="A45" s="12" t="s">
        <v>33</v>
      </c>
      <c r="C45" s="61">
        <v>0</v>
      </c>
      <c r="D45" s="103">
        <f t="shared" ref="D45:H45" si="11">C48</f>
        <v>5000000</v>
      </c>
      <c r="E45" s="103">
        <f>D48</f>
        <v>4600000</v>
      </c>
      <c r="F45" s="103">
        <f t="shared" si="11"/>
        <v>4232000</v>
      </c>
      <c r="G45" s="103">
        <f t="shared" si="11"/>
        <v>3893440</v>
      </c>
      <c r="H45" s="103">
        <f t="shared" si="11"/>
        <v>3581964.8</v>
      </c>
      <c r="I45" s="52"/>
      <c r="J45" s="52"/>
      <c r="K45" s="52"/>
      <c r="L45" s="53"/>
    </row>
    <row r="46" spans="1:12" x14ac:dyDescent="0.3">
      <c r="A46" s="12" t="s">
        <v>34</v>
      </c>
      <c r="C46" s="52">
        <f>B42</f>
        <v>5000000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61"/>
      <c r="J46" s="61"/>
      <c r="K46" s="61"/>
      <c r="L46" s="62"/>
    </row>
    <row r="47" spans="1:12" ht="15" thickBot="1" x14ac:dyDescent="0.35">
      <c r="A47" s="12" t="s">
        <v>30</v>
      </c>
      <c r="C47" s="52">
        <f t="shared" ref="C47:H47" si="12">IF(C4&gt;0, ((C45+C46)*$B$43),0)</f>
        <v>0</v>
      </c>
      <c r="D47" s="103">
        <f t="shared" si="12"/>
        <v>400000</v>
      </c>
      <c r="E47" s="103">
        <f t="shared" si="12"/>
        <v>368000</v>
      </c>
      <c r="F47" s="103">
        <f t="shared" si="12"/>
        <v>338560</v>
      </c>
      <c r="G47" s="103">
        <f t="shared" si="12"/>
        <v>311475.20000000001</v>
      </c>
      <c r="H47" s="103">
        <f t="shared" si="12"/>
        <v>286557.18400000001</v>
      </c>
      <c r="I47" s="52"/>
      <c r="J47" s="52"/>
      <c r="K47" s="52"/>
      <c r="L47" s="53"/>
    </row>
    <row r="48" spans="1:12" ht="15" thickBot="1" x14ac:dyDescent="0.35">
      <c r="A48" s="15" t="s">
        <v>35</v>
      </c>
      <c r="B48" s="44"/>
      <c r="C48" s="43">
        <f>C45+C46-C47</f>
        <v>5000000</v>
      </c>
      <c r="D48" s="105">
        <f>D45+D46-D47</f>
        <v>4600000</v>
      </c>
      <c r="E48" s="105">
        <f t="shared" ref="E48:H48" si="13">E45+E46-E47</f>
        <v>4232000</v>
      </c>
      <c r="F48" s="105">
        <f t="shared" si="13"/>
        <v>3893440</v>
      </c>
      <c r="G48" s="105">
        <f t="shared" si="13"/>
        <v>3581964.8</v>
      </c>
      <c r="H48" s="105">
        <f t="shared" si="13"/>
        <v>3295407.6159999999</v>
      </c>
      <c r="I48" s="43"/>
      <c r="J48" s="43"/>
      <c r="K48" s="43"/>
      <c r="L48" s="45"/>
    </row>
    <row r="49" spans="1:12" ht="15" thickBot="1" x14ac:dyDescent="0.35"/>
    <row r="50" spans="1:12" x14ac:dyDescent="0.3">
      <c r="A50" s="83" t="s">
        <v>36</v>
      </c>
      <c r="B50" s="27"/>
      <c r="C50" s="2">
        <v>0</v>
      </c>
      <c r="D50" s="27">
        <v>1</v>
      </c>
      <c r="E50" s="27">
        <v>2</v>
      </c>
      <c r="F50" s="27">
        <v>3</v>
      </c>
      <c r="G50" s="27">
        <v>4</v>
      </c>
      <c r="H50" s="27">
        <v>5</v>
      </c>
      <c r="I50" s="27"/>
      <c r="J50" s="27"/>
      <c r="K50" s="27"/>
      <c r="L50" s="28"/>
    </row>
    <row r="51" spans="1:12" x14ac:dyDescent="0.3">
      <c r="A51" s="12" t="s">
        <v>37</v>
      </c>
      <c r="B51" s="99">
        <f>'Assumption Sheet'!B3</f>
        <v>3000000</v>
      </c>
      <c r="L51" s="32"/>
    </row>
    <row r="52" spans="1:12" x14ac:dyDescent="0.3">
      <c r="A52" s="12" t="s">
        <v>38</v>
      </c>
      <c r="B52" s="63">
        <f>'Assumption Sheet'!B8</f>
        <v>0.06</v>
      </c>
      <c r="L52" s="32"/>
    </row>
    <row r="53" spans="1:12" x14ac:dyDescent="0.3">
      <c r="A53" s="12" t="s">
        <v>39</v>
      </c>
      <c r="B53" s="61">
        <f>'Assumption Sheet'!B7</f>
        <v>7</v>
      </c>
      <c r="L53" s="32"/>
    </row>
    <row r="54" spans="1:12" x14ac:dyDescent="0.3">
      <c r="A54" s="12" t="s">
        <v>49</v>
      </c>
      <c r="B54" s="61">
        <v>7</v>
      </c>
      <c r="L54" s="32"/>
    </row>
    <row r="55" spans="1:12" x14ac:dyDescent="0.3">
      <c r="A55" s="12"/>
      <c r="B55" s="61"/>
      <c r="L55" s="32"/>
    </row>
    <row r="56" spans="1:12" x14ac:dyDescent="0.3">
      <c r="A56" s="12" t="s">
        <v>33</v>
      </c>
      <c r="C56" s="29">
        <v>0</v>
      </c>
      <c r="D56" s="99">
        <f t="shared" ref="D56:H56" si="14">C60</f>
        <v>3000000</v>
      </c>
      <c r="E56" s="99">
        <f t="shared" si="14"/>
        <v>2500000</v>
      </c>
      <c r="F56" s="99">
        <f t="shared" si="14"/>
        <v>2000000</v>
      </c>
      <c r="G56" s="99">
        <f t="shared" si="14"/>
        <v>1500000</v>
      </c>
      <c r="H56" s="99">
        <f t="shared" si="14"/>
        <v>1000000</v>
      </c>
      <c r="I56" s="29"/>
      <c r="L56" s="32"/>
    </row>
    <row r="57" spans="1:12" x14ac:dyDescent="0.3">
      <c r="A57" s="12" t="s">
        <v>40</v>
      </c>
      <c r="C57" s="99">
        <f>'Assumption Sheet'!B3</f>
        <v>3000000</v>
      </c>
      <c r="D57" s="99">
        <v>0</v>
      </c>
      <c r="E57" s="99">
        <v>0</v>
      </c>
      <c r="F57" s="99">
        <v>0</v>
      </c>
      <c r="G57" s="99">
        <v>0</v>
      </c>
      <c r="H57" s="99">
        <v>0</v>
      </c>
      <c r="I57" s="29"/>
      <c r="L57" s="32"/>
    </row>
    <row r="58" spans="1:12" x14ac:dyDescent="0.3">
      <c r="A58" s="12" t="s">
        <v>41</v>
      </c>
      <c r="C58" s="99"/>
      <c r="D58" s="99">
        <f>D56/6</f>
        <v>500000</v>
      </c>
      <c r="E58" s="99">
        <f>D58</f>
        <v>500000</v>
      </c>
      <c r="F58" s="99">
        <f>E58</f>
        <v>500000</v>
      </c>
      <c r="G58" s="99">
        <f>F58</f>
        <v>500000</v>
      </c>
      <c r="H58" s="99">
        <f>G58</f>
        <v>500000</v>
      </c>
      <c r="I58" s="29"/>
      <c r="L58" s="32"/>
    </row>
    <row r="59" spans="1:12" x14ac:dyDescent="0.3">
      <c r="A59" s="12" t="s">
        <v>48</v>
      </c>
      <c r="C59" s="99"/>
      <c r="D59" s="99">
        <f>D56*$B$52</f>
        <v>180000</v>
      </c>
      <c r="E59" s="99">
        <f t="shared" ref="E59:H59" si="15">E56*$B$52</f>
        <v>150000</v>
      </c>
      <c r="F59" s="99">
        <f t="shared" si="15"/>
        <v>120000</v>
      </c>
      <c r="G59" s="99">
        <f t="shared" si="15"/>
        <v>90000</v>
      </c>
      <c r="H59" s="99">
        <f t="shared" si="15"/>
        <v>60000</v>
      </c>
      <c r="I59" s="29"/>
      <c r="L59" s="32"/>
    </row>
    <row r="60" spans="1:12" x14ac:dyDescent="0.3">
      <c r="A60" s="12" t="s">
        <v>35</v>
      </c>
      <c r="C60" s="99">
        <f t="shared" ref="C60:H60" si="16">C56+C57-C58</f>
        <v>3000000</v>
      </c>
      <c r="D60" s="99">
        <f>D56+D57-D58</f>
        <v>2500000</v>
      </c>
      <c r="E60" s="99">
        <f t="shared" si="16"/>
        <v>2000000</v>
      </c>
      <c r="F60" s="99">
        <f t="shared" si="16"/>
        <v>1500000</v>
      </c>
      <c r="G60" s="99">
        <f t="shared" si="16"/>
        <v>1000000</v>
      </c>
      <c r="H60" s="99">
        <f t="shared" si="16"/>
        <v>500000</v>
      </c>
      <c r="I60" s="29"/>
      <c r="L60" s="32"/>
    </row>
    <row r="61" spans="1:12" x14ac:dyDescent="0.3">
      <c r="A61" s="12"/>
      <c r="D61" s="103"/>
      <c r="E61" s="103"/>
      <c r="F61" s="103"/>
      <c r="G61" s="103"/>
      <c r="H61" s="103"/>
      <c r="L61" s="32"/>
    </row>
    <row r="62" spans="1:12" ht="15" thickBot="1" x14ac:dyDescent="0.35">
      <c r="A62" s="85" t="s">
        <v>50</v>
      </c>
      <c r="B62" s="41"/>
      <c r="C62" s="40">
        <f>C58+C59</f>
        <v>0</v>
      </c>
      <c r="D62" s="104">
        <f>D58+D59</f>
        <v>680000</v>
      </c>
      <c r="E62" s="104">
        <f t="shared" ref="E62:H62" si="17">E58+E59</f>
        <v>650000</v>
      </c>
      <c r="F62" s="104">
        <f t="shared" si="17"/>
        <v>620000</v>
      </c>
      <c r="G62" s="104">
        <f t="shared" si="17"/>
        <v>590000</v>
      </c>
      <c r="H62" s="104">
        <f t="shared" si="17"/>
        <v>560000</v>
      </c>
      <c r="I62" s="40"/>
      <c r="J62" s="64"/>
      <c r="K62" s="64"/>
      <c r="L62" s="65"/>
    </row>
    <row r="63" spans="1:12" ht="15" thickBot="1" x14ac:dyDescent="0.35">
      <c r="D63" s="103"/>
      <c r="E63" s="103"/>
      <c r="F63" s="103"/>
      <c r="G63" s="103"/>
      <c r="H63" s="103"/>
    </row>
    <row r="64" spans="1:12" x14ac:dyDescent="0.3">
      <c r="A64" s="83" t="s">
        <v>61</v>
      </c>
      <c r="B64" s="27"/>
      <c r="C64" s="27"/>
      <c r="D64" s="110"/>
      <c r="E64" s="110"/>
      <c r="F64" s="110"/>
      <c r="G64" s="110"/>
      <c r="H64" s="110"/>
      <c r="I64" s="27"/>
      <c r="J64" s="27"/>
      <c r="K64" s="27"/>
      <c r="L64" s="28"/>
    </row>
    <row r="65" spans="1:12" x14ac:dyDescent="0.3">
      <c r="A65" s="12" t="s">
        <v>22</v>
      </c>
      <c r="D65" s="103">
        <f t="shared" ref="D65:H65" si="18">D29</f>
        <v>2700000</v>
      </c>
      <c r="E65" s="103">
        <f t="shared" si="18"/>
        <v>3280800</v>
      </c>
      <c r="F65" s="103">
        <f t="shared" si="18"/>
        <v>3838518</v>
      </c>
      <c r="G65" s="103">
        <f t="shared" si="18"/>
        <v>4372146.3599999994</v>
      </c>
      <c r="H65" s="103">
        <f t="shared" si="18"/>
        <v>4880637.7553999983</v>
      </c>
      <c r="L65" s="32"/>
    </row>
    <row r="66" spans="1:12" x14ac:dyDescent="0.3">
      <c r="A66" s="12" t="s">
        <v>55</v>
      </c>
      <c r="D66" s="103">
        <f t="shared" ref="D66:H66" si="19">D38</f>
        <v>0</v>
      </c>
      <c r="E66" s="103">
        <f t="shared" si="19"/>
        <v>0</v>
      </c>
      <c r="F66" s="103">
        <f t="shared" si="19"/>
        <v>0</v>
      </c>
      <c r="G66" s="103">
        <f t="shared" si="19"/>
        <v>0</v>
      </c>
      <c r="H66" s="103">
        <f t="shared" si="19"/>
        <v>0</v>
      </c>
      <c r="I66" s="52"/>
      <c r="J66" s="52"/>
      <c r="K66" s="52"/>
      <c r="L66" s="53"/>
    </row>
    <row r="67" spans="1:12" x14ac:dyDescent="0.3">
      <c r="A67" s="12" t="s">
        <v>56</v>
      </c>
      <c r="B67" s="54">
        <f>B34</f>
        <v>0.25</v>
      </c>
      <c r="D67" s="103">
        <f>MAX(0,D65*$B$67)</f>
        <v>675000</v>
      </c>
      <c r="E67" s="103">
        <f t="shared" ref="E67:H67" si="20">MAX(0,E65*$B$67)</f>
        <v>820200</v>
      </c>
      <c r="F67" s="103">
        <f t="shared" si="20"/>
        <v>959629.5</v>
      </c>
      <c r="G67" s="103">
        <f t="shared" si="20"/>
        <v>1093036.5899999999</v>
      </c>
      <c r="H67" s="103">
        <f t="shared" si="20"/>
        <v>1220159.4388499996</v>
      </c>
      <c r="L67" s="32"/>
    </row>
    <row r="68" spans="1:12" ht="15" thickBot="1" x14ac:dyDescent="0.35">
      <c r="A68" s="12" t="s">
        <v>62</v>
      </c>
      <c r="D68" s="103">
        <f>D39-C39</f>
        <v>500000</v>
      </c>
      <c r="E68" s="103">
        <f t="shared" ref="E68:H68" si="21">E39-D39</f>
        <v>100000</v>
      </c>
      <c r="F68" s="103">
        <f t="shared" si="21"/>
        <v>100000</v>
      </c>
      <c r="G68" s="103">
        <f t="shared" si="21"/>
        <v>100000</v>
      </c>
      <c r="H68" s="103">
        <f t="shared" si="21"/>
        <v>100000</v>
      </c>
      <c r="I68" s="52"/>
      <c r="J68" s="52"/>
      <c r="K68" s="52"/>
      <c r="L68" s="53"/>
    </row>
    <row r="69" spans="1:12" ht="15" thickBot="1" x14ac:dyDescent="0.35">
      <c r="A69" s="15" t="s">
        <v>102</v>
      </c>
      <c r="B69" s="66"/>
      <c r="C69" s="66"/>
      <c r="D69" s="111">
        <f>D65-D66-D67-D68</f>
        <v>1525000</v>
      </c>
      <c r="E69" s="111">
        <f t="shared" ref="E69:H69" si="22">E65-E66-E67-E68</f>
        <v>2360600</v>
      </c>
      <c r="F69" s="111">
        <f t="shared" si="22"/>
        <v>2778888.5</v>
      </c>
      <c r="G69" s="111">
        <f t="shared" si="22"/>
        <v>3179109.7699999996</v>
      </c>
      <c r="H69" s="111">
        <f t="shared" si="22"/>
        <v>3560478.3165499987</v>
      </c>
      <c r="I69" s="67"/>
      <c r="J69" s="67"/>
      <c r="K69" s="67"/>
      <c r="L69" s="68"/>
    </row>
    <row r="70" spans="1:12" x14ac:dyDescent="0.3">
      <c r="D70" s="103"/>
      <c r="E70" s="103"/>
      <c r="F70" s="103"/>
      <c r="G70" s="103"/>
      <c r="H70" s="103"/>
    </row>
    <row r="71" spans="1:12" hidden="1" x14ac:dyDescent="0.3">
      <c r="A71" s="83" t="s">
        <v>63</v>
      </c>
      <c r="B71" s="27"/>
      <c r="C71" s="27"/>
      <c r="D71" s="110"/>
      <c r="E71" s="110"/>
      <c r="F71" s="110"/>
      <c r="G71" s="110"/>
      <c r="H71" s="110"/>
      <c r="I71" s="27"/>
      <c r="J71" s="27"/>
      <c r="K71" s="27"/>
      <c r="L71" s="28"/>
    </row>
    <row r="72" spans="1:12" hidden="1" x14ac:dyDescent="0.3">
      <c r="A72" s="12" t="s">
        <v>104</v>
      </c>
      <c r="D72" s="103"/>
      <c r="E72" s="103"/>
      <c r="F72" s="103"/>
      <c r="G72" s="103"/>
      <c r="H72" s="103"/>
      <c r="L72" s="32"/>
    </row>
    <row r="73" spans="1:12" hidden="1" x14ac:dyDescent="0.3">
      <c r="A73" s="12" t="s">
        <v>64</v>
      </c>
      <c r="B73" s="63">
        <f>B52</f>
        <v>0.06</v>
      </c>
      <c r="D73" s="103">
        <f>NPV($B$73,E69:$I$69)</f>
        <v>10189656.182675995</v>
      </c>
      <c r="E73" s="103">
        <f>NPV($B$73,F69:$I$69)</f>
        <v>8440435.5536365565</v>
      </c>
      <c r="F73" s="103">
        <f>NPV($B$73,G69:$I$69)</f>
        <v>6167973.1868547508</v>
      </c>
      <c r="G73" s="103">
        <f>NPV($B$73,H69:$I$69)</f>
        <v>3358941.8080660366</v>
      </c>
      <c r="H73" s="103">
        <f>NPV($B$73,I69:$I$69)</f>
        <v>0</v>
      </c>
      <c r="I73" s="60"/>
      <c r="L73" s="32"/>
    </row>
    <row r="74" spans="1:12" hidden="1" x14ac:dyDescent="0.3">
      <c r="A74" s="12" t="s">
        <v>65</v>
      </c>
      <c r="D74" s="103">
        <f t="shared" ref="D74:H74" si="23">D60</f>
        <v>2500000</v>
      </c>
      <c r="E74" s="103">
        <f t="shared" si="23"/>
        <v>2000000</v>
      </c>
      <c r="F74" s="103">
        <f t="shared" si="23"/>
        <v>1500000</v>
      </c>
      <c r="G74" s="103">
        <f t="shared" si="23"/>
        <v>1000000</v>
      </c>
      <c r="H74" s="103">
        <f t="shared" si="23"/>
        <v>500000</v>
      </c>
      <c r="I74" s="52"/>
      <c r="J74" s="52"/>
      <c r="K74" s="52"/>
      <c r="L74" s="53"/>
    </row>
    <row r="75" spans="1:12" ht="15" hidden="1" thickBot="1" x14ac:dyDescent="0.35">
      <c r="A75" s="15" t="s">
        <v>104</v>
      </c>
      <c r="B75" s="44"/>
      <c r="C75" s="44"/>
      <c r="D75" s="105">
        <f t="shared" ref="D75:H75" si="24">D73/D74</f>
        <v>4.0758624730703978</v>
      </c>
      <c r="E75" s="105">
        <f t="shared" si="24"/>
        <v>4.220217776818278</v>
      </c>
      <c r="F75" s="105">
        <f t="shared" si="24"/>
        <v>4.1119821245698338</v>
      </c>
      <c r="G75" s="105">
        <f t="shared" si="24"/>
        <v>3.3589418080660365</v>
      </c>
      <c r="H75" s="105">
        <f t="shared" si="24"/>
        <v>0</v>
      </c>
      <c r="I75" s="44"/>
      <c r="J75" s="44"/>
      <c r="K75" s="44"/>
      <c r="L75" s="69"/>
    </row>
    <row r="76" spans="1:12" hidden="1" x14ac:dyDescent="0.3">
      <c r="A76" s="14"/>
      <c r="B76" s="70"/>
      <c r="C76" s="70"/>
      <c r="D76" s="106"/>
      <c r="E76" s="106"/>
      <c r="F76" s="106"/>
      <c r="G76" s="106"/>
      <c r="H76" s="106"/>
      <c r="I76" s="70"/>
      <c r="J76" s="70"/>
      <c r="K76" s="70"/>
      <c r="L76" s="71"/>
    </row>
    <row r="77" spans="1:12" hidden="1" x14ac:dyDescent="0.3">
      <c r="A77" s="12" t="s">
        <v>103</v>
      </c>
      <c r="D77" s="103"/>
      <c r="E77" s="103"/>
      <c r="F77" s="103"/>
      <c r="G77" s="103"/>
      <c r="H77" s="103"/>
      <c r="L77" s="32"/>
    </row>
    <row r="78" spans="1:12" hidden="1" x14ac:dyDescent="0.3">
      <c r="A78" s="12" t="s">
        <v>64</v>
      </c>
      <c r="B78" s="63">
        <f>B52</f>
        <v>0.06</v>
      </c>
      <c r="D78" s="103">
        <f>NPV($B$78,E69:$L$69)</f>
        <v>10189656.182675995</v>
      </c>
      <c r="E78" s="103">
        <f>NPV($B$78,F69:$L$69)</f>
        <v>8440435.5536365565</v>
      </c>
      <c r="F78" s="103">
        <f>NPV($B$78,G69:$L$69)</f>
        <v>6167973.1868547508</v>
      </c>
      <c r="G78" s="103">
        <f>NPV($B$78,H69:$L$69)</f>
        <v>3358941.8080660366</v>
      </c>
      <c r="H78" s="103">
        <f>NPV($B$78,I69:$L$69)</f>
        <v>0</v>
      </c>
      <c r="I78" s="60"/>
      <c r="J78" s="60"/>
      <c r="K78" s="60"/>
      <c r="L78" s="72"/>
    </row>
    <row r="79" spans="1:12" hidden="1" x14ac:dyDescent="0.3">
      <c r="A79" s="12" t="s">
        <v>65</v>
      </c>
      <c r="D79" s="103">
        <f t="shared" ref="D79:H79" si="25">D60</f>
        <v>2500000</v>
      </c>
      <c r="E79" s="103">
        <f t="shared" si="25"/>
        <v>2000000</v>
      </c>
      <c r="F79" s="103">
        <f t="shared" si="25"/>
        <v>1500000</v>
      </c>
      <c r="G79" s="103">
        <f t="shared" si="25"/>
        <v>1000000</v>
      </c>
      <c r="H79" s="103">
        <f t="shared" si="25"/>
        <v>500000</v>
      </c>
      <c r="I79" s="52"/>
      <c r="J79" s="52"/>
      <c r="K79" s="52"/>
      <c r="L79" s="53"/>
    </row>
    <row r="80" spans="1:12" ht="15" hidden="1" thickBot="1" x14ac:dyDescent="0.35">
      <c r="A80" s="15" t="s">
        <v>103</v>
      </c>
      <c r="B80" s="44"/>
      <c r="C80" s="44"/>
      <c r="D80" s="73">
        <f t="shared" ref="D80:H80" si="26">D78/D79</f>
        <v>4.0758624730703978</v>
      </c>
      <c r="E80" s="73">
        <f t="shared" si="26"/>
        <v>4.220217776818278</v>
      </c>
      <c r="F80" s="73">
        <f t="shared" si="26"/>
        <v>4.1119821245698338</v>
      </c>
      <c r="G80" s="73">
        <f t="shared" si="26"/>
        <v>3.3589418080660365</v>
      </c>
      <c r="H80" s="73">
        <f t="shared" si="26"/>
        <v>0</v>
      </c>
      <c r="I80" s="73"/>
      <c r="J80" s="44"/>
      <c r="K80" s="44"/>
      <c r="L80" s="69"/>
    </row>
    <row r="81" spans="1:12" hidden="1" x14ac:dyDescent="0.3"/>
    <row r="82" spans="1:12" ht="15" thickBot="1" x14ac:dyDescent="0.35"/>
    <row r="83" spans="1:12" x14ac:dyDescent="0.3">
      <c r="A83" s="83" t="s">
        <v>66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8"/>
    </row>
    <row r="84" spans="1:12" x14ac:dyDescent="0.3">
      <c r="A84" s="13" t="s">
        <v>76</v>
      </c>
      <c r="L84" s="32"/>
    </row>
    <row r="85" spans="1:12" x14ac:dyDescent="0.3">
      <c r="A85" s="12" t="s">
        <v>88</v>
      </c>
      <c r="C85" s="29">
        <f t="shared" ref="C85:H85" si="27">C35</f>
        <v>0</v>
      </c>
      <c r="D85" s="29">
        <f t="shared" si="27"/>
        <v>1590000</v>
      </c>
      <c r="E85" s="29">
        <f t="shared" si="27"/>
        <v>2072100</v>
      </c>
      <c r="F85" s="29">
        <f t="shared" si="27"/>
        <v>2534968.5</v>
      </c>
      <c r="G85" s="29">
        <f t="shared" si="27"/>
        <v>2978003.3699999992</v>
      </c>
      <c r="H85" s="29">
        <f t="shared" si="27"/>
        <v>3400560.4285499984</v>
      </c>
      <c r="I85" s="29"/>
      <c r="J85" s="29"/>
      <c r="K85" s="29"/>
      <c r="L85" s="29"/>
    </row>
    <row r="86" spans="1:12" x14ac:dyDescent="0.3">
      <c r="A86" s="12" t="s">
        <v>57</v>
      </c>
      <c r="C86" s="29">
        <f t="shared" ref="C86:H86" si="28">C47</f>
        <v>0</v>
      </c>
      <c r="D86" s="29">
        <f t="shared" si="28"/>
        <v>400000</v>
      </c>
      <c r="E86" s="29">
        <f t="shared" si="28"/>
        <v>368000</v>
      </c>
      <c r="F86" s="29">
        <f t="shared" si="28"/>
        <v>338560</v>
      </c>
      <c r="G86" s="29">
        <f t="shared" si="28"/>
        <v>311475.20000000001</v>
      </c>
      <c r="H86" s="29">
        <f t="shared" si="28"/>
        <v>286557.18400000001</v>
      </c>
      <c r="I86" s="29"/>
      <c r="J86" s="29"/>
      <c r="K86" s="29"/>
      <c r="L86" s="29"/>
    </row>
    <row r="87" spans="1:12" x14ac:dyDescent="0.3">
      <c r="A87" s="12" t="s">
        <v>89</v>
      </c>
      <c r="C87" s="29">
        <f t="shared" ref="C87:H87" si="29">C59</f>
        <v>0</v>
      </c>
      <c r="D87" s="29">
        <f t="shared" si="29"/>
        <v>180000</v>
      </c>
      <c r="E87" s="29">
        <f t="shared" si="29"/>
        <v>150000</v>
      </c>
      <c r="F87" s="29">
        <f t="shared" si="29"/>
        <v>120000</v>
      </c>
      <c r="G87" s="29">
        <f t="shared" si="29"/>
        <v>90000</v>
      </c>
      <c r="H87" s="29">
        <f t="shared" si="29"/>
        <v>60000</v>
      </c>
      <c r="I87" s="29"/>
      <c r="J87" s="29"/>
      <c r="K87" s="29"/>
      <c r="L87" s="29"/>
    </row>
    <row r="88" spans="1:12" ht="15" thickBot="1" x14ac:dyDescent="0.35">
      <c r="A88" s="12" t="s">
        <v>58</v>
      </c>
      <c r="C88" s="24">
        <f t="shared" ref="C88:H88" si="30">C68</f>
        <v>0</v>
      </c>
      <c r="D88" s="52">
        <f t="shared" si="30"/>
        <v>500000</v>
      </c>
      <c r="E88" s="52">
        <f t="shared" si="30"/>
        <v>100000</v>
      </c>
      <c r="F88" s="52">
        <f t="shared" si="30"/>
        <v>100000</v>
      </c>
      <c r="G88" s="52">
        <f t="shared" si="30"/>
        <v>100000</v>
      </c>
      <c r="H88" s="52">
        <f t="shared" si="30"/>
        <v>100000</v>
      </c>
      <c r="I88" s="52"/>
      <c r="J88" s="52"/>
      <c r="K88" s="52"/>
      <c r="L88" s="52"/>
    </row>
    <row r="89" spans="1:12" ht="15" thickBot="1" x14ac:dyDescent="0.35">
      <c r="A89" s="16" t="s">
        <v>77</v>
      </c>
      <c r="B89" s="74"/>
      <c r="C89" s="75">
        <f>C85+C86+C87-C88</f>
        <v>0</v>
      </c>
      <c r="D89" s="75">
        <f t="shared" ref="D89:H89" si="31">D85+D86+D87-D88</f>
        <v>1670000</v>
      </c>
      <c r="E89" s="75">
        <f t="shared" si="31"/>
        <v>2490100</v>
      </c>
      <c r="F89" s="75">
        <f t="shared" si="31"/>
        <v>2893528.5</v>
      </c>
      <c r="G89" s="75">
        <f t="shared" si="31"/>
        <v>3279478.5699999994</v>
      </c>
      <c r="H89" s="75">
        <f t="shared" si="31"/>
        <v>3647117.6125499983</v>
      </c>
      <c r="I89" s="75"/>
      <c r="J89" s="75"/>
      <c r="K89" s="75"/>
      <c r="L89" s="75"/>
    </row>
    <row r="90" spans="1:12" x14ac:dyDescent="0.3">
      <c r="A90" s="12"/>
      <c r="E90" s="52"/>
      <c r="F90" s="52"/>
      <c r="G90" s="52"/>
      <c r="H90" s="52"/>
      <c r="I90" s="52"/>
      <c r="J90" s="52"/>
      <c r="K90" s="52"/>
      <c r="L90" s="53"/>
    </row>
    <row r="91" spans="1:12" x14ac:dyDescent="0.3">
      <c r="A91" s="18" t="s">
        <v>78</v>
      </c>
      <c r="B91" s="25"/>
      <c r="C91" s="25"/>
      <c r="D91" s="50"/>
      <c r="E91" s="50"/>
      <c r="F91" s="50"/>
      <c r="G91" s="50"/>
      <c r="H91" s="50"/>
      <c r="I91" s="50"/>
      <c r="J91" s="50"/>
      <c r="K91" s="50"/>
      <c r="L91" s="50"/>
    </row>
    <row r="92" spans="1:12" x14ac:dyDescent="0.3">
      <c r="A92" s="12" t="s">
        <v>90</v>
      </c>
      <c r="B92" s="25"/>
      <c r="C92" s="99">
        <f>B42</f>
        <v>5000000</v>
      </c>
      <c r="D92" s="50"/>
      <c r="E92" s="50"/>
      <c r="F92" s="50"/>
      <c r="G92" s="50"/>
      <c r="H92" s="50"/>
      <c r="I92" s="50"/>
      <c r="J92" s="50"/>
      <c r="K92" s="50"/>
      <c r="L92" s="51"/>
    </row>
    <row r="93" spans="1:12" ht="15" thickBot="1" x14ac:dyDescent="0.35">
      <c r="A93" s="12" t="s">
        <v>91</v>
      </c>
      <c r="D93" s="52">
        <f t="shared" ref="D93:H93" si="32">D66</f>
        <v>0</v>
      </c>
      <c r="E93" s="52">
        <f t="shared" si="32"/>
        <v>0</v>
      </c>
      <c r="F93" s="52">
        <f t="shared" si="32"/>
        <v>0</v>
      </c>
      <c r="G93" s="52">
        <f t="shared" si="32"/>
        <v>0</v>
      </c>
      <c r="H93" s="52">
        <f t="shared" si="32"/>
        <v>0</v>
      </c>
      <c r="I93" s="52"/>
      <c r="J93" s="52"/>
      <c r="K93" s="52"/>
      <c r="L93" s="52"/>
    </row>
    <row r="94" spans="1:12" ht="15" thickBot="1" x14ac:dyDescent="0.35">
      <c r="A94" s="16" t="s">
        <v>92</v>
      </c>
      <c r="B94" s="74"/>
      <c r="C94" s="112">
        <f>-C92-C93</f>
        <v>-5000000</v>
      </c>
      <c r="D94" s="75">
        <f t="shared" ref="D94:H94" si="33">-D92-D93</f>
        <v>0</v>
      </c>
      <c r="E94" s="75">
        <f t="shared" si="33"/>
        <v>0</v>
      </c>
      <c r="F94" s="75">
        <f t="shared" si="33"/>
        <v>0</v>
      </c>
      <c r="G94" s="75">
        <f t="shared" si="33"/>
        <v>0</v>
      </c>
      <c r="H94" s="75">
        <f t="shared" si="33"/>
        <v>0</v>
      </c>
      <c r="I94" s="75"/>
      <c r="J94" s="75"/>
      <c r="K94" s="75"/>
      <c r="L94" s="75"/>
    </row>
    <row r="95" spans="1:12" x14ac:dyDescent="0.3">
      <c r="A95" s="12"/>
      <c r="D95" s="52"/>
      <c r="E95" s="52"/>
      <c r="F95" s="52"/>
      <c r="G95" s="52"/>
      <c r="H95" s="52"/>
      <c r="I95" s="52"/>
      <c r="J95" s="52"/>
      <c r="K95" s="52"/>
      <c r="L95" s="52"/>
    </row>
    <row r="96" spans="1:12" x14ac:dyDescent="0.3">
      <c r="A96" s="13" t="s">
        <v>79</v>
      </c>
      <c r="L96" s="32"/>
    </row>
    <row r="97" spans="1:12" x14ac:dyDescent="0.3">
      <c r="A97" s="12" t="s">
        <v>93</v>
      </c>
      <c r="C97" s="99">
        <f>'Assumption Sheet'!B2</f>
        <v>5000000</v>
      </c>
      <c r="D97" s="99"/>
      <c r="E97" s="99"/>
      <c r="F97" s="99"/>
      <c r="G97" s="99"/>
      <c r="H97" s="99"/>
      <c r="I97" s="99"/>
      <c r="L97" s="32"/>
    </row>
    <row r="98" spans="1:12" x14ac:dyDescent="0.3">
      <c r="A98" s="12" t="s">
        <v>40</v>
      </c>
      <c r="C98" s="99">
        <f>'Assumption Sheet'!B3</f>
        <v>3000000</v>
      </c>
      <c r="D98" s="99"/>
      <c r="E98" s="99"/>
      <c r="F98" s="99"/>
      <c r="G98" s="99"/>
      <c r="H98" s="99"/>
      <c r="I98" s="99"/>
      <c r="L98" s="32"/>
    </row>
    <row r="99" spans="1:12" x14ac:dyDescent="0.3">
      <c r="A99" s="12" t="s">
        <v>80</v>
      </c>
      <c r="C99" s="99">
        <f t="shared" ref="C99:H99" si="34">C59</f>
        <v>0</v>
      </c>
      <c r="D99" s="99">
        <f t="shared" si="34"/>
        <v>180000</v>
      </c>
      <c r="E99" s="99">
        <f t="shared" si="34"/>
        <v>150000</v>
      </c>
      <c r="F99" s="99">
        <f t="shared" si="34"/>
        <v>120000</v>
      </c>
      <c r="G99" s="99">
        <f t="shared" si="34"/>
        <v>90000</v>
      </c>
      <c r="H99" s="99">
        <f t="shared" si="34"/>
        <v>60000</v>
      </c>
      <c r="I99" s="99"/>
      <c r="J99" s="60"/>
      <c r="K99" s="60"/>
      <c r="L99" s="72"/>
    </row>
    <row r="100" spans="1:12" ht="15" thickBot="1" x14ac:dyDescent="0.35">
      <c r="A100" s="12" t="s">
        <v>81</v>
      </c>
      <c r="B100" s="25"/>
      <c r="C100" s="99">
        <f t="shared" ref="C100:H100" si="35">C58</f>
        <v>0</v>
      </c>
      <c r="D100" s="99">
        <f t="shared" si="35"/>
        <v>500000</v>
      </c>
      <c r="E100" s="99">
        <f t="shared" si="35"/>
        <v>500000</v>
      </c>
      <c r="F100" s="99">
        <f t="shared" si="35"/>
        <v>500000</v>
      </c>
      <c r="G100" s="99">
        <f t="shared" si="35"/>
        <v>500000</v>
      </c>
      <c r="H100" s="99">
        <f t="shared" si="35"/>
        <v>500000</v>
      </c>
      <c r="I100" s="99"/>
      <c r="J100" s="60"/>
      <c r="K100" s="60"/>
      <c r="L100" s="72"/>
    </row>
    <row r="101" spans="1:12" ht="15" thickBot="1" x14ac:dyDescent="0.35">
      <c r="A101" s="16" t="s">
        <v>82</v>
      </c>
      <c r="B101" s="74"/>
      <c r="C101" s="112">
        <f>C97+C98-C99-C100</f>
        <v>8000000</v>
      </c>
      <c r="D101" s="112">
        <f t="shared" ref="D101:H101" si="36">D97+D98-D99-D100</f>
        <v>-680000</v>
      </c>
      <c r="E101" s="112">
        <f t="shared" si="36"/>
        <v>-650000</v>
      </c>
      <c r="F101" s="112">
        <f t="shared" si="36"/>
        <v>-620000</v>
      </c>
      <c r="G101" s="112">
        <f t="shared" si="36"/>
        <v>-590000</v>
      </c>
      <c r="H101" s="112">
        <f t="shared" si="36"/>
        <v>-560000</v>
      </c>
      <c r="I101" s="112"/>
      <c r="J101" s="76"/>
      <c r="K101" s="76"/>
      <c r="L101" s="76"/>
    </row>
    <row r="102" spans="1:12" x14ac:dyDescent="0.3">
      <c r="A102" s="12"/>
      <c r="C102" s="99"/>
      <c r="D102" s="99"/>
      <c r="E102" s="99"/>
      <c r="F102" s="99"/>
      <c r="G102" s="99"/>
      <c r="H102" s="99"/>
      <c r="I102" s="99"/>
      <c r="L102" s="32"/>
    </row>
    <row r="103" spans="1:12" x14ac:dyDescent="0.3">
      <c r="A103" s="12" t="s">
        <v>94</v>
      </c>
      <c r="C103" s="99">
        <f>C89+C94+C101</f>
        <v>3000000</v>
      </c>
      <c r="D103" s="99">
        <f t="shared" ref="D103:H103" si="37">D89+D94+D101</f>
        <v>990000</v>
      </c>
      <c r="E103" s="99">
        <f t="shared" si="37"/>
        <v>1840100</v>
      </c>
      <c r="F103" s="99">
        <f t="shared" si="37"/>
        <v>2273528.5</v>
      </c>
      <c r="G103" s="99">
        <f t="shared" si="37"/>
        <v>2689478.5699999994</v>
      </c>
      <c r="H103" s="99">
        <f t="shared" si="37"/>
        <v>3087117.6125499983</v>
      </c>
      <c r="I103" s="99"/>
      <c r="J103" s="60"/>
      <c r="K103" s="60"/>
      <c r="L103" s="60"/>
    </row>
    <row r="104" spans="1:12" ht="15" thickBot="1" x14ac:dyDescent="0.35">
      <c r="A104" s="12" t="s">
        <v>95</v>
      </c>
      <c r="C104" s="99">
        <v>0</v>
      </c>
      <c r="D104" s="99">
        <f t="shared" ref="D104:H104" si="38">C105</f>
        <v>3000000</v>
      </c>
      <c r="E104" s="99">
        <f t="shared" si="38"/>
        <v>3990000</v>
      </c>
      <c r="F104" s="99">
        <f t="shared" si="38"/>
        <v>5830100</v>
      </c>
      <c r="G104" s="99">
        <f t="shared" si="38"/>
        <v>8103628.5</v>
      </c>
      <c r="H104" s="99">
        <f t="shared" si="38"/>
        <v>10793107.07</v>
      </c>
      <c r="I104" s="99"/>
      <c r="J104" s="60"/>
      <c r="K104" s="60"/>
      <c r="L104" s="60"/>
    </row>
    <row r="105" spans="1:12" ht="15" thickBot="1" x14ac:dyDescent="0.35">
      <c r="A105" s="15" t="s">
        <v>83</v>
      </c>
      <c r="B105" s="66"/>
      <c r="C105" s="113">
        <f>C103+C104</f>
        <v>3000000</v>
      </c>
      <c r="D105" s="113">
        <f t="shared" ref="D105:H105" si="39">D103+D104</f>
        <v>3990000</v>
      </c>
      <c r="E105" s="113">
        <f t="shared" si="39"/>
        <v>5830100</v>
      </c>
      <c r="F105" s="113">
        <f t="shared" si="39"/>
        <v>8103628.5</v>
      </c>
      <c r="G105" s="113">
        <f t="shared" si="39"/>
        <v>10793107.07</v>
      </c>
      <c r="H105" s="113">
        <f t="shared" si="39"/>
        <v>13880224.682549998</v>
      </c>
      <c r="I105" s="113"/>
      <c r="J105" s="77"/>
      <c r="K105" s="77"/>
      <c r="L105" s="77"/>
    </row>
    <row r="106" spans="1:12" ht="15" thickBot="1" x14ac:dyDescent="0.35">
      <c r="A106" s="18"/>
      <c r="B106" s="25"/>
      <c r="C106" s="114"/>
      <c r="D106" s="114"/>
      <c r="E106" s="114"/>
      <c r="F106" s="114"/>
      <c r="G106" s="114"/>
      <c r="H106" s="114"/>
      <c r="I106" s="114"/>
      <c r="J106" s="78"/>
      <c r="K106" s="78"/>
      <c r="L106" s="78"/>
    </row>
    <row r="107" spans="1:12" x14ac:dyDescent="0.3">
      <c r="A107" s="83" t="s">
        <v>68</v>
      </c>
      <c r="B107" s="27"/>
      <c r="C107" s="101"/>
      <c r="D107" s="101"/>
      <c r="E107" s="101"/>
      <c r="F107" s="101"/>
      <c r="G107" s="101"/>
      <c r="H107" s="101"/>
      <c r="I107" s="101"/>
      <c r="J107" s="27"/>
      <c r="K107" s="27"/>
      <c r="L107" s="28"/>
    </row>
    <row r="108" spans="1:12" x14ac:dyDescent="0.3">
      <c r="A108" s="13" t="s">
        <v>72</v>
      </c>
      <c r="C108" s="99"/>
      <c r="D108" s="99"/>
      <c r="E108" s="99"/>
      <c r="F108" s="99"/>
      <c r="G108" s="99"/>
      <c r="H108" s="99"/>
      <c r="I108" s="99"/>
      <c r="L108" s="32"/>
    </row>
    <row r="109" spans="1:12" x14ac:dyDescent="0.3">
      <c r="A109" s="12" t="s">
        <v>73</v>
      </c>
      <c r="C109" s="99"/>
      <c r="D109" s="99"/>
      <c r="E109" s="99"/>
      <c r="F109" s="99"/>
      <c r="G109" s="99"/>
      <c r="H109" s="99"/>
      <c r="I109" s="99"/>
      <c r="L109" s="32"/>
    </row>
    <row r="110" spans="1:12" x14ac:dyDescent="0.3">
      <c r="A110" s="12" t="s">
        <v>67</v>
      </c>
      <c r="C110" s="99"/>
      <c r="D110" s="99">
        <f>'Assumption Sheet'!B2</f>
        <v>5000000</v>
      </c>
      <c r="E110" s="99">
        <f>$D$110</f>
        <v>5000000</v>
      </c>
      <c r="F110" s="99">
        <f>$D$110</f>
        <v>5000000</v>
      </c>
      <c r="G110" s="99">
        <f>$D$110</f>
        <v>5000000</v>
      </c>
      <c r="H110" s="99">
        <f>$D$110</f>
        <v>5000000</v>
      </c>
      <c r="I110" s="99"/>
      <c r="J110" s="60"/>
      <c r="K110" s="60"/>
      <c r="L110" s="72"/>
    </row>
    <row r="111" spans="1:12" x14ac:dyDescent="0.3">
      <c r="A111" s="12" t="s">
        <v>74</v>
      </c>
      <c r="C111" s="99"/>
      <c r="D111" s="99">
        <f>D35</f>
        <v>1590000</v>
      </c>
      <c r="E111" s="99">
        <f>E35+D111</f>
        <v>3662100</v>
      </c>
      <c r="F111" s="99">
        <f>F35+E111</f>
        <v>6197068.5</v>
      </c>
      <c r="G111" s="99">
        <f>G35+F111</f>
        <v>9175071.8699999992</v>
      </c>
      <c r="H111" s="99">
        <f>H35+G111</f>
        <v>12575632.298549999</v>
      </c>
      <c r="I111" s="99"/>
      <c r="J111" s="52"/>
      <c r="K111" s="52"/>
      <c r="L111" s="53"/>
    </row>
    <row r="112" spans="1:12" ht="15" thickBot="1" x14ac:dyDescent="0.35">
      <c r="A112" s="17" t="s">
        <v>26</v>
      </c>
      <c r="B112" s="64"/>
      <c r="C112" s="115"/>
      <c r="D112" s="115">
        <f t="shared" ref="D112:H112" si="40">D60</f>
        <v>2500000</v>
      </c>
      <c r="E112" s="115">
        <f t="shared" si="40"/>
        <v>2000000</v>
      </c>
      <c r="F112" s="115">
        <f t="shared" si="40"/>
        <v>1500000</v>
      </c>
      <c r="G112" s="115">
        <f t="shared" si="40"/>
        <v>1000000</v>
      </c>
      <c r="H112" s="115">
        <f t="shared" si="40"/>
        <v>500000</v>
      </c>
      <c r="I112" s="115"/>
      <c r="J112" s="79"/>
      <c r="K112" s="79"/>
      <c r="L112" s="80"/>
    </row>
    <row r="113" spans="1:12" ht="15" thickBot="1" x14ac:dyDescent="0.35">
      <c r="A113" s="15" t="s">
        <v>72</v>
      </c>
      <c r="B113" s="66"/>
      <c r="C113" s="113"/>
      <c r="D113" s="113">
        <f t="shared" ref="D113:H113" si="41">D110+D111+D112</f>
        <v>9090000</v>
      </c>
      <c r="E113" s="113">
        <f t="shared" si="41"/>
        <v>10662100</v>
      </c>
      <c r="F113" s="113">
        <f t="shared" si="41"/>
        <v>12697068.5</v>
      </c>
      <c r="G113" s="113">
        <f t="shared" si="41"/>
        <v>15175071.869999999</v>
      </c>
      <c r="H113" s="113">
        <f t="shared" si="41"/>
        <v>18075632.298549999</v>
      </c>
      <c r="I113" s="113"/>
      <c r="J113" s="67"/>
      <c r="K113" s="67"/>
      <c r="L113" s="68"/>
    </row>
    <row r="114" spans="1:12" x14ac:dyDescent="0.3">
      <c r="A114" s="14"/>
      <c r="B114" s="70"/>
      <c r="C114" s="116"/>
      <c r="D114" s="116"/>
      <c r="E114" s="116"/>
      <c r="F114" s="116"/>
      <c r="G114" s="116"/>
      <c r="H114" s="116"/>
      <c r="I114" s="116"/>
      <c r="J114" s="70"/>
      <c r="K114" s="70"/>
      <c r="L114" s="71"/>
    </row>
    <row r="115" spans="1:12" x14ac:dyDescent="0.3">
      <c r="A115" s="13" t="s">
        <v>71</v>
      </c>
      <c r="C115" s="99"/>
      <c r="D115" s="99"/>
      <c r="E115" s="99"/>
      <c r="F115" s="99"/>
      <c r="G115" s="99"/>
      <c r="H115" s="99"/>
      <c r="I115" s="99"/>
      <c r="J115" s="60"/>
      <c r="K115" s="60"/>
      <c r="L115" s="72"/>
    </row>
    <row r="116" spans="1:12" x14ac:dyDescent="0.3">
      <c r="A116" s="13" t="s">
        <v>87</v>
      </c>
      <c r="C116" s="99"/>
      <c r="D116" s="99"/>
      <c r="E116" s="99"/>
      <c r="F116" s="99"/>
      <c r="G116" s="99"/>
      <c r="H116" s="99"/>
      <c r="I116" s="99"/>
      <c r="J116" s="60"/>
      <c r="K116" s="60"/>
      <c r="L116" s="72"/>
    </row>
    <row r="117" spans="1:12" x14ac:dyDescent="0.3">
      <c r="A117" s="12" t="s">
        <v>85</v>
      </c>
      <c r="C117" s="99"/>
      <c r="D117" s="99">
        <f>D45</f>
        <v>5000000</v>
      </c>
      <c r="E117" s="99">
        <f>D119</f>
        <v>5000000</v>
      </c>
      <c r="F117" s="99">
        <f>E119</f>
        <v>5000000</v>
      </c>
      <c r="G117" s="99">
        <f>F119</f>
        <v>5000000</v>
      </c>
      <c r="H117" s="99">
        <f>G119</f>
        <v>5000000</v>
      </c>
      <c r="I117" s="99"/>
      <c r="J117" s="60"/>
      <c r="K117" s="60"/>
      <c r="L117" s="72"/>
    </row>
    <row r="118" spans="1:12" x14ac:dyDescent="0.3">
      <c r="A118" s="12" t="s">
        <v>69</v>
      </c>
      <c r="C118" s="99"/>
      <c r="D118" s="99">
        <f t="shared" ref="D118:H118" si="42">D38</f>
        <v>0</v>
      </c>
      <c r="E118" s="99">
        <f t="shared" si="42"/>
        <v>0</v>
      </c>
      <c r="F118" s="99">
        <f t="shared" si="42"/>
        <v>0</v>
      </c>
      <c r="G118" s="99">
        <f t="shared" si="42"/>
        <v>0</v>
      </c>
      <c r="H118" s="99">
        <f t="shared" si="42"/>
        <v>0</v>
      </c>
      <c r="I118" s="99"/>
      <c r="J118" s="60"/>
      <c r="K118" s="60"/>
      <c r="L118" s="72"/>
    </row>
    <row r="119" spans="1:12" x14ac:dyDescent="0.3">
      <c r="A119" s="12" t="s">
        <v>35</v>
      </c>
      <c r="C119" s="99"/>
      <c r="D119" s="99">
        <f t="shared" ref="D119:H119" si="43">D117+D118</f>
        <v>5000000</v>
      </c>
      <c r="E119" s="99">
        <f t="shared" si="43"/>
        <v>5000000</v>
      </c>
      <c r="F119" s="99">
        <f t="shared" si="43"/>
        <v>5000000</v>
      </c>
      <c r="G119" s="99">
        <f t="shared" si="43"/>
        <v>5000000</v>
      </c>
      <c r="H119" s="99">
        <f t="shared" si="43"/>
        <v>5000000</v>
      </c>
      <c r="I119" s="99"/>
      <c r="J119" s="60"/>
      <c r="K119" s="60"/>
      <c r="L119" s="72"/>
    </row>
    <row r="120" spans="1:12" x14ac:dyDescent="0.3">
      <c r="A120" s="12" t="s">
        <v>86</v>
      </c>
      <c r="C120" s="99"/>
      <c r="D120" s="99">
        <f>D47</f>
        <v>400000</v>
      </c>
      <c r="E120" s="99">
        <f>D120+E47</f>
        <v>768000</v>
      </c>
      <c r="F120" s="99">
        <f>E120+F47</f>
        <v>1106560</v>
      </c>
      <c r="G120" s="99">
        <f>F120+G47</f>
        <v>1418035.2</v>
      </c>
      <c r="H120" s="99">
        <f>G120+H47</f>
        <v>1704592.3840000001</v>
      </c>
      <c r="I120" s="99"/>
      <c r="J120" s="60"/>
      <c r="K120" s="60"/>
      <c r="L120" s="72"/>
    </row>
    <row r="121" spans="1:12" x14ac:dyDescent="0.3">
      <c r="A121" s="13" t="s">
        <v>84</v>
      </c>
      <c r="B121" s="25"/>
      <c r="C121" s="114"/>
      <c r="D121" s="114">
        <f t="shared" ref="D121:H121" si="44">D119-D120</f>
        <v>4600000</v>
      </c>
      <c r="E121" s="114">
        <f t="shared" si="44"/>
        <v>4232000</v>
      </c>
      <c r="F121" s="114">
        <f t="shared" si="44"/>
        <v>3893440</v>
      </c>
      <c r="G121" s="114">
        <f t="shared" si="44"/>
        <v>3581964.8</v>
      </c>
      <c r="H121" s="114">
        <f t="shared" si="44"/>
        <v>3295407.6159999999</v>
      </c>
      <c r="I121" s="114"/>
      <c r="J121" s="78"/>
      <c r="K121" s="78"/>
      <c r="L121" s="81"/>
    </row>
    <row r="122" spans="1:12" x14ac:dyDescent="0.3">
      <c r="A122" s="13"/>
      <c r="B122" s="25"/>
      <c r="C122" s="114"/>
      <c r="D122" s="114"/>
      <c r="E122" s="114"/>
      <c r="F122" s="114"/>
      <c r="G122" s="114"/>
      <c r="H122" s="114"/>
      <c r="I122" s="114"/>
      <c r="J122" s="78"/>
      <c r="K122" s="78"/>
      <c r="L122" s="81"/>
    </row>
    <row r="123" spans="1:12" x14ac:dyDescent="0.3">
      <c r="A123" s="13" t="s">
        <v>70</v>
      </c>
      <c r="C123" s="99"/>
      <c r="D123" s="99"/>
      <c r="E123" s="99"/>
      <c r="F123" s="99"/>
      <c r="G123" s="99"/>
      <c r="H123" s="99"/>
      <c r="I123" s="99"/>
      <c r="L123" s="32"/>
    </row>
    <row r="124" spans="1:12" x14ac:dyDescent="0.3">
      <c r="A124" s="12" t="s">
        <v>96</v>
      </c>
      <c r="C124" s="99"/>
      <c r="D124" s="99">
        <f>D39</f>
        <v>500000</v>
      </c>
      <c r="E124" s="99">
        <f t="shared" ref="E124:H124" si="45">E39</f>
        <v>600000</v>
      </c>
      <c r="F124" s="99">
        <f t="shared" si="45"/>
        <v>700000</v>
      </c>
      <c r="G124" s="99">
        <f t="shared" si="45"/>
        <v>800000</v>
      </c>
      <c r="H124" s="99">
        <f t="shared" si="45"/>
        <v>900000</v>
      </c>
      <c r="I124" s="99"/>
      <c r="J124" s="60"/>
      <c r="K124" s="60"/>
      <c r="L124" s="72"/>
    </row>
    <row r="125" spans="1:12" ht="15" thickBot="1" x14ac:dyDescent="0.35">
      <c r="A125" s="12" t="s">
        <v>75</v>
      </c>
      <c r="C125" s="99"/>
      <c r="D125" s="99">
        <f t="shared" ref="D125:H125" si="46">D105</f>
        <v>3990000</v>
      </c>
      <c r="E125" s="99">
        <f t="shared" si="46"/>
        <v>5830100</v>
      </c>
      <c r="F125" s="99">
        <f t="shared" si="46"/>
        <v>8103628.5</v>
      </c>
      <c r="G125" s="99">
        <f t="shared" si="46"/>
        <v>10793107.07</v>
      </c>
      <c r="H125" s="99">
        <f t="shared" si="46"/>
        <v>13880224.682549998</v>
      </c>
      <c r="I125" s="99"/>
      <c r="J125" s="60"/>
      <c r="K125" s="60"/>
      <c r="L125" s="72"/>
    </row>
    <row r="126" spans="1:12" ht="15" thickBot="1" x14ac:dyDescent="0.35">
      <c r="A126" s="15" t="s">
        <v>71</v>
      </c>
      <c r="B126" s="66"/>
      <c r="C126" s="113"/>
      <c r="D126" s="113">
        <f t="shared" ref="D126:H126" si="47">D121+D124+D125</f>
        <v>9090000</v>
      </c>
      <c r="E126" s="113">
        <f t="shared" si="47"/>
        <v>10662100</v>
      </c>
      <c r="F126" s="113">
        <f t="shared" si="47"/>
        <v>12697068.5</v>
      </c>
      <c r="G126" s="113">
        <f t="shared" si="47"/>
        <v>15175071.870000001</v>
      </c>
      <c r="H126" s="113">
        <f t="shared" si="47"/>
        <v>18075632.298549999</v>
      </c>
      <c r="I126" s="113"/>
      <c r="J126" s="77"/>
      <c r="K126" s="77"/>
      <c r="L126" s="82"/>
    </row>
    <row r="127" spans="1:12" x14ac:dyDescent="0.3">
      <c r="A127" s="12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12" x14ac:dyDescent="0.3">
      <c r="A128" s="18"/>
      <c r="D128" s="52"/>
      <c r="E128" s="52"/>
      <c r="F128" s="52"/>
      <c r="G128" s="52"/>
      <c r="H128" s="52"/>
      <c r="I128" s="52"/>
      <c r="J128" s="52"/>
      <c r="K128" s="52"/>
      <c r="L128" s="52"/>
    </row>
    <row r="130" spans="3:3" x14ac:dyDescent="0.3">
      <c r="C130" s="103">
        <f>D126-D113</f>
        <v>0</v>
      </c>
    </row>
  </sheetData>
  <pageMargins left="0.7" right="0.7" top="0.75" bottom="0.75" header="0.3" footer="0.3"/>
  <pageSetup orientation="portrait" r:id="rId1"/>
  <ignoredErrors>
    <ignoredError sqref="E32:H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 Sheet</vt:lpstr>
      <vt:lpstr>Financial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Khandelwal</dc:creator>
  <cp:lastModifiedBy>Anshika Panwar</cp:lastModifiedBy>
  <dcterms:created xsi:type="dcterms:W3CDTF">2015-06-05T18:17:20Z</dcterms:created>
  <dcterms:modified xsi:type="dcterms:W3CDTF">2023-12-10T12:07:13Z</dcterms:modified>
</cp:coreProperties>
</file>