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Рабочий стол\учёба\мат методы\TZ outsource\ТЗ_5\"/>
    </mc:Choice>
  </mc:AlternateContent>
  <xr:revisionPtr revIDLastSave="0" documentId="13_ncr:1_{3B4BE49C-FAC2-430F-AF63-61569481394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Квадратичная 3" sheetId="14" r:id="rId1"/>
    <sheet name="Квадратичная 2" sheetId="13" r:id="rId2"/>
    <sheet name="Квадратичная 1" sheetId="11" r:id="rId3"/>
    <sheet name="ДАТАСЕТ 1" sheetId="2" r:id="rId4"/>
    <sheet name="ДАТАСЕТ 2" sheetId="5" r:id="rId5"/>
    <sheet name="ДАТАСЕТ 3" sheetId="4" r:id="rId6"/>
  </sheets>
  <definedNames>
    <definedName name="anscount" hidden="1">2</definedName>
    <definedName name="limcount" hidden="1">2</definedName>
    <definedName name="sencount" hidden="1">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3" i="14" l="1" a="1"/>
  <c r="I23" i="14"/>
  <c r="E21" i="14" a="1"/>
  <c r="E21" i="14"/>
  <c r="E23" i="14"/>
  <c r="E22" i="14"/>
  <c r="I21" i="14" a="1"/>
  <c r="I21" i="14"/>
  <c r="I22" i="14" a="1"/>
  <c r="I22" i="14"/>
  <c r="I24" i="14" a="1"/>
  <c r="I24" i="14"/>
  <c r="I20" i="14" a="1"/>
  <c r="I20" i="14"/>
  <c r="C22" i="14"/>
  <c r="D22" i="14"/>
  <c r="C23" i="14" s="1"/>
  <c r="D21" i="14"/>
  <c r="B23" i="14" s="1"/>
  <c r="C21" i="14"/>
  <c r="B22" i="14" s="1"/>
  <c r="B21" i="14"/>
  <c r="D23" i="14"/>
  <c r="I24" i="13" a="1"/>
  <c r="I24" i="13" s="1"/>
  <c r="I23" i="13" a="1"/>
  <c r="I23" i="13" s="1"/>
  <c r="E23" i="13"/>
  <c r="I22" i="13" a="1"/>
  <c r="I22" i="13" s="1"/>
  <c r="E22" i="13"/>
  <c r="C22" i="13"/>
  <c r="I21" i="13" a="1"/>
  <c r="I21" i="13" s="1"/>
  <c r="D22" i="13" s="1"/>
  <c r="C23" i="13" s="1"/>
  <c r="E21" i="13" a="1"/>
  <c r="E21" i="13" s="1"/>
  <c r="D21" i="13"/>
  <c r="B23" i="13" s="1"/>
  <c r="C21" i="13"/>
  <c r="B22" i="13" s="1"/>
  <c r="B21" i="13"/>
  <c r="I20" i="13" a="1"/>
  <c r="I20" i="13" s="1"/>
  <c r="D23" i="13" s="1"/>
  <c r="I20" i="11" a="1"/>
  <c r="I20" i="11"/>
  <c r="E21" i="11" a="1"/>
  <c r="E21" i="11"/>
  <c r="I21" i="11" a="1"/>
  <c r="I21" i="11"/>
  <c r="D22" i="11"/>
  <c r="E22" i="11"/>
  <c r="I22" i="11" a="1"/>
  <c r="I22" i="11"/>
  <c r="C23" i="11"/>
  <c r="D23" i="11"/>
  <c r="E23" i="11"/>
  <c r="I23" i="11" a="1"/>
  <c r="I23" i="11"/>
  <c r="C21" i="11" s="1"/>
  <c r="B22" i="11" s="1"/>
  <c r="I24" i="11" a="1"/>
  <c r="I24" i="11"/>
  <c r="B21" i="11" s="1"/>
  <c r="D21" i="11" l="1"/>
  <c r="C22" i="11"/>
  <c r="C14" i="2"/>
  <c r="E6" i="2"/>
  <c r="B22" i="2"/>
  <c r="M4" i="2"/>
  <c r="M3" i="2"/>
  <c r="O4" i="2"/>
  <c r="N4" i="2"/>
  <c r="K13" i="2"/>
  <c r="G4" i="2"/>
  <c r="E8" i="2"/>
  <c r="G3" i="2"/>
  <c r="B23" i="11" l="1"/>
  <c r="D25" i="11"/>
  <c r="B28" i="11" a="1"/>
  <c r="C13" i="2"/>
  <c r="B24" i="5"/>
  <c r="A24" i="5"/>
  <c r="D22" i="5"/>
  <c r="C22" i="5"/>
  <c r="D21" i="5"/>
  <c r="C21" i="5"/>
  <c r="D20" i="5"/>
  <c r="C20" i="5"/>
  <c r="D19" i="5"/>
  <c r="C19" i="5"/>
  <c r="B10" i="5"/>
  <c r="A10" i="5"/>
  <c r="D8" i="5"/>
  <c r="C8" i="5"/>
  <c r="D7" i="5"/>
  <c r="C7" i="5"/>
  <c r="D6" i="5"/>
  <c r="C6" i="5"/>
  <c r="D5" i="5"/>
  <c r="C5" i="5"/>
  <c r="D4" i="5"/>
  <c r="C4" i="5"/>
  <c r="D3" i="5"/>
  <c r="C3" i="5"/>
  <c r="B28" i="11" l="1"/>
  <c r="C28" i="11"/>
  <c r="D28" i="11"/>
  <c r="B29" i="11"/>
  <c r="C29" i="11"/>
  <c r="D29" i="11"/>
  <c r="B30" i="11"/>
  <c r="C30" i="11"/>
  <c r="D30" i="11"/>
  <c r="D24" i="5"/>
  <c r="C24" i="5"/>
  <c r="C27" i="5" s="1"/>
  <c r="C28" i="5" s="1"/>
  <c r="C10" i="5"/>
  <c r="D10" i="5"/>
  <c r="B25" i="4"/>
  <c r="A25" i="4"/>
  <c r="D23" i="4"/>
  <c r="C23" i="4"/>
  <c r="D22" i="4"/>
  <c r="C22" i="4"/>
  <c r="D21" i="4"/>
  <c r="C21" i="4"/>
  <c r="D20" i="4"/>
  <c r="C20" i="4"/>
  <c r="D19" i="4"/>
  <c r="C19" i="4"/>
  <c r="B10" i="4"/>
  <c r="A10" i="4"/>
  <c r="D8" i="4"/>
  <c r="C8" i="4"/>
  <c r="D7" i="4"/>
  <c r="C7" i="4"/>
  <c r="D6" i="4"/>
  <c r="C6" i="4"/>
  <c r="D5" i="4"/>
  <c r="C5" i="4"/>
  <c r="D4" i="4"/>
  <c r="C4" i="4"/>
  <c r="D3" i="4"/>
  <c r="C3" i="4"/>
  <c r="C8" i="2"/>
  <c r="C6" i="2"/>
  <c r="C5" i="2"/>
  <c r="C4" i="2"/>
  <c r="B10" i="2"/>
  <c r="D3" i="2"/>
  <c r="D4" i="2"/>
  <c r="D5" i="2"/>
  <c r="D6" i="2"/>
  <c r="D7" i="2"/>
  <c r="D8" i="2"/>
  <c r="C3" i="2"/>
  <c r="C7" i="2"/>
  <c r="A10" i="2"/>
  <c r="C13" i="5" l="1"/>
  <c r="E20" i="5"/>
  <c r="J21" i="5" s="1"/>
  <c r="K21" i="5" s="1"/>
  <c r="E21" i="5"/>
  <c r="E19" i="5"/>
  <c r="B33" i="5"/>
  <c r="E22" i="5"/>
  <c r="D10" i="2"/>
  <c r="C10" i="2"/>
  <c r="C25" i="4"/>
  <c r="D10" i="4"/>
  <c r="D25" i="4"/>
  <c r="C10" i="4"/>
  <c r="C14" i="5" l="1"/>
  <c r="J20" i="5"/>
  <c r="J23" i="5"/>
  <c r="K23" i="5" s="1"/>
  <c r="J22" i="5"/>
  <c r="K22" i="5" s="1"/>
  <c r="C13" i="4"/>
  <c r="E5" i="2"/>
  <c r="H5" i="2" s="1"/>
  <c r="G5" i="2"/>
  <c r="J5" i="2"/>
  <c r="K5" i="2" s="1"/>
  <c r="E7" i="2"/>
  <c r="E3" i="2"/>
  <c r="E4" i="2"/>
  <c r="C28" i="4"/>
  <c r="J25" i="5" l="1"/>
  <c r="E3" i="5"/>
  <c r="E6" i="5"/>
  <c r="E8" i="5"/>
  <c r="E5" i="5"/>
  <c r="E7" i="5"/>
  <c r="E4" i="5"/>
  <c r="K20" i="5"/>
  <c r="K25" i="5" s="1"/>
  <c r="K28" i="5" s="1"/>
  <c r="K29" i="5" s="1"/>
  <c r="C14" i="4"/>
  <c r="E4" i="4" s="1"/>
  <c r="H4" i="4" s="1"/>
  <c r="J4" i="2"/>
  <c r="K4" i="2" s="1"/>
  <c r="H4" i="2"/>
  <c r="H3" i="2"/>
  <c r="J3" i="2"/>
  <c r="K3" i="2" s="1"/>
  <c r="J6" i="2"/>
  <c r="K6" i="2" s="1"/>
  <c r="G6" i="2"/>
  <c r="H6" i="2"/>
  <c r="G8" i="2"/>
  <c r="J8" i="2"/>
  <c r="K8" i="2" s="1"/>
  <c r="H8" i="2"/>
  <c r="G7" i="2"/>
  <c r="H7" i="2"/>
  <c r="J7" i="2"/>
  <c r="K7" i="2" s="1"/>
  <c r="C29" i="4"/>
  <c r="B34" i="4" s="1"/>
  <c r="G4" i="4"/>
  <c r="E7" i="4"/>
  <c r="H5" i="5" l="1"/>
  <c r="G5" i="5"/>
  <c r="H8" i="5"/>
  <c r="G8" i="5"/>
  <c r="H6" i="5"/>
  <c r="G6" i="5"/>
  <c r="H4" i="5"/>
  <c r="G4" i="5"/>
  <c r="G7" i="5"/>
  <c r="H7" i="5"/>
  <c r="G3" i="5"/>
  <c r="H3" i="5"/>
  <c r="M21" i="5"/>
  <c r="N21" i="5"/>
  <c r="O21" i="5"/>
  <c r="Q21" i="5"/>
  <c r="P21" i="5"/>
  <c r="R21" i="5"/>
  <c r="O20" i="5"/>
  <c r="Q20" i="5"/>
  <c r="E33" i="5"/>
  <c r="N23" i="5"/>
  <c r="N22" i="5"/>
  <c r="R22" i="5"/>
  <c r="M20" i="5"/>
  <c r="O23" i="5"/>
  <c r="P22" i="5"/>
  <c r="Q22" i="5"/>
  <c r="N20" i="5"/>
  <c r="D33" i="5"/>
  <c r="R23" i="5"/>
  <c r="M23" i="5"/>
  <c r="P23" i="5"/>
  <c r="R20" i="5"/>
  <c r="P20" i="5"/>
  <c r="Q23" i="5"/>
  <c r="O22" i="5"/>
  <c r="M22" i="5"/>
  <c r="E3" i="4"/>
  <c r="G3" i="4" s="1"/>
  <c r="E5" i="4"/>
  <c r="H5" i="4" s="1"/>
  <c r="E6" i="4"/>
  <c r="H6" i="4" s="1"/>
  <c r="E8" i="4"/>
  <c r="H8" i="4" s="1"/>
  <c r="K10" i="2"/>
  <c r="K14" i="2" s="1"/>
  <c r="J10" i="2"/>
  <c r="E22" i="4"/>
  <c r="E19" i="4"/>
  <c r="E20" i="4"/>
  <c r="E23" i="4"/>
  <c r="E21" i="4"/>
  <c r="G5" i="4"/>
  <c r="G7" i="4"/>
  <c r="H7" i="4"/>
  <c r="G8" i="4" l="1"/>
  <c r="G6" i="4"/>
  <c r="H3" i="4"/>
  <c r="J20" i="4"/>
  <c r="K20" i="4" s="1"/>
  <c r="J24" i="4"/>
  <c r="K24" i="4" s="1"/>
  <c r="J22" i="4"/>
  <c r="K22" i="4" s="1"/>
  <c r="J21" i="4"/>
  <c r="K21" i="4" s="1"/>
  <c r="J23" i="4"/>
  <c r="K23" i="4" s="1"/>
  <c r="R5" i="2"/>
  <c r="O5" i="2"/>
  <c r="Q5" i="2"/>
  <c r="M5" i="2"/>
  <c r="N5" i="2"/>
  <c r="P5" i="2"/>
  <c r="P4" i="2"/>
  <c r="R3" i="2"/>
  <c r="Q3" i="2"/>
  <c r="R6" i="2"/>
  <c r="M6" i="2"/>
  <c r="Q8" i="2"/>
  <c r="Q7" i="2"/>
  <c r="R7" i="2"/>
  <c r="O7" i="2"/>
  <c r="P3" i="2"/>
  <c r="P6" i="2"/>
  <c r="N6" i="2"/>
  <c r="N8" i="2"/>
  <c r="M7" i="2"/>
  <c r="N3" i="2"/>
  <c r="M8" i="2"/>
  <c r="P7" i="2"/>
  <c r="O6" i="2"/>
  <c r="R8" i="2"/>
  <c r="O8" i="2"/>
  <c r="Q4" i="2"/>
  <c r="O3" i="2"/>
  <c r="Q6" i="2"/>
  <c r="P8" i="2"/>
  <c r="E22" i="2"/>
  <c r="N7" i="2"/>
  <c r="R4" i="2"/>
  <c r="D22" i="2"/>
  <c r="K26" i="4" l="1"/>
  <c r="K29" i="4" s="1"/>
  <c r="K30" i="4" s="1"/>
  <c r="J26" i="4"/>
  <c r="E34" i="4" l="1"/>
  <c r="D34" i="4"/>
  <c r="Q20" i="4"/>
  <c r="M24" i="4"/>
  <c r="R22" i="4"/>
  <c r="M22" i="4"/>
  <c r="N21" i="4"/>
  <c r="P21" i="4"/>
  <c r="P20" i="4"/>
  <c r="O21" i="4"/>
  <c r="O23" i="4"/>
  <c r="N23" i="4"/>
  <c r="Q24" i="4"/>
  <c r="N22" i="4"/>
  <c r="M21" i="4"/>
  <c r="P23" i="4"/>
  <c r="M20" i="4"/>
  <c r="N20" i="4"/>
  <c r="N24" i="4"/>
  <c r="P24" i="4"/>
  <c r="O22" i="4"/>
  <c r="Q21" i="4"/>
  <c r="R23" i="4"/>
  <c r="M23" i="4"/>
  <c r="O20" i="4"/>
  <c r="R24" i="4"/>
  <c r="P22" i="4"/>
  <c r="Q22" i="4"/>
  <c r="R20" i="4"/>
  <c r="O24" i="4"/>
  <c r="R21" i="4"/>
  <c r="Q23" i="4"/>
  <c r="E28" i="11" l="1" a="1"/>
  <c r="E28" i="11"/>
  <c r="E29" i="11"/>
  <c r="E30" i="11"/>
  <c r="N7" i="11"/>
  <c r="D34" i="11"/>
  <c r="F34" i="11"/>
  <c r="G34" i="11"/>
  <c r="I34" i="11"/>
  <c r="J34" i="11"/>
  <c r="D35" i="11"/>
  <c r="I35" i="11"/>
  <c r="J35" i="11"/>
  <c r="D36" i="11"/>
  <c r="I36" i="11"/>
  <c r="J36" i="11"/>
  <c r="D37" i="11"/>
  <c r="I37" i="11"/>
  <c r="J37" i="11"/>
  <c r="D38" i="11"/>
  <c r="I38" i="11"/>
  <c r="J38" i="11"/>
  <c r="D39" i="11"/>
  <c r="I39" i="11"/>
  <c r="J39" i="11"/>
  <c r="J41" i="11"/>
  <c r="J44" i="11"/>
  <c r="J45" i="11"/>
  <c r="L34" i="11"/>
  <c r="M34" i="11"/>
  <c r="N34" i="11"/>
  <c r="O34" i="11"/>
  <c r="P34" i="11"/>
  <c r="Q34" i="11"/>
  <c r="F35" i="11"/>
  <c r="G35" i="11"/>
  <c r="L35" i="11"/>
  <c r="M35" i="11"/>
  <c r="N35" i="11"/>
  <c r="O35" i="11"/>
  <c r="P35" i="11"/>
  <c r="Q35" i="11"/>
  <c r="F36" i="11"/>
  <c r="G36" i="11"/>
  <c r="L36" i="11"/>
  <c r="M36" i="11"/>
  <c r="N36" i="11"/>
  <c r="O36" i="11"/>
  <c r="P36" i="11"/>
  <c r="Q36" i="11"/>
  <c r="F37" i="11"/>
  <c r="G37" i="11"/>
  <c r="L37" i="11"/>
  <c r="M37" i="11"/>
  <c r="N37" i="11"/>
  <c r="O37" i="11"/>
  <c r="P37" i="11"/>
  <c r="Q37" i="11"/>
  <c r="F38" i="11"/>
  <c r="G38" i="11"/>
  <c r="L38" i="11"/>
  <c r="M38" i="11"/>
  <c r="N38" i="11"/>
  <c r="O38" i="11"/>
  <c r="P38" i="11"/>
  <c r="Q38" i="11"/>
  <c r="F39" i="11"/>
  <c r="G39" i="11"/>
  <c r="L39" i="11"/>
  <c r="M39" i="11"/>
  <c r="N39" i="11"/>
  <c r="O39" i="11"/>
  <c r="P39" i="11"/>
  <c r="Q39" i="11"/>
  <c r="I41" i="11"/>
  <c r="B28" i="13" a="1"/>
  <c r="B28" i="13"/>
  <c r="C28" i="13"/>
  <c r="D28" i="13"/>
  <c r="B29" i="13"/>
  <c r="C29" i="13"/>
  <c r="D29" i="13"/>
  <c r="B30" i="13"/>
  <c r="C30" i="13"/>
  <c r="D30" i="13"/>
  <c r="D25" i="13"/>
  <c r="E28" i="13" a="1"/>
  <c r="E28" i="13"/>
  <c r="E29" i="13"/>
  <c r="E30" i="13"/>
  <c r="N7" i="13"/>
  <c r="D39" i="13"/>
  <c r="D34" i="13"/>
  <c r="I34" i="13"/>
  <c r="J34" i="13"/>
  <c r="D35" i="13"/>
  <c r="I35" i="13"/>
  <c r="J35" i="13"/>
  <c r="D36" i="13"/>
  <c r="I36" i="13"/>
  <c r="J36" i="13"/>
  <c r="D37" i="13"/>
  <c r="I37" i="13"/>
  <c r="J37" i="13"/>
  <c r="D38" i="13"/>
  <c r="I38" i="13"/>
  <c r="J38" i="13"/>
  <c r="I39" i="13"/>
  <c r="J39" i="13"/>
  <c r="J41" i="13"/>
  <c r="J44" i="13"/>
  <c r="J45" i="13"/>
  <c r="Q39" i="13"/>
  <c r="P39" i="13"/>
  <c r="O39" i="13"/>
  <c r="N39" i="13"/>
  <c r="M39" i="13"/>
  <c r="L39" i="13"/>
  <c r="G39" i="13"/>
  <c r="F39" i="13"/>
  <c r="Q38" i="13"/>
  <c r="P38" i="13"/>
  <c r="O38" i="13"/>
  <c r="N38" i="13"/>
  <c r="M38" i="13"/>
  <c r="L38" i="13"/>
  <c r="G38" i="13"/>
  <c r="F38" i="13"/>
  <c r="Q37" i="13"/>
  <c r="P37" i="13"/>
  <c r="O37" i="13"/>
  <c r="N37" i="13"/>
  <c r="M37" i="13"/>
  <c r="L37" i="13"/>
  <c r="G37" i="13"/>
  <c r="F37" i="13"/>
  <c r="Q36" i="13"/>
  <c r="P36" i="13"/>
  <c r="O36" i="13"/>
  <c r="N36" i="13"/>
  <c r="M36" i="13"/>
  <c r="L36" i="13"/>
  <c r="G36" i="13"/>
  <c r="F36" i="13"/>
  <c r="Q35" i="13"/>
  <c r="P35" i="13"/>
  <c r="O35" i="13"/>
  <c r="N35" i="13"/>
  <c r="M35" i="13"/>
  <c r="L35" i="13"/>
  <c r="G35" i="13"/>
  <c r="F35" i="13"/>
  <c r="Q34" i="13"/>
  <c r="P34" i="13"/>
  <c r="O34" i="13"/>
  <c r="N34" i="13"/>
  <c r="M34" i="13"/>
  <c r="L34" i="13"/>
  <c r="I41" i="13"/>
  <c r="G34" i="13"/>
  <c r="F34" i="13"/>
  <c r="B28" i="14" a="1"/>
  <c r="B28" i="14"/>
  <c r="C28" i="14"/>
  <c r="D28" i="14"/>
  <c r="B29" i="14"/>
  <c r="C29" i="14"/>
  <c r="D29" i="14"/>
  <c r="B30" i="14"/>
  <c r="C30" i="14"/>
  <c r="D30" i="14"/>
  <c r="D25" i="14"/>
  <c r="E28" i="14" a="1"/>
  <c r="E28" i="14"/>
  <c r="E29" i="14"/>
  <c r="E30" i="14"/>
  <c r="N7" i="14"/>
  <c r="D35" i="14"/>
  <c r="I35" i="14"/>
  <c r="J35" i="14"/>
  <c r="D36" i="14"/>
  <c r="I36" i="14"/>
  <c r="J36" i="14"/>
  <c r="D37" i="14"/>
  <c r="I37" i="14"/>
  <c r="J37" i="14"/>
  <c r="D38" i="14"/>
  <c r="I38" i="14" s="1"/>
  <c r="J38" i="14"/>
  <c r="G38" i="14"/>
  <c r="F38" i="14"/>
  <c r="G37" i="14"/>
  <c r="F37" i="14"/>
  <c r="G36" i="14"/>
  <c r="F36" i="14"/>
  <c r="G35" i="14"/>
  <c r="F35" i="14"/>
  <c r="D34" i="14" l="1"/>
  <c r="I39" i="14"/>
  <c r="G39" i="14"/>
  <c r="F39" i="14"/>
  <c r="I34" i="14" l="1"/>
  <c r="G34" i="14"/>
  <c r="F34" i="14"/>
  <c r="J39" i="14"/>
  <c r="J34" i="14" l="1"/>
  <c r="J41" i="14" s="1"/>
  <c r="J44" i="14" s="1"/>
  <c r="J45" i="14" s="1"/>
  <c r="I41" i="14"/>
  <c r="Q38" i="14"/>
  <c r="P38" i="14"/>
  <c r="O38" i="14"/>
  <c r="N38" i="14"/>
  <c r="M38" i="14"/>
  <c r="L38" i="14"/>
  <c r="Q37" i="14"/>
  <c r="P37" i="14"/>
  <c r="O37" i="14"/>
  <c r="N37" i="14"/>
  <c r="M37" i="14"/>
  <c r="L37" i="14"/>
  <c r="Q36" i="14"/>
  <c r="P36" i="14"/>
  <c r="O36" i="14"/>
  <c r="N36" i="14"/>
  <c r="M36" i="14"/>
  <c r="L36" i="14"/>
  <c r="Q35" i="14"/>
  <c r="P35" i="14"/>
  <c r="O35" i="14"/>
  <c r="N35" i="14"/>
  <c r="M35" i="14"/>
  <c r="L35" i="14"/>
  <c r="Q34" i="14"/>
  <c r="P34" i="14"/>
  <c r="O34" i="14"/>
  <c r="N34" i="14"/>
  <c r="M34" i="14"/>
  <c r="L34" i="14"/>
  <c r="Q39" i="14"/>
  <c r="P39" i="14"/>
  <c r="O39" i="14"/>
  <c r="N39" i="14"/>
  <c r="M39" i="14"/>
  <c r="L3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<sst xmlns="http://schemas.openxmlformats.org/spreadsheetml/2006/main" count="215" uniqueCount="50">
  <si>
    <t>ДАТАСЕТ 1</t>
  </si>
  <si>
    <t>ДАТАСЕТ 3</t>
  </si>
  <si>
    <t>СР. х</t>
  </si>
  <si>
    <t>СР. у</t>
  </si>
  <si>
    <t>у*х</t>
  </si>
  <si>
    <t>СР. у*х</t>
  </si>
  <si>
    <t>х^2</t>
  </si>
  <si>
    <t>СР. х^2</t>
  </si>
  <si>
    <t>а=</t>
  </si>
  <si>
    <t>b=</t>
  </si>
  <si>
    <t>Тренд</t>
  </si>
  <si>
    <t>±σ</t>
  </si>
  <si>
    <t>±1,5σ</t>
  </si>
  <si>
    <t>Отфильтрованные данные</t>
  </si>
  <si>
    <t>ПРОГНОЗИРОВАНИЕ</t>
  </si>
  <si>
    <t>(выбросов нет)</t>
  </si>
  <si>
    <t>Отклон</t>
  </si>
  <si>
    <t>сумма откл</t>
  </si>
  <si>
    <t>Отклон^2</t>
  </si>
  <si>
    <t>сумма откл^2</t>
  </si>
  <si>
    <t>D=</t>
  </si>
  <si>
    <t>СКО=</t>
  </si>
  <si>
    <t>±2σ</t>
  </si>
  <si>
    <t>±3σ</t>
  </si>
  <si>
    <t>Год</t>
  </si>
  <si>
    <t>Количество пересдач</t>
  </si>
  <si>
    <t>y</t>
  </si>
  <si>
    <t>x</t>
  </si>
  <si>
    <t>c</t>
  </si>
  <si>
    <t>b</t>
  </si>
  <si>
    <t>a</t>
  </si>
  <si>
    <t>Аппроксимирующая кривая (сглаж.)</t>
  </si>
  <si>
    <t>Данные</t>
  </si>
  <si>
    <t>Решение</t>
  </si>
  <si>
    <t>Обратная матрица</t>
  </si>
  <si>
    <t>Определитель матрицы</t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</si>
  <si>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</si>
  <si>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</si>
  <si>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</si>
  <si>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</si>
  <si>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0</t>
    </r>
  </si>
  <si>
    <t>Свободные члены</t>
  </si>
  <si>
    <t>Сумма степеней Х</t>
  </si>
  <si>
    <t>Степень (для Х)</t>
  </si>
  <si>
    <r>
      <t>x</t>
    </r>
    <r>
      <rPr>
        <b/>
        <vertAlign val="superscript"/>
        <sz val="11"/>
        <rFont val="Calibri"/>
        <family val="2"/>
        <charset val="204"/>
        <scheme val="minor"/>
      </rPr>
      <t>i</t>
    </r>
  </si>
  <si>
    <t>Матрица коэффициентов</t>
  </si>
  <si>
    <r>
      <t>Определяем коэффициенты уравнения y=</t>
    </r>
    <r>
      <rPr>
        <b/>
        <sz val="11"/>
        <color theme="1"/>
        <rFont val="Calibri"/>
        <family val="2"/>
        <charset val="204"/>
      </rPr>
      <t>∑b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x</t>
    </r>
    <r>
      <rPr>
        <b/>
        <vertAlign val="superscript"/>
        <sz val="11"/>
        <color theme="1"/>
        <rFont val="Calibri"/>
        <family val="2"/>
        <charset val="204"/>
        <scheme val="minor"/>
      </rPr>
      <t>i</t>
    </r>
  </si>
  <si>
    <t>Для названия диаграммы</t>
  </si>
  <si>
    <r>
      <t>y=ax</t>
    </r>
    <r>
      <rPr>
        <vertAlign val="superscript"/>
        <sz val="11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+bx+с</t>
    </r>
  </si>
  <si>
    <t>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</si>
</sst>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3F3F3F"/>
      <name val="Calibri"/>
      <family val="2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i/>
      <sz val="9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vertAlign val="superscript"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vertAlign val="superscript"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3" applyNumberFormat="0" applyAlignment="0" applyProtection="0"/>
    <xf numFmtId="0" fontId="1" fillId="3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3" borderId="0" xfId="2"/>
    <xf numFmtId="0" fontId="2" fillId="2" borderId="3" xfId="1"/>
    <xf numFmtId="0" fontId="0" fillId="0" borderId="0" xfId="0" applyAlignment="1">
      <alignment horizontal="right"/>
    </xf>
    <xf numFmtId="0" fontId="0" fillId="4" borderId="0" xfId="0" applyFill="1"/>
    <xf numFmtId="2" fontId="0" fillId="4" borderId="0" xfId="0" applyNumberFormat="1" applyFill="1" applyBorder="1"/>
    <xf numFmtId="0" fontId="3" fillId="0" borderId="2" xfId="0" applyFont="1" applyBorder="1"/>
    <xf numFmtId="0" fontId="3" fillId="0" borderId="0" xfId="0" applyFont="1" applyBorder="1"/>
    <xf numFmtId="0" fontId="0" fillId="0" borderId="0" xfId="0"/>
    <xf numFmtId="0" fontId="0" fillId="0" borderId="0" xfId="0" applyFont="1" applyBorder="1"/>
    <xf numFmtId="0" fontId="0" fillId="0" borderId="0" xfId="0"/>
    <xf numFmtId="0" fontId="6" fillId="0" borderId="8" xfId="0" applyFont="1" applyBorder="1"/>
    <xf numFmtId="0" fontId="8" fillId="0" borderId="0" xfId="0" applyFont="1"/>
    <xf numFmtId="165" fontId="9" fillId="0" borderId="8" xfId="0" applyNumberFormat="1" applyFont="1" applyBorder="1"/>
    <xf numFmtId="0" fontId="5" fillId="6" borderId="9" xfId="0" applyFont="1" applyFill="1" applyBorder="1"/>
    <xf numFmtId="0" fontId="5" fillId="6" borderId="0" xfId="0" applyFont="1" applyFill="1"/>
    <xf numFmtId="0" fontId="10" fillId="0" borderId="0" xfId="0" applyFont="1"/>
    <xf numFmtId="164" fontId="6" fillId="5" borderId="10" xfId="0" applyNumberFormat="1" applyFont="1" applyFill="1" applyBorder="1"/>
    <xf numFmtId="11" fontId="11" fillId="0" borderId="8" xfId="0" applyNumberFormat="1" applyFont="1" applyBorder="1"/>
    <xf numFmtId="11" fontId="11" fillId="0" borderId="11" xfId="0" applyNumberFormat="1" applyFont="1" applyBorder="1"/>
    <xf numFmtId="0" fontId="6" fillId="0" borderId="10" xfId="0" applyFont="1" applyBorder="1"/>
    <xf numFmtId="0" fontId="0" fillId="7" borderId="12" xfId="0" applyFill="1" applyBorder="1"/>
    <xf numFmtId="0" fontId="6" fillId="7" borderId="13" xfId="0" applyFont="1" applyFill="1" applyBorder="1"/>
    <xf numFmtId="0" fontId="0" fillId="0" borderId="8" xfId="0" applyBorder="1"/>
    <xf numFmtId="164" fontId="0" fillId="0" borderId="0" xfId="0" applyNumberFormat="1"/>
    <xf numFmtId="0" fontId="12" fillId="0" borderId="8" xfId="0" applyFont="1" applyBorder="1"/>
    <xf numFmtId="0" fontId="10" fillId="0" borderId="8" xfId="0" applyFont="1" applyBorder="1"/>
    <xf numFmtId="166" fontId="9" fillId="8" borderId="8" xfId="0" applyNumberFormat="1" applyFont="1" applyFill="1" applyBorder="1" applyAlignment="1">
      <alignment horizontal="center" vertical="center"/>
    </xf>
    <xf numFmtId="11" fontId="14" fillId="0" borderId="8" xfId="0" applyNumberFormat="1" applyFont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wrapText="1"/>
    </xf>
    <xf numFmtId="0" fontId="12" fillId="0" borderId="8" xfId="0" applyFont="1" applyBorder="1" applyAlignment="1">
      <alignment vertical="top" wrapText="1"/>
    </xf>
    <xf numFmtId="0" fontId="12" fillId="0" borderId="8" xfId="0" applyFont="1" applyBorder="1" applyAlignment="1">
      <alignment wrapText="1"/>
    </xf>
    <xf numFmtId="0" fontId="6" fillId="0" borderId="0" xfId="0" applyFont="1"/>
    <xf numFmtId="166" fontId="0" fillId="0" borderId="0" xfId="0" applyNumberFormat="1"/>
    <xf numFmtId="0" fontId="0" fillId="0" borderId="10" xfId="0" applyBorder="1"/>
    <xf numFmtId="0" fontId="0" fillId="0" borderId="12" xfId="0" applyBorder="1"/>
    <xf numFmtId="0" fontId="6" fillId="0" borderId="13" xfId="0" applyFont="1" applyBorder="1"/>
    <xf numFmtId="0" fontId="9" fillId="0" borderId="8" xfId="0" applyFont="1" applyBorder="1"/>
    <xf numFmtId="165" fontId="0" fillId="0" borderId="0" xfId="0" applyNumberFormat="1"/>
    <xf numFmtId="0" fontId="4" fillId="2" borderId="4" xfId="1" applyFont="1" applyBorder="1" applyAlignment="1">
      <alignment horizontal="center"/>
    </xf>
    <xf numFmtId="0" fontId="2" fillId="2" borderId="5" xfId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0" borderId="0" xfId="0"/>
    <xf numFmtId="2" fontId="0" fillId="4" borderId="0" xfId="0" applyNumberFormat="1" applyFill="1"/>
    <xf numFmtId="0" fontId="7" fillId="6" borderId="9" xfId="0" applyFont="1" applyFill="1" applyBorder="1"/>
  </cellXfs>
  <cellStyles count="4">
    <cellStyle name="60% — акцент2" xfId="2" builtinId="36"/>
    <cellStyle name="Вывод" xfId="1" builtinId="21"/>
    <cellStyle name="Гиперссылка 3" xfId="3" xr:uid="{1644F5F6-5BA9-46C4-849D-219E67831C1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'Квадратичная 3'!$N$7</c:f>
          <c:strCache>
            <c:ptCount val="1"/>
            <c:pt idx="0">
              <c:v>Квадратичная аппроксимация y=9,6333x^2-38895,0836x+39260310,2500</c:v>
            </c:pt>
          </c:strCache>
        </c:strRef>
      </c:tx>
      <c:layout>
        <c:manualLayout>
          <c:xMode val="edge"/>
          <c:yMode val="edge"/>
          <c:x val="0.10651989627102632"/>
          <c:y val="1.3889625542399812E-2"/>
        </c:manualLayout>
      </c:layout>
      <c:overlay val="1"/>
      <c:txPr>
        <a:bodyPr/>
        <a:lstStyle/>
        <a:p>
          <a:pPr>
            <a:defRPr sz="1200" b="0"/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8363177716688363E-2"/>
          <c:y val="6.2953769387330993E-2"/>
          <c:w val="0.94290722121586334"/>
          <c:h val="0.64237503215846492"/>
        </c:manualLayout>
      </c:layout>
      <c:scatterChart>
        <c:scatterStyle val="lineMarker"/>
        <c:varyColors val="0"/>
        <c:ser>
          <c:idx val="0"/>
          <c:order val="0"/>
          <c:tx>
            <c:strRef>
              <c:f>'Квадратичная 3'!$C$33</c:f>
              <c:strCache>
                <c:ptCount val="1"/>
                <c:pt idx="0">
                  <c:v>y</c:v>
                </c:pt>
              </c:strCache>
            </c:strRef>
          </c:tx>
          <c:spPr>
            <a:ln w="22225">
              <a:prstDash val="sysDot"/>
            </a:ln>
          </c:spPr>
          <c:marker>
            <c:symbol val="circle"/>
            <c:size val="5"/>
          </c:marker>
          <c:trendline>
            <c:trendlineType val="poly"/>
            <c:order val="2"/>
            <c:dispRSqr val="0"/>
            <c:dispEq val="0"/>
          </c:trendline>
          <c:xVal>
            <c:numRef>
              <c:f>'Квадратичная 3'!$B$34:$B$39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'Квадратичная 3'!$C$34:$C$39</c:f>
              <c:numCache>
                <c:formatCode>General</c:formatCode>
                <c:ptCount val="6"/>
                <c:pt idx="0">
                  <c:v>193</c:v>
                </c:pt>
                <c:pt idx="1">
                  <c:v>183</c:v>
                </c:pt>
                <c:pt idx="2">
                  <c:v>142</c:v>
                </c:pt>
                <c:pt idx="3">
                  <c:v>102</c:v>
                </c:pt>
                <c:pt idx="4">
                  <c:v>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21-457D-B49D-3CFC4D9EB3CC}"/>
            </c:ext>
          </c:extLst>
        </c:ser>
        <c:ser>
          <c:idx val="1"/>
          <c:order val="1"/>
          <c:tx>
            <c:strRef>
              <c:f>'Квадратичная 3'!$D$32</c:f>
              <c:strCache>
                <c:ptCount val="1"/>
                <c:pt idx="0">
                  <c:v>Аппроксимирующая кривая (сглаж.)</c:v>
                </c:pt>
              </c:strCache>
            </c:strRef>
          </c:tx>
          <c:marker>
            <c:symbol val="none"/>
          </c:marker>
          <c:xVal>
            <c:numRef>
              <c:f>'Квадратичная 3'!$B$34:$B$39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'Квадратичная 3'!$D$34:$D$39</c:f>
              <c:numCache>
                <c:formatCode>0.000</c:formatCode>
                <c:ptCount val="6"/>
                <c:pt idx="0">
                  <c:v>204.95230102539063</c:v>
                </c:pt>
                <c:pt idx="1">
                  <c:v>161.15210452675819</c:v>
                </c:pt>
                <c:pt idx="2">
                  <c:v>136.61859953403473</c:v>
                </c:pt>
                <c:pt idx="3">
                  <c:v>131.35178604722023</c:v>
                </c:pt>
                <c:pt idx="4">
                  <c:v>145.3516640663147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21-457D-B49D-3CFC4D9EB3CC}"/>
            </c:ext>
          </c:extLst>
        </c:ser>
        <c:ser>
          <c:idx val="2"/>
          <c:order val="2"/>
          <c:tx>
            <c:strRef>
              <c:f>'Квадратичная 3'!$L$33</c:f>
              <c:strCache>
                <c:ptCount val="1"/>
                <c:pt idx="0">
                  <c:v>±σ</c:v>
                </c:pt>
              </c:strCache>
            </c:strRef>
          </c:tx>
          <c:spPr>
            <a:ln w="317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'Квадратичная 3'!$B$34:$B$39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'Квадратичная 3'!$L$34:$L$39</c:f>
              <c:numCache>
                <c:formatCode>0.000</c:formatCode>
                <c:ptCount val="6"/>
                <c:pt idx="0">
                  <c:v>188.13488978333328</c:v>
                </c:pt>
                <c:pt idx="1">
                  <c:v>144.33469328470085</c:v>
                </c:pt>
                <c:pt idx="2">
                  <c:v>119.80118829197738</c:v>
                </c:pt>
                <c:pt idx="3">
                  <c:v>114.53437480516288</c:v>
                </c:pt>
                <c:pt idx="4">
                  <c:v>128.53425282425735</c:v>
                </c:pt>
                <c:pt idx="5">
                  <c:v>-16.817411242057354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21-457D-B49D-3CFC4D9EB3CC}"/>
            </c:ext>
          </c:extLst>
        </c:ser>
        <c:ser>
          <c:idx val="3"/>
          <c:order val="3"/>
          <c:tx>
            <c:v>Верхний +сигма1</c:v>
          </c:tx>
          <c:spPr>
            <a:ln w="31750">
              <a:solidFill>
                <a:srgbClr val="00B050"/>
              </a:solidFill>
            </a:ln>
          </c:spPr>
          <c:marker>
            <c:symbol val="none"/>
          </c:marker>
          <c:trendline>
            <c:trendlineType val="exp"/>
            <c:dispRSqr val="0"/>
            <c:dispEq val="0"/>
          </c:trendline>
          <c:xVal>
            <c:numRef>
              <c:f>'Квадратичная 3'!$B$34:$B$39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'Квадратичная 3'!$M$34:$M$39</c:f>
              <c:numCache>
                <c:formatCode>0.000</c:formatCode>
                <c:ptCount val="6"/>
                <c:pt idx="0">
                  <c:v>221.76971226744797</c:v>
                </c:pt>
                <c:pt idx="1">
                  <c:v>177.96951576881554</c:v>
                </c:pt>
                <c:pt idx="2">
                  <c:v>153.43601077609208</c:v>
                </c:pt>
                <c:pt idx="3">
                  <c:v>148.16919728927758</c:v>
                </c:pt>
                <c:pt idx="4">
                  <c:v>162.16907530837204</c:v>
                </c:pt>
                <c:pt idx="5">
                  <c:v>16.817411242057354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21-457D-B49D-3CFC4D9EB3CC}"/>
            </c:ext>
          </c:extLst>
        </c:ser>
        <c:ser>
          <c:idx val="4"/>
          <c:order val="4"/>
          <c:tx>
            <c:v>2сигма-</c:v>
          </c:tx>
          <c:spPr>
            <a:ln w="31750">
              <a:solidFill>
                <a:schemeClr val="accent5">
                  <a:shade val="76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'Квадратичная 3'!$B$34:$B$39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'Квадратичная 3'!$N$34:$N$39</c:f>
              <c:numCache>
                <c:formatCode>General</c:formatCode>
                <c:ptCount val="6"/>
                <c:pt idx="0">
                  <c:v>171.31747854127593</c:v>
                </c:pt>
                <c:pt idx="1">
                  <c:v>127.51728204264349</c:v>
                </c:pt>
                <c:pt idx="2">
                  <c:v>102.98377704992002</c:v>
                </c:pt>
                <c:pt idx="3">
                  <c:v>97.716963563105523</c:v>
                </c:pt>
                <c:pt idx="4">
                  <c:v>111.71684158219999</c:v>
                </c:pt>
                <c:pt idx="5">
                  <c:v>-33.634822484114707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621-457D-B49D-3CFC4D9EB3CC}"/>
            </c:ext>
          </c:extLst>
        </c:ser>
        <c:ser>
          <c:idx val="5"/>
          <c:order val="5"/>
          <c:tx>
            <c:v>2сигма+</c:v>
          </c:tx>
          <c:spPr>
            <a:ln w="31750">
              <a:solidFill>
                <a:srgbClr val="0070C0"/>
              </a:solidFill>
              <a:prstDash val="lgDash"/>
            </a:ln>
          </c:spPr>
          <c:marker>
            <c:symbol val="none"/>
          </c:marker>
          <c:xVal>
            <c:numRef>
              <c:f>'Квадратичная 3'!$B$34:$B$39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'Квадратичная 3'!$O$34:$O$39</c:f>
              <c:numCache>
                <c:formatCode>General</c:formatCode>
                <c:ptCount val="6"/>
                <c:pt idx="0">
                  <c:v>238.58712350950532</c:v>
                </c:pt>
                <c:pt idx="1">
                  <c:v>194.78692701087289</c:v>
                </c:pt>
                <c:pt idx="2">
                  <c:v>170.25342201814942</c:v>
                </c:pt>
                <c:pt idx="3">
                  <c:v>164.98660853133492</c:v>
                </c:pt>
                <c:pt idx="4">
                  <c:v>178.98648655042939</c:v>
                </c:pt>
                <c:pt idx="5">
                  <c:v>33.634822484114707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621-457D-B49D-3CFC4D9EB3CC}"/>
            </c:ext>
          </c:extLst>
        </c:ser>
        <c:ser>
          <c:idx val="6"/>
          <c:order val="6"/>
          <c:tx>
            <c:v>3сигма-</c:v>
          </c:tx>
          <c:spPr>
            <a:ln w="31750">
              <a:solidFill>
                <a:srgbClr val="7030A0"/>
              </a:solidFill>
              <a:prstDash val="sysDash"/>
            </a:ln>
          </c:spPr>
          <c:marker>
            <c:symbol val="none"/>
          </c:marker>
          <c:xVal>
            <c:numRef>
              <c:f>'Квадратичная 3'!$B$34:$B$39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'Квадратичная 3'!$P$34:$P$39</c:f>
              <c:numCache>
                <c:formatCode>General</c:formatCode>
                <c:ptCount val="6"/>
                <c:pt idx="0">
                  <c:v>154.50006729921856</c:v>
                </c:pt>
                <c:pt idx="1">
                  <c:v>110.69987080058613</c:v>
                </c:pt>
                <c:pt idx="2">
                  <c:v>86.166365807862661</c:v>
                </c:pt>
                <c:pt idx="3">
                  <c:v>80.899552321048162</c:v>
                </c:pt>
                <c:pt idx="4">
                  <c:v>94.899430340142629</c:v>
                </c:pt>
                <c:pt idx="5">
                  <c:v>-50.452233726172061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621-457D-B49D-3CFC4D9EB3CC}"/>
            </c:ext>
          </c:extLst>
        </c:ser>
        <c:ser>
          <c:idx val="7"/>
          <c:order val="7"/>
          <c:tx>
            <c:v>3сигма+</c:v>
          </c:tx>
          <c:spPr>
            <a:ln w="31750">
              <a:solidFill>
                <a:srgbClr val="7030A0"/>
              </a:solidFill>
              <a:prstDash val="sysDash"/>
            </a:ln>
          </c:spPr>
          <c:marker>
            <c:symbol val="none"/>
          </c:marker>
          <c:xVal>
            <c:numRef>
              <c:f>'Квадратичная 3'!$B$34:$B$39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'Квадратичная 3'!$Q$34:$Q$39</c:f>
              <c:numCache>
                <c:formatCode>General</c:formatCode>
                <c:ptCount val="6"/>
                <c:pt idx="0">
                  <c:v>255.40453475156269</c:v>
                </c:pt>
                <c:pt idx="1">
                  <c:v>211.60433825293026</c:v>
                </c:pt>
                <c:pt idx="2">
                  <c:v>187.0708332602068</c:v>
                </c:pt>
                <c:pt idx="3">
                  <c:v>181.8040197733923</c:v>
                </c:pt>
                <c:pt idx="4">
                  <c:v>195.80389779248677</c:v>
                </c:pt>
                <c:pt idx="5">
                  <c:v>50.452233726172061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621-457D-B49D-3CFC4D9EB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75840"/>
        <c:axId val="134156672"/>
      </c:scatterChart>
      <c:valAx>
        <c:axId val="1326758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out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4156672"/>
        <c:crosses val="autoZero"/>
        <c:crossBetween val="midCat"/>
      </c:valAx>
      <c:valAx>
        <c:axId val="13415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2675840"/>
        <c:crosses val="autoZero"/>
        <c:crossBetween val="midCat"/>
      </c:valAx>
    </c:plotArea>
    <c:legend>
      <c:legendPos val="b"/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12986536989684136"/>
          <c:y val="0.87715381495184108"/>
          <c:w val="0.75407842326618291"/>
          <c:h val="7.2112915424605933E-2"/>
        </c:manualLayout>
      </c:layout>
      <c:overlay val="0"/>
      <c:txPr>
        <a:bodyPr/>
        <a:lstStyle/>
        <a:p>
          <a:pPr>
            <a:defRPr lang="en-GB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'Квадратичная 2'!$N$7</c:f>
          <c:strCache>
            <c:ptCount val="1"/>
            <c:pt idx="0">
              <c:v>Квадратичная аппроксимация y=2,9477x^2-11905,9892x+12022202,8438</c:v>
            </c:pt>
          </c:strCache>
        </c:strRef>
      </c:tx>
      <c:layout>
        <c:manualLayout>
          <c:xMode val="edge"/>
          <c:yMode val="edge"/>
          <c:x val="0.10651989627102632"/>
          <c:y val="1.3889625542399812E-2"/>
        </c:manualLayout>
      </c:layout>
      <c:overlay val="1"/>
      <c:txPr>
        <a:bodyPr/>
        <a:lstStyle/>
        <a:p>
          <a:pPr>
            <a:defRPr sz="1200" b="0"/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8363177716688363E-2"/>
          <c:y val="6.2953769387330993E-2"/>
          <c:w val="0.94290722121586334"/>
          <c:h val="0.64237503215846492"/>
        </c:manualLayout>
      </c:layout>
      <c:scatterChart>
        <c:scatterStyle val="lineMarker"/>
        <c:varyColors val="0"/>
        <c:ser>
          <c:idx val="0"/>
          <c:order val="0"/>
          <c:tx>
            <c:strRef>
              <c:f>'Квадратичная 2'!$C$33</c:f>
              <c:strCache>
                <c:ptCount val="1"/>
                <c:pt idx="0">
                  <c:v>y</c:v>
                </c:pt>
              </c:strCache>
            </c:strRef>
          </c:tx>
          <c:spPr>
            <a:ln w="22225">
              <a:prstDash val="sysDot"/>
            </a:ln>
          </c:spPr>
          <c:marker>
            <c:symbol val="circle"/>
            <c:size val="5"/>
          </c:marker>
          <c:xVal>
            <c:numRef>
              <c:f>'Квадратичная 2'!$B$34:$B$39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2'!$C$34:$C$39</c:f>
              <c:numCache>
                <c:formatCode>General</c:formatCode>
                <c:ptCount val="6"/>
                <c:pt idx="0">
                  <c:v>91</c:v>
                </c:pt>
                <c:pt idx="1">
                  <c:v>169</c:v>
                </c:pt>
                <c:pt idx="2">
                  <c:v>42</c:v>
                </c:pt>
                <c:pt idx="3">
                  <c:v>93</c:v>
                </c:pt>
                <c:pt idx="4">
                  <c:v>71</c:v>
                </c:pt>
                <c:pt idx="5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4D-479E-85D4-D485E35165B7}"/>
            </c:ext>
          </c:extLst>
        </c:ser>
        <c:ser>
          <c:idx val="1"/>
          <c:order val="1"/>
          <c:tx>
            <c:strRef>
              <c:f>'Квадратичная 2'!$D$32</c:f>
              <c:strCache>
                <c:ptCount val="1"/>
                <c:pt idx="0">
                  <c:v>Аппроксимирующая кривая (сглаж.)</c:v>
                </c:pt>
              </c:strCache>
            </c:strRef>
          </c:tx>
          <c:marker>
            <c:symbol val="none"/>
          </c:marker>
          <c:xVal>
            <c:numRef>
              <c:f>'Квадратичная 2'!$B$34:$B$39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2'!$D$34:$D$39</c:f>
              <c:numCache>
                <c:formatCode>0.000</c:formatCode>
                <c:ptCount val="6"/>
                <c:pt idx="0">
                  <c:v>118.57283782958984</c:v>
                </c:pt>
                <c:pt idx="1">
                  <c:v>100.83890637010336</c:v>
                </c:pt>
                <c:pt idx="2">
                  <c:v>89.000464767217636</c:v>
                </c:pt>
                <c:pt idx="3">
                  <c:v>83.057513020932674</c:v>
                </c:pt>
                <c:pt idx="4">
                  <c:v>83.010051131248474</c:v>
                </c:pt>
                <c:pt idx="5">
                  <c:v>88.858079098165035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4D-479E-85D4-D485E35165B7}"/>
            </c:ext>
          </c:extLst>
        </c:ser>
        <c:ser>
          <c:idx val="2"/>
          <c:order val="2"/>
          <c:tx>
            <c:strRef>
              <c:f>'Квадратичная 2'!$L$33</c:f>
              <c:strCache>
                <c:ptCount val="1"/>
                <c:pt idx="0">
                  <c:v>±σ</c:v>
                </c:pt>
              </c:strCache>
            </c:strRef>
          </c:tx>
          <c:spPr>
            <a:ln w="317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'Квадратичная 2'!$B$34:$B$39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2'!$L$34:$L$39</c:f>
              <c:numCache>
                <c:formatCode>0.000</c:formatCode>
                <c:ptCount val="6"/>
                <c:pt idx="0">
                  <c:v>82.190816508580212</c:v>
                </c:pt>
                <c:pt idx="1">
                  <c:v>64.456885049093728</c:v>
                </c:pt>
                <c:pt idx="2">
                  <c:v>52.618443446208005</c:v>
                </c:pt>
                <c:pt idx="3">
                  <c:v>46.675491699923043</c:v>
                </c:pt>
                <c:pt idx="4">
                  <c:v>46.628029810238843</c:v>
                </c:pt>
                <c:pt idx="5">
                  <c:v>52.476057777155404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4D-479E-85D4-D485E35165B7}"/>
            </c:ext>
          </c:extLst>
        </c:ser>
        <c:ser>
          <c:idx val="3"/>
          <c:order val="3"/>
          <c:tx>
            <c:v>Верхний +сигма1</c:v>
          </c:tx>
          <c:spPr>
            <a:ln w="317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'Квадратичная 2'!$B$34:$B$39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2'!$M$34:$M$39</c:f>
              <c:numCache>
                <c:formatCode>0.000</c:formatCode>
                <c:ptCount val="6"/>
                <c:pt idx="0">
                  <c:v>154.95485915059948</c:v>
                </c:pt>
                <c:pt idx="1">
                  <c:v>137.22092769111299</c:v>
                </c:pt>
                <c:pt idx="2">
                  <c:v>125.38248608822727</c:v>
                </c:pt>
                <c:pt idx="3">
                  <c:v>119.43953434194231</c:v>
                </c:pt>
                <c:pt idx="4">
                  <c:v>119.39207245225811</c:v>
                </c:pt>
                <c:pt idx="5">
                  <c:v>125.24010041917467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4D-479E-85D4-D485E35165B7}"/>
            </c:ext>
          </c:extLst>
        </c:ser>
        <c:ser>
          <c:idx val="4"/>
          <c:order val="4"/>
          <c:tx>
            <c:v>2сигма-</c:v>
          </c:tx>
          <c:spPr>
            <a:ln w="31750">
              <a:solidFill>
                <a:schemeClr val="accent5">
                  <a:shade val="76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'Квадратичная 2'!$B$34:$B$39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2'!$N$34:$N$39</c:f>
              <c:numCache>
                <c:formatCode>General</c:formatCode>
                <c:ptCount val="6"/>
                <c:pt idx="0">
                  <c:v>45.808795187570581</c:v>
                </c:pt>
                <c:pt idx="1">
                  <c:v>28.074863728084097</c:v>
                </c:pt>
                <c:pt idx="2">
                  <c:v>16.236422125198374</c:v>
                </c:pt>
                <c:pt idx="3">
                  <c:v>10.293470378913412</c:v>
                </c:pt>
                <c:pt idx="4">
                  <c:v>10.246008489229212</c:v>
                </c:pt>
                <c:pt idx="5">
                  <c:v>16.094036456145773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4D-479E-85D4-D485E35165B7}"/>
            </c:ext>
          </c:extLst>
        </c:ser>
        <c:ser>
          <c:idx val="5"/>
          <c:order val="5"/>
          <c:tx>
            <c:v>2сигма+</c:v>
          </c:tx>
          <c:spPr>
            <a:ln w="31750">
              <a:solidFill>
                <a:srgbClr val="0070C0"/>
              </a:solidFill>
              <a:prstDash val="lgDash"/>
            </a:ln>
          </c:spPr>
          <c:marker>
            <c:symbol val="none"/>
          </c:marker>
          <c:xVal>
            <c:numRef>
              <c:f>'Квадратичная 2'!$B$34:$B$39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2'!$O$34:$O$39</c:f>
              <c:numCache>
                <c:formatCode>General</c:formatCode>
                <c:ptCount val="6"/>
                <c:pt idx="0">
                  <c:v>191.33688047160911</c:v>
                </c:pt>
                <c:pt idx="1">
                  <c:v>173.60294901212262</c:v>
                </c:pt>
                <c:pt idx="2">
                  <c:v>161.7645074092369</c:v>
                </c:pt>
                <c:pt idx="3">
                  <c:v>155.82155566295194</c:v>
                </c:pt>
                <c:pt idx="4">
                  <c:v>155.77409377326774</c:v>
                </c:pt>
                <c:pt idx="5">
                  <c:v>161.6221217401843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F4D-479E-85D4-D485E35165B7}"/>
            </c:ext>
          </c:extLst>
        </c:ser>
        <c:ser>
          <c:idx val="6"/>
          <c:order val="6"/>
          <c:tx>
            <c:v>3сигма-</c:v>
          </c:tx>
          <c:spPr>
            <a:ln w="31750">
              <a:solidFill>
                <a:srgbClr val="7030A0"/>
              </a:solidFill>
              <a:prstDash val="sysDash"/>
            </a:ln>
          </c:spPr>
          <c:marker>
            <c:symbol val="none"/>
          </c:marker>
          <c:xVal>
            <c:numRef>
              <c:f>'Квадратичная 2'!$B$34:$B$39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2'!$P$34:$P$39</c:f>
              <c:numCache>
                <c:formatCode>General</c:formatCode>
                <c:ptCount val="6"/>
                <c:pt idx="0">
                  <c:v>9.42677386656095</c:v>
                </c:pt>
                <c:pt idx="1">
                  <c:v>-8.3071575929255346</c:v>
                </c:pt>
                <c:pt idx="2">
                  <c:v>-20.145599195811258</c:v>
                </c:pt>
                <c:pt idx="3">
                  <c:v>-26.088550942096219</c:v>
                </c:pt>
                <c:pt idx="4">
                  <c:v>-26.13601283178042</c:v>
                </c:pt>
                <c:pt idx="5">
                  <c:v>-20.287984864863859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F4D-479E-85D4-D485E35165B7}"/>
            </c:ext>
          </c:extLst>
        </c:ser>
        <c:ser>
          <c:idx val="7"/>
          <c:order val="7"/>
          <c:tx>
            <c:v>3сигма+</c:v>
          </c:tx>
          <c:spPr>
            <a:ln w="31750">
              <a:solidFill>
                <a:srgbClr val="7030A0"/>
              </a:solidFill>
              <a:prstDash val="sysDash"/>
            </a:ln>
          </c:spPr>
          <c:marker>
            <c:symbol val="none"/>
          </c:marker>
          <c:xVal>
            <c:numRef>
              <c:f>'Квадратичная 2'!$B$34:$B$39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2'!$Q$34:$Q$39</c:f>
              <c:numCache>
                <c:formatCode>General</c:formatCode>
                <c:ptCount val="6"/>
                <c:pt idx="0">
                  <c:v>227.71890179261874</c:v>
                </c:pt>
                <c:pt idx="1">
                  <c:v>209.98497033313225</c:v>
                </c:pt>
                <c:pt idx="2">
                  <c:v>198.14652873024653</c:v>
                </c:pt>
                <c:pt idx="3">
                  <c:v>192.20357698396157</c:v>
                </c:pt>
                <c:pt idx="4">
                  <c:v>192.15611509427737</c:v>
                </c:pt>
                <c:pt idx="5">
                  <c:v>198.00414306119393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4D-479E-85D4-D485E3516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75840"/>
        <c:axId val="134156672"/>
      </c:scatterChart>
      <c:valAx>
        <c:axId val="1326758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out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4156672"/>
        <c:crosses val="autoZero"/>
        <c:crossBetween val="midCat"/>
      </c:valAx>
      <c:valAx>
        <c:axId val="13415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267584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2986536989684136"/>
          <c:y val="0.87715381495184108"/>
          <c:w val="0.75407842326618291"/>
          <c:h val="7.2112915424605933E-2"/>
        </c:manualLayout>
      </c:layout>
      <c:overlay val="0"/>
      <c:txPr>
        <a:bodyPr/>
        <a:lstStyle/>
        <a:p>
          <a:pPr>
            <a:defRPr lang="en-GB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'Квадратичная 1'!$N$7</c:f>
          <c:strCache>
            <c:ptCount val="1"/>
            <c:pt idx="0">
              <c:v>Квадратичная аппроксимация y=8,3073x^2-33540,3643x+33854620,0000</c:v>
            </c:pt>
          </c:strCache>
        </c:strRef>
      </c:tx>
      <c:layout>
        <c:manualLayout>
          <c:xMode val="edge"/>
          <c:yMode val="edge"/>
          <c:x val="0.10651989627102632"/>
          <c:y val="1.3889625542399812E-2"/>
        </c:manualLayout>
      </c:layout>
      <c:overlay val="1"/>
      <c:txPr>
        <a:bodyPr/>
        <a:lstStyle/>
        <a:p>
          <a:pPr>
            <a:defRPr sz="1200" b="0"/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8363177716688363E-2"/>
          <c:y val="6.2953769387330993E-2"/>
          <c:w val="0.94290722121586334"/>
          <c:h val="0.64237503215846492"/>
        </c:manualLayout>
      </c:layout>
      <c:scatterChart>
        <c:scatterStyle val="lineMarker"/>
        <c:varyColors val="0"/>
        <c:ser>
          <c:idx val="0"/>
          <c:order val="0"/>
          <c:tx>
            <c:strRef>
              <c:f>'Квадратичная 1'!$C$33</c:f>
              <c:strCache>
                <c:ptCount val="1"/>
                <c:pt idx="0">
                  <c:v>y</c:v>
                </c:pt>
              </c:strCache>
            </c:strRef>
          </c:tx>
          <c:spPr>
            <a:ln w="22225">
              <a:prstDash val="sysDot"/>
            </a:ln>
          </c:spPr>
          <c:marker>
            <c:symbol val="circle"/>
            <c:size val="5"/>
          </c:marker>
          <c:xVal>
            <c:numRef>
              <c:f>'Квадратичная 1'!$B$34:$B$39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1'!$C$34:$C$39</c:f>
              <c:numCache>
                <c:formatCode>General</c:formatCode>
                <c:ptCount val="6"/>
                <c:pt idx="0">
                  <c:v>137</c:v>
                </c:pt>
                <c:pt idx="1">
                  <c:v>134</c:v>
                </c:pt>
                <c:pt idx="2">
                  <c:v>84</c:v>
                </c:pt>
                <c:pt idx="3">
                  <c:v>65</c:v>
                </c:pt>
                <c:pt idx="4">
                  <c:v>115</c:v>
                </c:pt>
                <c:pt idx="5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D7-4F49-A80A-2AC37F8A1DA0}"/>
            </c:ext>
          </c:extLst>
        </c:ser>
        <c:ser>
          <c:idx val="1"/>
          <c:order val="1"/>
          <c:tx>
            <c:strRef>
              <c:f>'Квадратичная 1'!$D$32</c:f>
              <c:strCache>
                <c:ptCount val="1"/>
                <c:pt idx="0">
                  <c:v>Аппроксимирующая кривая (сглаж.)</c:v>
                </c:pt>
              </c:strCache>
            </c:strRef>
          </c:tx>
          <c:marker>
            <c:symbol val="none"/>
          </c:marker>
          <c:xVal>
            <c:numRef>
              <c:f>'Квадратичная 1'!$B$34:$B$39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1'!$D$34:$D$39</c:f>
              <c:numCache>
                <c:formatCode>0.000</c:formatCode>
                <c:ptCount val="6"/>
                <c:pt idx="0">
                  <c:v>147.17341613769531</c:v>
                </c:pt>
                <c:pt idx="1">
                  <c:v>110.05841691792011</c:v>
                </c:pt>
                <c:pt idx="2">
                  <c:v>89.557972252368927</c:v>
                </c:pt>
                <c:pt idx="3">
                  <c:v>85.672082141041756</c:v>
                </c:pt>
                <c:pt idx="4">
                  <c:v>98.400746583938599</c:v>
                </c:pt>
                <c:pt idx="5">
                  <c:v>127.74396558105946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D7-4F49-A80A-2AC37F8A1DA0}"/>
            </c:ext>
          </c:extLst>
        </c:ser>
        <c:ser>
          <c:idx val="2"/>
          <c:order val="2"/>
          <c:tx>
            <c:strRef>
              <c:f>'Квадратичная 1'!$L$33</c:f>
              <c:strCache>
                <c:ptCount val="1"/>
                <c:pt idx="0">
                  <c:v>±σ</c:v>
                </c:pt>
              </c:strCache>
            </c:strRef>
          </c:tx>
          <c:spPr>
            <a:ln w="317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'Квадратичная 1'!$B$34:$B$39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1'!$L$34:$L$39</c:f>
              <c:numCache>
                <c:formatCode>0.000</c:formatCode>
                <c:ptCount val="6"/>
                <c:pt idx="0">
                  <c:v>131.800342312163</c:v>
                </c:pt>
                <c:pt idx="1">
                  <c:v>94.685343092387811</c:v>
                </c:pt>
                <c:pt idx="2">
                  <c:v>74.184898426836625</c:v>
                </c:pt>
                <c:pt idx="3">
                  <c:v>70.299008315509454</c:v>
                </c:pt>
                <c:pt idx="4">
                  <c:v>83.027672758406297</c:v>
                </c:pt>
                <c:pt idx="5">
                  <c:v>112.37089175552715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D7-4F49-A80A-2AC37F8A1DA0}"/>
            </c:ext>
          </c:extLst>
        </c:ser>
        <c:ser>
          <c:idx val="3"/>
          <c:order val="3"/>
          <c:tx>
            <c:v>Верхний +сигма1</c:v>
          </c:tx>
          <c:spPr>
            <a:ln w="317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'Квадратичная 1'!$B$34:$B$39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1'!$M$34:$M$39</c:f>
              <c:numCache>
                <c:formatCode>0.000</c:formatCode>
                <c:ptCount val="6"/>
                <c:pt idx="0">
                  <c:v>162.54648996322763</c:v>
                </c:pt>
                <c:pt idx="1">
                  <c:v>125.43149074345241</c:v>
                </c:pt>
                <c:pt idx="2">
                  <c:v>104.93104607790123</c:v>
                </c:pt>
                <c:pt idx="3">
                  <c:v>101.04515596657406</c:v>
                </c:pt>
                <c:pt idx="4">
                  <c:v>113.7738204094709</c:v>
                </c:pt>
                <c:pt idx="5">
                  <c:v>143.11703940659177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D7-4F49-A80A-2AC37F8A1DA0}"/>
            </c:ext>
          </c:extLst>
        </c:ser>
        <c:ser>
          <c:idx val="4"/>
          <c:order val="4"/>
          <c:tx>
            <c:v>2сигма-</c:v>
          </c:tx>
          <c:spPr>
            <a:ln w="31750">
              <a:solidFill>
                <a:schemeClr val="accent5">
                  <a:shade val="76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'Квадратичная 1'!$B$34:$B$39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1'!$N$34:$N$39</c:f>
              <c:numCache>
                <c:formatCode>General</c:formatCode>
                <c:ptCount val="6"/>
                <c:pt idx="0">
                  <c:v>116.42726848663071</c:v>
                </c:pt>
                <c:pt idx="1">
                  <c:v>79.312269266855509</c:v>
                </c:pt>
                <c:pt idx="2">
                  <c:v>58.811824601304316</c:v>
                </c:pt>
                <c:pt idx="3">
                  <c:v>54.925934489977145</c:v>
                </c:pt>
                <c:pt idx="4">
                  <c:v>67.654598932873995</c:v>
                </c:pt>
                <c:pt idx="5">
                  <c:v>96.997817929994852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D7-4F49-A80A-2AC37F8A1DA0}"/>
            </c:ext>
          </c:extLst>
        </c:ser>
        <c:ser>
          <c:idx val="5"/>
          <c:order val="5"/>
          <c:tx>
            <c:v>2сигма+</c:v>
          </c:tx>
          <c:spPr>
            <a:ln w="31750">
              <a:solidFill>
                <a:srgbClr val="0070C0"/>
              </a:solidFill>
              <a:prstDash val="lgDash"/>
            </a:ln>
          </c:spPr>
          <c:marker>
            <c:symbol val="none"/>
          </c:marker>
          <c:xVal>
            <c:numRef>
              <c:f>'Квадратичная 1'!$B$34:$B$39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1'!$O$34:$O$39</c:f>
              <c:numCache>
                <c:formatCode>General</c:formatCode>
                <c:ptCount val="6"/>
                <c:pt idx="0">
                  <c:v>177.91956378875992</c:v>
                </c:pt>
                <c:pt idx="1">
                  <c:v>140.80456456898472</c:v>
                </c:pt>
                <c:pt idx="2">
                  <c:v>120.30411990343353</c:v>
                </c:pt>
                <c:pt idx="3">
                  <c:v>116.41822979210636</c:v>
                </c:pt>
                <c:pt idx="4">
                  <c:v>129.1468942350032</c:v>
                </c:pt>
                <c:pt idx="5">
                  <c:v>158.49011323212406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D7-4F49-A80A-2AC37F8A1DA0}"/>
            </c:ext>
          </c:extLst>
        </c:ser>
        <c:ser>
          <c:idx val="6"/>
          <c:order val="6"/>
          <c:tx>
            <c:v>3сигма-</c:v>
          </c:tx>
          <c:spPr>
            <a:ln w="31750">
              <a:solidFill>
                <a:srgbClr val="7030A0"/>
              </a:solidFill>
              <a:prstDash val="sysDash"/>
            </a:ln>
          </c:spPr>
          <c:marker>
            <c:symbol val="none"/>
          </c:marker>
          <c:xVal>
            <c:numRef>
              <c:f>'Квадратичная 1'!$B$34:$B$39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1'!$P$34:$P$39</c:f>
              <c:numCache>
                <c:formatCode>General</c:formatCode>
                <c:ptCount val="6"/>
                <c:pt idx="0">
                  <c:v>101.05419466109839</c:v>
                </c:pt>
                <c:pt idx="1">
                  <c:v>63.939195441323193</c:v>
                </c:pt>
                <c:pt idx="2">
                  <c:v>43.438750775772007</c:v>
                </c:pt>
                <c:pt idx="3">
                  <c:v>39.552860664444836</c:v>
                </c:pt>
                <c:pt idx="4">
                  <c:v>52.281525107341679</c:v>
                </c:pt>
                <c:pt idx="5">
                  <c:v>81.624744104462536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D7-4F49-A80A-2AC37F8A1DA0}"/>
            </c:ext>
          </c:extLst>
        </c:ser>
        <c:ser>
          <c:idx val="7"/>
          <c:order val="7"/>
          <c:tx>
            <c:v>3сигма+</c:v>
          </c:tx>
          <c:spPr>
            <a:ln w="31750">
              <a:solidFill>
                <a:srgbClr val="7030A0"/>
              </a:solidFill>
              <a:prstDash val="sysDash"/>
            </a:ln>
          </c:spPr>
          <c:marker>
            <c:symbol val="none"/>
          </c:marker>
          <c:xVal>
            <c:numRef>
              <c:f>'Квадратичная 1'!$B$34:$B$39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'Квадратичная 1'!$Q$34:$Q$39</c:f>
              <c:numCache>
                <c:formatCode>General</c:formatCode>
                <c:ptCount val="6"/>
                <c:pt idx="0">
                  <c:v>193.29263761429223</c:v>
                </c:pt>
                <c:pt idx="1">
                  <c:v>156.17763839451703</c:v>
                </c:pt>
                <c:pt idx="2">
                  <c:v>135.67719372896585</c:v>
                </c:pt>
                <c:pt idx="3">
                  <c:v>131.79130361763868</c:v>
                </c:pt>
                <c:pt idx="4">
                  <c:v>144.51996806053552</c:v>
                </c:pt>
                <c:pt idx="5">
                  <c:v>173.86318705765638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9D7-4F49-A80A-2AC37F8A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75840"/>
        <c:axId val="134156672"/>
      </c:scatterChart>
      <c:valAx>
        <c:axId val="1326758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out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4156672"/>
        <c:crosses val="autoZero"/>
        <c:crossBetween val="midCat"/>
      </c:valAx>
      <c:valAx>
        <c:axId val="13415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267584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2986536989684136"/>
          <c:y val="0.87715381495184108"/>
          <c:w val="0.75407842326618291"/>
          <c:h val="7.2112915424605933E-2"/>
        </c:manualLayout>
      </c:layout>
      <c:overlay val="0"/>
      <c:txPr>
        <a:bodyPr/>
        <a:lstStyle/>
        <a:p>
          <a:pPr>
            <a:defRPr lang="en-GB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Статистика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'ДАТАСЕТ 1'!$A$3:$A$8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1'!$B$3:$B$8</c:f>
              <c:numCache>
                <c:formatCode>General</c:formatCode>
                <c:ptCount val="6"/>
                <c:pt idx="0">
                  <c:v>137</c:v>
                </c:pt>
                <c:pt idx="1">
                  <c:v>134</c:v>
                </c:pt>
                <c:pt idx="2">
                  <c:v>84</c:v>
                </c:pt>
                <c:pt idx="3">
                  <c:v>65</c:v>
                </c:pt>
                <c:pt idx="4">
                  <c:v>115</c:v>
                </c:pt>
                <c:pt idx="5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10-4039-8E45-45382844A2CB}"/>
            </c:ext>
          </c:extLst>
        </c:ser>
        <c:ser>
          <c:idx val="1"/>
          <c:order val="1"/>
          <c:tx>
            <c:strRef>
              <c:f>'ДАТАСЕТ 1'!$E$2</c:f>
              <c:strCache>
                <c:ptCount val="1"/>
                <c:pt idx="0">
                  <c:v>Тренд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('ДАТАСЕТ 1'!$A$3:$A$8,'ДАТАСЕТ 1'!$A$22:$A$22)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2029</c:v>
                </c:pt>
              </c:numCache>
            </c:numRef>
          </c:xVal>
          <c:yVal>
            <c:numRef>
              <c:f>('ДАТАСЕТ 1'!$E$3:$E$8,'ДАТАСЕТ 1'!$B$22:$B$22)</c:f>
              <c:numCache>
                <c:formatCode>General</c:formatCode>
                <c:ptCount val="7"/>
                <c:pt idx="0">
                  <c:v>119.71428571481101</c:v>
                </c:pt>
                <c:pt idx="1">
                  <c:v>115.82857142888679</c:v>
                </c:pt>
                <c:pt idx="2">
                  <c:v>111.94285714296257</c:v>
                </c:pt>
                <c:pt idx="3">
                  <c:v>108.05714285703834</c:v>
                </c:pt>
                <c:pt idx="4">
                  <c:v>104.17142857111412</c:v>
                </c:pt>
                <c:pt idx="5">
                  <c:v>100.28571428518899</c:v>
                </c:pt>
                <c:pt idx="6">
                  <c:v>69.199999997794293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410-4039-8E45-45382844A2CB}"/>
            </c:ext>
          </c:extLst>
        </c:ser>
        <c:ser>
          <c:idx val="2"/>
          <c:order val="2"/>
          <c:tx>
            <c:v>-сигма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'ДАТАСЕТ 1'!$A$3:$A$8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1'!$M$3:$M$8</c:f>
              <c:numCache>
                <c:formatCode>General</c:formatCode>
                <c:ptCount val="6"/>
                <c:pt idx="0">
                  <c:v>93.920968012443879</c:v>
                </c:pt>
                <c:pt idx="1">
                  <c:v>90.035253726519656</c:v>
                </c:pt>
                <c:pt idx="2">
                  <c:v>86.149539440595433</c:v>
                </c:pt>
                <c:pt idx="3">
                  <c:v>82.26382515467121</c:v>
                </c:pt>
                <c:pt idx="4">
                  <c:v>78.378110868746987</c:v>
                </c:pt>
                <c:pt idx="5">
                  <c:v>74.492396582821854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10-4039-8E45-45382844A2CB}"/>
            </c:ext>
          </c:extLst>
        </c:ser>
        <c:ser>
          <c:idx val="3"/>
          <c:order val="3"/>
          <c:tx>
            <c:v>+сигма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'ДАТАСЕТ 1'!$A$3:$A$8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1'!$N$3:$N$8</c:f>
              <c:numCache>
                <c:formatCode>General</c:formatCode>
                <c:ptCount val="6"/>
                <c:pt idx="0">
                  <c:v>145.50760341717813</c:v>
                </c:pt>
                <c:pt idx="1">
                  <c:v>141.62188913125391</c:v>
                </c:pt>
                <c:pt idx="2">
                  <c:v>137.73617484532969</c:v>
                </c:pt>
                <c:pt idx="3">
                  <c:v>133.85046055940546</c:v>
                </c:pt>
                <c:pt idx="4">
                  <c:v>129.96474627348124</c:v>
                </c:pt>
                <c:pt idx="5">
                  <c:v>126.07903198755612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410-4039-8E45-45382844A2CB}"/>
            </c:ext>
          </c:extLst>
        </c:ser>
        <c:ser>
          <c:idx val="4"/>
          <c:order val="4"/>
          <c:tx>
            <c:v>-2 сигма</c:v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('ДАТАСЕТ 1'!$A$3:$A$8,'ДАТАСЕТ 1'!$A$22:$A$22)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2029</c:v>
                </c:pt>
              </c:numCache>
            </c:numRef>
          </c:xVal>
          <c:yVal>
            <c:numRef>
              <c:f>('ДАТАСЕТ 1'!$O$3:$O$8,'ДАТАСЕТ 1'!$D$22:$D$22)</c:f>
              <c:numCache>
                <c:formatCode>General</c:formatCode>
                <c:ptCount val="7"/>
                <c:pt idx="0">
                  <c:v>68.127650310076746</c:v>
                </c:pt>
                <c:pt idx="1">
                  <c:v>64.241936024152523</c:v>
                </c:pt>
                <c:pt idx="2">
                  <c:v>60.356221738228307</c:v>
                </c:pt>
                <c:pt idx="3">
                  <c:v>56.470507452304084</c:v>
                </c:pt>
                <c:pt idx="4">
                  <c:v>52.58479316637986</c:v>
                </c:pt>
                <c:pt idx="5">
                  <c:v>48.699078880454728</c:v>
                </c:pt>
                <c:pt idx="6">
                  <c:v>17.613364593060034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10-4039-8E45-45382844A2CB}"/>
            </c:ext>
          </c:extLst>
        </c:ser>
        <c:ser>
          <c:idx val="5"/>
          <c:order val="5"/>
          <c:tx>
            <c:v>+2 сигма</c:v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('ДАТАСЕТ 1'!$A$3:$A$8,'ДАТАСЕТ 1'!$A$22:$A$22)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2029</c:v>
                </c:pt>
              </c:numCache>
            </c:numRef>
          </c:xVal>
          <c:yVal>
            <c:numRef>
              <c:f>('ДАТАСЕТ 1'!$P$3:$P$8,'ДАТАСЕТ 1'!$E$22:$E$22)</c:f>
              <c:numCache>
                <c:formatCode>General</c:formatCode>
                <c:ptCount val="7"/>
                <c:pt idx="0">
                  <c:v>171.30092111954528</c:v>
                </c:pt>
                <c:pt idx="1">
                  <c:v>167.41520683362106</c:v>
                </c:pt>
                <c:pt idx="2">
                  <c:v>163.52949254769683</c:v>
                </c:pt>
                <c:pt idx="3">
                  <c:v>159.64377826177261</c:v>
                </c:pt>
                <c:pt idx="4">
                  <c:v>155.75806397584839</c:v>
                </c:pt>
                <c:pt idx="5">
                  <c:v>151.87234968992325</c:v>
                </c:pt>
                <c:pt idx="6">
                  <c:v>120.78663540252856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10-4039-8E45-45382844A2CB}"/>
            </c:ext>
          </c:extLst>
        </c:ser>
        <c:ser>
          <c:idx val="6"/>
          <c:order val="6"/>
          <c:tx>
            <c:v>-3 сигма</c:v>
          </c:tx>
          <c:spPr>
            <a:ln w="254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1'!$A$3:$A$8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1'!$Q$3:$Q$8</c:f>
              <c:numCache>
                <c:formatCode>General</c:formatCode>
                <c:ptCount val="6"/>
                <c:pt idx="0">
                  <c:v>42.334332607709626</c:v>
                </c:pt>
                <c:pt idx="1">
                  <c:v>38.448618321785403</c:v>
                </c:pt>
                <c:pt idx="2">
                  <c:v>34.56290403586118</c:v>
                </c:pt>
                <c:pt idx="3">
                  <c:v>30.677189749936957</c:v>
                </c:pt>
                <c:pt idx="4">
                  <c:v>26.791475464012734</c:v>
                </c:pt>
                <c:pt idx="5">
                  <c:v>22.905761178087602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410-4039-8E45-45382844A2CB}"/>
            </c:ext>
          </c:extLst>
        </c:ser>
        <c:ser>
          <c:idx val="7"/>
          <c:order val="7"/>
          <c:tx>
            <c:v>+3 сигма</c:v>
          </c:tx>
          <c:spPr>
            <a:ln w="254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1'!$A$3:$A$8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1'!$R$3:$R$8</c:f>
              <c:numCache>
                <c:formatCode>General</c:formatCode>
                <c:ptCount val="6"/>
                <c:pt idx="0">
                  <c:v>197.0942388219124</c:v>
                </c:pt>
                <c:pt idx="1">
                  <c:v>193.20852453598818</c:v>
                </c:pt>
                <c:pt idx="2">
                  <c:v>189.32281025006395</c:v>
                </c:pt>
                <c:pt idx="3">
                  <c:v>185.43709596413973</c:v>
                </c:pt>
                <c:pt idx="4">
                  <c:v>181.55138167821551</c:v>
                </c:pt>
                <c:pt idx="5">
                  <c:v>177.66566739229037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410-4039-8E45-45382844A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930415"/>
        <c:axId val="1642930831"/>
      </c:scatterChart>
      <c:valAx>
        <c:axId val="164293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2930831"/>
        <c:crosses val="autoZero"/>
        <c:crossBetween val="midCat"/>
      </c:valAx>
      <c:valAx>
        <c:axId val="164293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2930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Без</a:t>
            </a:r>
            <a:r>
              <a:rPr lang="ru-RU" baseline="0"/>
              <a:t> фильтрации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Статистика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'ДАТАСЕТ 2'!$A$3:$A$8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2'!$B$3:$B$8</c:f>
              <c:numCache>
                <c:formatCode>General</c:formatCode>
                <c:ptCount val="6"/>
                <c:pt idx="0">
                  <c:v>91</c:v>
                </c:pt>
                <c:pt idx="1">
                  <c:v>169</c:v>
                </c:pt>
                <c:pt idx="2">
                  <c:v>42</c:v>
                </c:pt>
                <c:pt idx="3">
                  <c:v>93</c:v>
                </c:pt>
                <c:pt idx="4">
                  <c:v>71</c:v>
                </c:pt>
                <c:pt idx="5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57-4011-A12E-F2D325ACA800}"/>
            </c:ext>
          </c:extLst>
        </c:ser>
        <c:ser>
          <c:idx val="1"/>
          <c:order val="1"/>
          <c:tx>
            <c:strRef>
              <c:f>'ДАТАСЕТ 2'!$E$2</c:f>
              <c:strCache>
                <c:ptCount val="1"/>
                <c:pt idx="0">
                  <c:v>Тренд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2'!$A$3:$A$8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2'!$E$3:$E$8</c:f>
              <c:numCache>
                <c:formatCode>General</c:formatCode>
                <c:ptCount val="6"/>
                <c:pt idx="0">
                  <c:v>108.85714285794165</c:v>
                </c:pt>
                <c:pt idx="1">
                  <c:v>102.91428571476536</c:v>
                </c:pt>
                <c:pt idx="2">
                  <c:v>96.971428571587239</c:v>
                </c:pt>
                <c:pt idx="3">
                  <c:v>91.028571428410942</c:v>
                </c:pt>
                <c:pt idx="4">
                  <c:v>85.085714285234644</c:v>
                </c:pt>
                <c:pt idx="5">
                  <c:v>79.142857142058347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57-4011-A12E-F2D325ACA800}"/>
            </c:ext>
          </c:extLst>
        </c:ser>
        <c:ser>
          <c:idx val="2"/>
          <c:order val="2"/>
          <c:tx>
            <c:v>-1,5 сигма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'ДАТАСЕТ 2'!$A$3:$A$8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2'!$G$3:$G$8</c:f>
              <c:numCache>
                <c:formatCode>General</c:formatCode>
                <c:ptCount val="6"/>
                <c:pt idx="0">
                  <c:v>45.628984573835353</c:v>
                </c:pt>
                <c:pt idx="1">
                  <c:v>39.686127430659056</c:v>
                </c:pt>
                <c:pt idx="2">
                  <c:v>33.743270287480939</c:v>
                </c:pt>
                <c:pt idx="3">
                  <c:v>27.800413144304642</c:v>
                </c:pt>
                <c:pt idx="4">
                  <c:v>21.857556001128344</c:v>
                </c:pt>
                <c:pt idx="5">
                  <c:v>15.914698857952047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57-4011-A12E-F2D325ACA800}"/>
            </c:ext>
          </c:extLst>
        </c:ser>
        <c:ser>
          <c:idx val="3"/>
          <c:order val="3"/>
          <c:tx>
            <c:v>+1,5 сигма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'ДАТАСЕТ 2'!$A$3:$A$8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2'!$H$3:$H$8</c:f>
              <c:numCache>
                <c:formatCode>General</c:formatCode>
                <c:ptCount val="6"/>
                <c:pt idx="0">
                  <c:v>172.08530114204797</c:v>
                </c:pt>
                <c:pt idx="1">
                  <c:v>166.14244399887167</c:v>
                </c:pt>
                <c:pt idx="2">
                  <c:v>160.19958685569355</c:v>
                </c:pt>
                <c:pt idx="3">
                  <c:v>154.25672971251726</c:v>
                </c:pt>
                <c:pt idx="4">
                  <c:v>148.31387256934096</c:v>
                </c:pt>
                <c:pt idx="5">
                  <c:v>142.37101542616466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57-4011-A12E-F2D325ACA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12575"/>
        <c:axId val="2045310079"/>
      </c:scatterChart>
      <c:valAx>
        <c:axId val="204531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310079"/>
        <c:crosses val="autoZero"/>
        <c:crossBetween val="midCat"/>
      </c:valAx>
      <c:valAx>
        <c:axId val="204531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312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Отфильтрованное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035541904208969E-2"/>
          <c:y val="9.8484372354002009E-2"/>
          <c:w val="0.86818434248710086"/>
          <c:h val="0.7160528068319818"/>
        </c:manualLayout>
      </c:layout>
      <c:scatterChart>
        <c:scatterStyle val="lineMarker"/>
        <c:varyColors val="0"/>
        <c:ser>
          <c:idx val="0"/>
          <c:order val="0"/>
          <c:tx>
            <c:v>Статистика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'ДАТАСЕТ 2'!$A$19:$A$22</c:f>
              <c:numCache>
                <c:formatCode>General</c:formatCode>
                <c:ptCount val="4"/>
                <c:pt idx="0">
                  <c:v>2016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xVal>
          <c:yVal>
            <c:numRef>
              <c:f>'ДАТАСЕТ 2'!$B$19:$B$22</c:f>
              <c:numCache>
                <c:formatCode>General</c:formatCode>
                <c:ptCount val="4"/>
                <c:pt idx="0">
                  <c:v>193</c:v>
                </c:pt>
                <c:pt idx="1">
                  <c:v>93</c:v>
                </c:pt>
                <c:pt idx="2">
                  <c:v>71</c:v>
                </c:pt>
                <c:pt idx="3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8D-4040-8050-44314A312832}"/>
            </c:ext>
          </c:extLst>
        </c:ser>
        <c:ser>
          <c:idx val="1"/>
          <c:order val="1"/>
          <c:tx>
            <c:strRef>
              <c:f>'ДАТАСЕТ 2'!$E$18</c:f>
              <c:strCache>
                <c:ptCount val="1"/>
                <c:pt idx="0">
                  <c:v>Тренд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('ДАТАСЕТ 2'!$A$19:$A$22,'ДАТАСЕТ 2'!$A$33:$A$33)</c:f>
              <c:numCache>
                <c:formatCode>General</c:formatCode>
                <c:ptCount val="5"/>
                <c:pt idx="0">
                  <c:v>2016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xVal>
          <c:yVal>
            <c:numRef>
              <c:f>('ДАТАСЕТ 2'!$E$19:$E$22,'ДАТАСЕТ 2'!$B$33:$B$33)</c:f>
              <c:numCache>
                <c:formatCode>General</c:formatCode>
                <c:ptCount val="5"/>
                <c:pt idx="0">
                  <c:v>180.60714285713766</c:v>
                </c:pt>
                <c:pt idx="1">
                  <c:v>113.75</c:v>
                </c:pt>
                <c:pt idx="2">
                  <c:v>91.464285714282596</c:v>
                </c:pt>
                <c:pt idx="3">
                  <c:v>69.178571428565192</c:v>
                </c:pt>
                <c:pt idx="4">
                  <c:v>46.892857142855064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8D-4040-8050-44314A312832}"/>
            </c:ext>
          </c:extLst>
        </c:ser>
        <c:ser>
          <c:idx val="2"/>
          <c:order val="2"/>
          <c:tx>
            <c:v>-сигма</c:v>
          </c:tx>
          <c:spPr>
            <a:ln w="254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2'!$A$19:$A$22</c:f>
              <c:numCache>
                <c:formatCode>General</c:formatCode>
                <c:ptCount val="4"/>
                <c:pt idx="0">
                  <c:v>2016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xVal>
          <c:yVal>
            <c:numRef>
              <c:f>'ДАТАСЕТ 2'!$M$20:$M$23</c:f>
              <c:numCache>
                <c:formatCode>General</c:formatCode>
                <c:ptCount val="4"/>
                <c:pt idx="0">
                  <c:v>159.19682324919216</c:v>
                </c:pt>
                <c:pt idx="1">
                  <c:v>92.33968039205449</c:v>
                </c:pt>
                <c:pt idx="2">
                  <c:v>70.053966106337086</c:v>
                </c:pt>
                <c:pt idx="3">
                  <c:v>47.768251820619682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8D-4040-8050-44314A312832}"/>
            </c:ext>
          </c:extLst>
        </c:ser>
        <c:ser>
          <c:idx val="3"/>
          <c:order val="3"/>
          <c:tx>
            <c:v>+сигма</c:v>
          </c:tx>
          <c:spPr>
            <a:ln w="254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2'!$A$19:$A$22</c:f>
              <c:numCache>
                <c:formatCode>General</c:formatCode>
                <c:ptCount val="4"/>
                <c:pt idx="0">
                  <c:v>2016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xVal>
          <c:yVal>
            <c:numRef>
              <c:f>'ДАТАСЕТ 2'!$N$20:$N$23</c:f>
              <c:numCache>
                <c:formatCode>General</c:formatCode>
                <c:ptCount val="4"/>
                <c:pt idx="0">
                  <c:v>202.01746246508316</c:v>
                </c:pt>
                <c:pt idx="1">
                  <c:v>135.1603196079455</c:v>
                </c:pt>
                <c:pt idx="2">
                  <c:v>112.87460532222811</c:v>
                </c:pt>
                <c:pt idx="3">
                  <c:v>90.588891036510702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8D-4040-8050-44314A312832}"/>
            </c:ext>
          </c:extLst>
        </c:ser>
        <c:ser>
          <c:idx val="4"/>
          <c:order val="4"/>
          <c:tx>
            <c:v>-2сигма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('ДАТАСЕТ 2'!$A$19:$A$22,'ДАТАСЕТ 2'!$A$33:$A$33)</c:f>
              <c:numCache>
                <c:formatCode>General</c:formatCode>
                <c:ptCount val="5"/>
                <c:pt idx="0">
                  <c:v>2016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xVal>
          <c:yVal>
            <c:numRef>
              <c:f>('ДАТАСЕТ 2'!$O$20:$O$23,'ДАТАСЕТ 2'!$D$33:$D$33)</c:f>
              <c:numCache>
                <c:formatCode>General</c:formatCode>
                <c:ptCount val="5"/>
                <c:pt idx="0">
                  <c:v>137.78650364124664</c:v>
                </c:pt>
                <c:pt idx="1">
                  <c:v>70.929360784108979</c:v>
                </c:pt>
                <c:pt idx="2">
                  <c:v>48.643646498391583</c:v>
                </c:pt>
                <c:pt idx="3">
                  <c:v>26.357932212674179</c:v>
                </c:pt>
                <c:pt idx="4">
                  <c:v>4.0722179269640506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18D-4040-8050-44314A312832}"/>
            </c:ext>
          </c:extLst>
        </c:ser>
        <c:ser>
          <c:idx val="5"/>
          <c:order val="5"/>
          <c:tx>
            <c:v>+2 сигма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('ДАТАСЕТ 2'!$A$19:$A$22,'ДАТАСЕТ 2'!$A$33:$A$33)</c:f>
              <c:numCache>
                <c:formatCode>General</c:formatCode>
                <c:ptCount val="5"/>
                <c:pt idx="0">
                  <c:v>2016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xVal>
          <c:yVal>
            <c:numRef>
              <c:f>('ДАТАСЕТ 2'!$P$20:$P$23,'ДАТАСЕТ 2'!$E$33:$E$33)</c:f>
              <c:numCache>
                <c:formatCode>General</c:formatCode>
                <c:ptCount val="5"/>
                <c:pt idx="0">
                  <c:v>223.42778207302868</c:v>
                </c:pt>
                <c:pt idx="1">
                  <c:v>156.57063921589102</c:v>
                </c:pt>
                <c:pt idx="2">
                  <c:v>134.28492493017362</c:v>
                </c:pt>
                <c:pt idx="3">
                  <c:v>111.99921064445621</c:v>
                </c:pt>
                <c:pt idx="4">
                  <c:v>89.713496358746085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18D-4040-8050-44314A312832}"/>
            </c:ext>
          </c:extLst>
        </c:ser>
        <c:ser>
          <c:idx val="6"/>
          <c:order val="6"/>
          <c:tx>
            <c:v>-3сигма</c:v>
          </c:tx>
          <c:spPr>
            <a:ln w="254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2'!$A$19:$A$22</c:f>
              <c:numCache>
                <c:formatCode>General</c:formatCode>
                <c:ptCount val="4"/>
                <c:pt idx="0">
                  <c:v>2016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xVal>
          <c:yVal>
            <c:numRef>
              <c:f>'ДАТАСЕТ 2'!$Q$20:$Q$23</c:f>
              <c:numCache>
                <c:formatCode>General</c:formatCode>
                <c:ptCount val="4"/>
                <c:pt idx="0">
                  <c:v>116.37618403330114</c:v>
                </c:pt>
                <c:pt idx="1">
                  <c:v>49.519041176163483</c:v>
                </c:pt>
                <c:pt idx="2">
                  <c:v>27.233326890446079</c:v>
                </c:pt>
                <c:pt idx="3">
                  <c:v>4.9476126047286755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18D-4040-8050-44314A312832}"/>
            </c:ext>
          </c:extLst>
        </c:ser>
        <c:ser>
          <c:idx val="7"/>
          <c:order val="7"/>
          <c:tx>
            <c:v>+3сигма</c:v>
          </c:tx>
          <c:spPr>
            <a:ln w="254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2'!$A$19:$A$22</c:f>
              <c:numCache>
                <c:formatCode>General</c:formatCode>
                <c:ptCount val="4"/>
                <c:pt idx="0">
                  <c:v>2016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xVal>
          <c:yVal>
            <c:numRef>
              <c:f>'ДАТАСЕТ 2'!$R$20:$R$23</c:f>
              <c:numCache>
                <c:formatCode>General</c:formatCode>
                <c:ptCount val="4"/>
                <c:pt idx="0">
                  <c:v>244.83810168097418</c:v>
                </c:pt>
                <c:pt idx="1">
                  <c:v>177.98095882383652</c:v>
                </c:pt>
                <c:pt idx="2">
                  <c:v>155.69524453811911</c:v>
                </c:pt>
                <c:pt idx="3">
                  <c:v>133.40953025240171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18D-4040-8050-44314A312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12575"/>
        <c:axId val="2045310079"/>
      </c:scatterChart>
      <c:valAx>
        <c:axId val="204531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310079"/>
        <c:crosses val="autoZero"/>
        <c:crossBetween val="midCat"/>
      </c:valAx>
      <c:valAx>
        <c:axId val="204531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312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Без</a:t>
            </a:r>
            <a:r>
              <a:rPr lang="ru-RU" baseline="0"/>
              <a:t> фильтрации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Статистика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'ДАТАСЕТ 3'!$A$3:$A$8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3'!$B$3:$B$8</c:f>
              <c:numCache>
                <c:formatCode>General</c:formatCode>
                <c:ptCount val="6"/>
                <c:pt idx="0">
                  <c:v>193</c:v>
                </c:pt>
                <c:pt idx="1">
                  <c:v>183</c:v>
                </c:pt>
                <c:pt idx="2">
                  <c:v>142</c:v>
                </c:pt>
                <c:pt idx="3">
                  <c:v>102</c:v>
                </c:pt>
                <c:pt idx="4">
                  <c:v>159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8D-47C5-B921-27EE8FC9F179}"/>
            </c:ext>
          </c:extLst>
        </c:ser>
        <c:ser>
          <c:idx val="1"/>
          <c:order val="1"/>
          <c:tx>
            <c:strRef>
              <c:f>'ДАТАСЕТ 3'!$E$2</c:f>
              <c:strCache>
                <c:ptCount val="1"/>
                <c:pt idx="0">
                  <c:v>Тренд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3'!$A$3:$A$8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3'!$E$3:$E$8</c:f>
              <c:numCache>
                <c:formatCode>General</c:formatCode>
                <c:ptCount val="6"/>
                <c:pt idx="0">
                  <c:v>204.6666666705205</c:v>
                </c:pt>
                <c:pt idx="1">
                  <c:v>175.46666666898091</c:v>
                </c:pt>
                <c:pt idx="2">
                  <c:v>146.26666666743404</c:v>
                </c:pt>
                <c:pt idx="3">
                  <c:v>117.06666666589445</c:v>
                </c:pt>
                <c:pt idx="4">
                  <c:v>87.866666664354852</c:v>
                </c:pt>
                <c:pt idx="5">
                  <c:v>58.66666666281526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8D-47C5-B921-27EE8FC9F179}"/>
            </c:ext>
          </c:extLst>
        </c:ser>
        <c:ser>
          <c:idx val="2"/>
          <c:order val="2"/>
          <c:tx>
            <c:v>-1,5 сигма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'ДАТАСЕТ 3'!$A$3:$A$8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3'!$G$3:$G$8</c:f>
              <c:numCache>
                <c:formatCode>General</c:formatCode>
                <c:ptCount val="6"/>
                <c:pt idx="0">
                  <c:v>103.61667904063509</c:v>
                </c:pt>
                <c:pt idx="1">
                  <c:v>74.416679039095499</c:v>
                </c:pt>
                <c:pt idx="2">
                  <c:v>45.21667903754863</c:v>
                </c:pt>
                <c:pt idx="3">
                  <c:v>16.016679036009037</c:v>
                </c:pt>
                <c:pt idx="4">
                  <c:v>-13.183320965530555</c:v>
                </c:pt>
                <c:pt idx="5">
                  <c:v>-42.383320967070148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F8D-47C5-B921-27EE8FC9F179}"/>
            </c:ext>
          </c:extLst>
        </c:ser>
        <c:ser>
          <c:idx val="3"/>
          <c:order val="3"/>
          <c:tx>
            <c:v>+1,5 сигма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'ДАТАСЕТ 3'!$A$3:$A$8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'ДАТАСЕТ 3'!$H$3:$H$8</c:f>
              <c:numCache>
                <c:formatCode>General</c:formatCode>
                <c:ptCount val="6"/>
                <c:pt idx="0">
                  <c:v>305.71665430040593</c:v>
                </c:pt>
                <c:pt idx="1">
                  <c:v>276.51665429886634</c:v>
                </c:pt>
                <c:pt idx="2">
                  <c:v>247.31665429731945</c:v>
                </c:pt>
                <c:pt idx="3">
                  <c:v>218.11665429577985</c:v>
                </c:pt>
                <c:pt idx="4">
                  <c:v>188.91665429424026</c:v>
                </c:pt>
                <c:pt idx="5">
                  <c:v>159.71665429270067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F8D-47C5-B921-27EE8FC9F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12575"/>
        <c:axId val="2045310079"/>
      </c:scatterChart>
      <c:valAx>
        <c:axId val="204531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310079"/>
        <c:crosses val="autoZero"/>
        <c:crossBetween val="midCat"/>
      </c:valAx>
      <c:valAx>
        <c:axId val="204531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312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Отфильтрованное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035541904208969E-2"/>
          <c:y val="9.8484372354002009E-2"/>
          <c:w val="0.86818434248710086"/>
          <c:h val="0.7160528068319818"/>
        </c:manualLayout>
      </c:layout>
      <c:scatterChart>
        <c:scatterStyle val="lineMarker"/>
        <c:varyColors val="0"/>
        <c:ser>
          <c:idx val="0"/>
          <c:order val="0"/>
          <c:tx>
            <c:v>Статистика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'ДАТАСЕТ 3'!$A$19:$A$23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'ДАТАСЕТ 3'!$B$19:$B$23</c:f>
              <c:numCache>
                <c:formatCode>General</c:formatCode>
                <c:ptCount val="5"/>
                <c:pt idx="0">
                  <c:v>193</c:v>
                </c:pt>
                <c:pt idx="1">
                  <c:v>183</c:v>
                </c:pt>
                <c:pt idx="2">
                  <c:v>142</c:v>
                </c:pt>
                <c:pt idx="3">
                  <c:v>102</c:v>
                </c:pt>
                <c:pt idx="4">
                  <c:v>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56-4D0A-8EFD-E06C3B6029FE}"/>
            </c:ext>
          </c:extLst>
        </c:ser>
        <c:ser>
          <c:idx val="1"/>
          <c:order val="1"/>
          <c:tx>
            <c:strRef>
              <c:f>'ДАТАСЕТ 3'!$E$18</c:f>
              <c:strCache>
                <c:ptCount val="1"/>
                <c:pt idx="0">
                  <c:v>Тренд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('ДАТАСЕТ 3'!$A$19:$A$23,'ДАТАСЕТ 3'!$A$34:$A$34)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2022</c:v>
                </c:pt>
              </c:numCache>
            </c:numRef>
          </c:xVal>
          <c:yVal>
            <c:numRef>
              <c:f>('ДАТАСЕТ 3'!$E$19:$E$23,'ДАТАСЕТ 3'!$B$34:$B$34)</c:f>
              <c:numCache>
                <c:formatCode>General</c:formatCode>
                <c:ptCount val="6"/>
                <c:pt idx="0">
                  <c:v>185.60000000004584</c:v>
                </c:pt>
                <c:pt idx="1">
                  <c:v>170.70000000002256</c:v>
                </c:pt>
                <c:pt idx="2">
                  <c:v>155.79999999999927</c:v>
                </c:pt>
                <c:pt idx="3">
                  <c:v>140.89999999997599</c:v>
                </c:pt>
                <c:pt idx="4">
                  <c:v>125.99999999995271</c:v>
                </c:pt>
                <c:pt idx="5">
                  <c:v>96.19999999990614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6-4D0A-8EFD-E06C3B6029FE}"/>
            </c:ext>
          </c:extLst>
        </c:ser>
        <c:ser>
          <c:idx val="2"/>
          <c:order val="2"/>
          <c:tx>
            <c:v>-сигма</c:v>
          </c:tx>
          <c:spPr>
            <a:ln w="254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3'!$A$19:$A$23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'ДАТАСЕТ 3'!$M$20:$M$24</c:f>
              <c:numCache>
                <c:formatCode>General</c:formatCode>
                <c:ptCount val="5"/>
                <c:pt idx="0">
                  <c:v>161.11041037506436</c:v>
                </c:pt>
                <c:pt idx="1">
                  <c:v>146.21041037504108</c:v>
                </c:pt>
                <c:pt idx="2">
                  <c:v>131.3104103750178</c:v>
                </c:pt>
                <c:pt idx="3">
                  <c:v>116.41041037499451</c:v>
                </c:pt>
                <c:pt idx="4">
                  <c:v>101.51041037497123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56-4D0A-8EFD-E06C3B6029FE}"/>
            </c:ext>
          </c:extLst>
        </c:ser>
        <c:ser>
          <c:idx val="3"/>
          <c:order val="3"/>
          <c:tx>
            <c:v>+сигма</c:v>
          </c:tx>
          <c:spPr>
            <a:ln w="254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3'!$A$19:$A$23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'ДАТАСЕТ 3'!$N$20:$N$24</c:f>
              <c:numCache>
                <c:formatCode>General</c:formatCode>
                <c:ptCount val="5"/>
                <c:pt idx="0">
                  <c:v>210.08958962502732</c:v>
                </c:pt>
                <c:pt idx="1">
                  <c:v>195.18958962500403</c:v>
                </c:pt>
                <c:pt idx="2">
                  <c:v>180.28958962498075</c:v>
                </c:pt>
                <c:pt idx="3">
                  <c:v>165.38958962495747</c:v>
                </c:pt>
                <c:pt idx="4">
                  <c:v>150.48958962493418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56-4D0A-8EFD-E06C3B6029FE}"/>
            </c:ext>
          </c:extLst>
        </c:ser>
        <c:ser>
          <c:idx val="4"/>
          <c:order val="4"/>
          <c:tx>
            <c:v>-2сигма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('ДАТАСЕТ 3'!$A$19:$A$23,'ДАТАСЕТ 3'!$A$34:$A$34)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2022</c:v>
                </c:pt>
              </c:numCache>
            </c:numRef>
          </c:xVal>
          <c:yVal>
            <c:numRef>
              <c:f>('ДАТАСЕТ 3'!$O$20:$O$24,'ДАТАСЕТ 3'!$D$34:$D$34)</c:f>
              <c:numCache>
                <c:formatCode>General</c:formatCode>
                <c:ptCount val="6"/>
                <c:pt idx="0">
                  <c:v>136.62082075008288</c:v>
                </c:pt>
                <c:pt idx="1">
                  <c:v>121.72082075005962</c:v>
                </c:pt>
                <c:pt idx="2">
                  <c:v>106.82082075003633</c:v>
                </c:pt>
                <c:pt idx="3">
                  <c:v>91.92082075001305</c:v>
                </c:pt>
                <c:pt idx="4">
                  <c:v>77.020820749989767</c:v>
                </c:pt>
                <c:pt idx="5">
                  <c:v>47.220820749943201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56-4D0A-8EFD-E06C3B6029FE}"/>
            </c:ext>
          </c:extLst>
        </c:ser>
        <c:ser>
          <c:idx val="5"/>
          <c:order val="5"/>
          <c:tx>
            <c:v>+2 сигма</c:v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('ДАТАСЕТ 3'!$A$19:$A$23,'ДАТАСЕТ 3'!$A$34:$A$34)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2022</c:v>
                </c:pt>
              </c:numCache>
            </c:numRef>
          </c:xVal>
          <c:yVal>
            <c:numRef>
              <c:f>('ДАТАСЕТ 3'!$P$20:$P$24,'ДАТАСЕТ 3'!$E$34:$E$34)</c:f>
              <c:numCache>
                <c:formatCode>General</c:formatCode>
                <c:ptCount val="6"/>
                <c:pt idx="0">
                  <c:v>234.57917925000879</c:v>
                </c:pt>
                <c:pt idx="1">
                  <c:v>219.67917924998551</c:v>
                </c:pt>
                <c:pt idx="2">
                  <c:v>204.77917924996223</c:v>
                </c:pt>
                <c:pt idx="3">
                  <c:v>189.87917924993894</c:v>
                </c:pt>
                <c:pt idx="4">
                  <c:v>174.97917924991566</c:v>
                </c:pt>
                <c:pt idx="5">
                  <c:v>145.17917924986909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56-4D0A-8EFD-E06C3B6029FE}"/>
            </c:ext>
          </c:extLst>
        </c:ser>
        <c:ser>
          <c:idx val="6"/>
          <c:order val="6"/>
          <c:tx>
            <c:v>-3сигма</c:v>
          </c:tx>
          <c:spPr>
            <a:ln w="254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3'!$A$19:$A$23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'ДАТАСЕТ 3'!$Q$20:$Q$24</c:f>
              <c:numCache>
                <c:formatCode>General</c:formatCode>
                <c:ptCount val="5"/>
                <c:pt idx="0">
                  <c:v>112.13123112510144</c:v>
                </c:pt>
                <c:pt idx="1">
                  <c:v>97.231231125078153</c:v>
                </c:pt>
                <c:pt idx="2">
                  <c:v>82.33123112505487</c:v>
                </c:pt>
                <c:pt idx="3">
                  <c:v>67.431231125031587</c:v>
                </c:pt>
                <c:pt idx="4">
                  <c:v>52.531231125008304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56-4D0A-8EFD-E06C3B6029FE}"/>
            </c:ext>
          </c:extLst>
        </c:ser>
        <c:ser>
          <c:idx val="7"/>
          <c:order val="7"/>
          <c:tx>
            <c:v>+3сигма</c:v>
          </c:tx>
          <c:spPr>
            <a:ln w="254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'ДАТАСЕТ 3'!$A$19:$A$23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'ДАТАСЕТ 3'!$R$20:$R$24</c:f>
              <c:numCache>
                <c:formatCode>General</c:formatCode>
                <c:ptCount val="5"/>
                <c:pt idx="0">
                  <c:v>259.06876887499027</c:v>
                </c:pt>
                <c:pt idx="1">
                  <c:v>244.16876887496696</c:v>
                </c:pt>
                <c:pt idx="2">
                  <c:v>229.26876887494367</c:v>
                </c:pt>
                <c:pt idx="3">
                  <c:v>214.36876887492039</c:v>
                </c:pt>
                <c:pt idx="4">
                  <c:v>199.46876887489711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56-4D0A-8EFD-E06C3B602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12575"/>
        <c:axId val="2045310079"/>
      </c:scatterChart>
      <c:valAx>
        <c:axId val="2045312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310079"/>
        <c:crosses val="autoZero"/>
        <c:crossBetween val="midCat"/>
      </c:valAx>
      <c:valAx>
        <c:axId val="204531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5312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561093</xdr:colOff>
      <xdr:row>10</xdr:row>
      <xdr:rowOff>131266</xdr:rowOff>
    </xdr:from>
    <xdr:to>
      <xdr:col>37</xdr:col>
      <xdr:colOff>312964</xdr:colOff>
      <xdr:row>29</xdr:row>
      <xdr:rowOff>40820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C72B8E-F69D-44F3-B395-CA62A8F5F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561093</xdr:colOff>
      <xdr:row>10</xdr:row>
      <xdr:rowOff>131266</xdr:rowOff>
    </xdr:from>
    <xdr:to>
      <xdr:col>37</xdr:col>
      <xdr:colOff>312964</xdr:colOff>
      <xdr:row>29</xdr:row>
      <xdr:rowOff>40820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11CA32-B9F9-439A-8204-690C0669B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561093</xdr:colOff>
      <xdr:row>10</xdr:row>
      <xdr:rowOff>131266</xdr:rowOff>
    </xdr:from>
    <xdr:to>
      <xdr:col>37</xdr:col>
      <xdr:colOff>312964</xdr:colOff>
      <xdr:row>29</xdr:row>
      <xdr:rowOff>40820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F1687-C1BD-4AEA-9526-F54320C94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571499</xdr:colOff>
      <xdr:row>15</xdr:row>
      <xdr:rowOff>575</xdr:rowOff>
    </xdr:from>
    <xdr:to>
      <xdr:col>18</xdr:col>
      <xdr:colOff>382217</xdr:colOff>
      <xdr:row>38</xdr:row>
      <xdr:rowOff>9420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572135</xdr:colOff>
      <xdr:row>0</xdr:row>
      <xdr:rowOff>41231</xdr:rowOff>
    </xdr:from>
    <xdr:to>
      <xdr:col>16</xdr:col>
      <xdr:colOff>301687</xdr:colOff>
      <xdr:row>13</xdr:row>
      <xdr:rowOff>117431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467977</xdr:colOff>
      <xdr:row>27</xdr:row>
      <xdr:rowOff>21771</xdr:rowOff>
    </xdr:from>
    <xdr:to>
      <xdr:col>23</xdr:col>
      <xdr:colOff>324593</xdr:colOff>
      <xdr:row>50</xdr:row>
      <xdr:rowOff>125680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572135</xdr:colOff>
      <xdr:row>0</xdr:row>
      <xdr:rowOff>41231</xdr:rowOff>
    </xdr:from>
    <xdr:to>
      <xdr:col>16</xdr:col>
      <xdr:colOff>301687</xdr:colOff>
      <xdr:row>13</xdr:row>
      <xdr:rowOff>117431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467977</xdr:colOff>
      <xdr:row>27</xdr:row>
      <xdr:rowOff>21771</xdr:rowOff>
    </xdr:from>
    <xdr:to>
      <xdr:col>23</xdr:col>
      <xdr:colOff>324593</xdr:colOff>
      <xdr:row>50</xdr:row>
      <xdr:rowOff>125680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BA82-6911-4C18-9DFC-8F9CAD8D2515}">
  <sheetPr codeName="Лист10"/>
  <dimension ref="A6:Q62"/>
  <sheetViews>
    <sheetView topLeftCell="M7" zoomScale="70" zoomScaleNormal="70" workbookViewId="0">
      <selection activeCell="E30" sqref="E30"/>
    </sheetView>
  </sheetViews>
  <sheetFormatPr defaultRowHeight="15" x14ac:dyDescent="0.25"/>
  <cols>
    <col min="1" max="1" width="5.42578125" style="13" customWidth="1"/>
    <col min="2" max="8" width="13.7109375" style="13" customWidth="1"/>
    <col min="9" max="9" width="13.85546875" style="13" customWidth="1"/>
    <col min="10" max="10" width="10.85546875" style="13" customWidth="1"/>
    <col min="11" max="11" width="8.5703125" style="13" bestFit="1" customWidth="1"/>
    <col min="12" max="12" width="21.140625" style="13" customWidth="1"/>
    <col min="13" max="13" width="12.28515625" style="13" bestFit="1" customWidth="1"/>
    <col min="14" max="271" width="9.140625" style="13"/>
    <col min="272" max="273" width="10" style="13" customWidth="1"/>
    <col min="274" max="352" width="9.140625" style="13"/>
    <col min="353" max="354" width="8.5703125" style="13" customWidth="1"/>
    <col min="355" max="16384" width="9.140625" style="13"/>
  </cols>
  <sheetData>
    <row r="6" spans="1:16" ht="17.25" x14ac:dyDescent="0.25">
      <c r="M6" s="41" t="s">
        <v>48</v>
      </c>
      <c r="N6" s="40" t="s">
        <v>47</v>
      </c>
      <c r="O6" s="39"/>
      <c r="P6" s="38"/>
    </row>
    <row r="7" spans="1:16" x14ac:dyDescent="0.25">
      <c r="N7" s="13" t="str">
        <f>"Квадратичная аппроксимация"&amp;
" y="&amp;TEXT(E28,"0,0000")&amp;"x^"&amp;2&amp;
IF(E29&lt;0,"","+")&amp;TEXT(E29,"0,0000")&amp;"x"&amp;
IF(E30&lt;0,"","+")&amp;TEXT(E30,"0,0000")</f>
        <v>Квадратичная аппроксимация y=9,6333x^2-38895,0836x+39260310,2500</v>
      </c>
    </row>
    <row r="10" spans="1:16" x14ac:dyDescent="0.25">
      <c r="E10" s="37"/>
    </row>
    <row r="11" spans="1:16" x14ac:dyDescent="0.25">
      <c r="E11" s="37"/>
    </row>
    <row r="12" spans="1:16" x14ac:dyDescent="0.25">
      <c r="E12" s="37"/>
    </row>
    <row r="13" spans="1:16" x14ac:dyDescent="0.25">
      <c r="E13" s="37"/>
    </row>
    <row r="15" spans="1:16" ht="111" customHeight="1" x14ac:dyDescent="0.25">
      <c r="G15" s="37"/>
    </row>
    <row r="16" spans="1:16" x14ac:dyDescent="0.25">
      <c r="A16" s="36" t="s">
        <v>46</v>
      </c>
      <c r="G16" s="37"/>
    </row>
    <row r="19" spans="1:13" x14ac:dyDescent="0.25">
      <c r="A19" s="36" t="s">
        <v>45</v>
      </c>
      <c r="G19" s="28" t="s">
        <v>44</v>
      </c>
      <c r="H19" s="35" t="s">
        <v>43</v>
      </c>
      <c r="I19" s="34" t="s">
        <v>42</v>
      </c>
    </row>
    <row r="20" spans="1:13" x14ac:dyDescent="0.25">
      <c r="B20" s="32">
        <v>1</v>
      </c>
      <c r="C20" s="32">
        <v>2</v>
      </c>
      <c r="D20" s="32">
        <v>3</v>
      </c>
      <c r="E20" s="33" t="s">
        <v>41</v>
      </c>
      <c r="G20" s="26" t="s">
        <v>40</v>
      </c>
      <c r="H20" s="29">
        <v>0</v>
      </c>
      <c r="I20" s="28" cm="1">
        <f t="array" ref="I20">SUMPRODUCT(POWER($B$34:$B$38,H20))</f>
        <v>5</v>
      </c>
      <c r="M20" s="27"/>
    </row>
    <row r="21" spans="1:13" x14ac:dyDescent="0.25">
      <c r="A21" s="32">
        <v>1</v>
      </c>
      <c r="B21" s="31">
        <f>I24</f>
        <v>82919358144354</v>
      </c>
      <c r="C21" s="31">
        <f>I23</f>
        <v>41089809700</v>
      </c>
      <c r="D21" s="31">
        <f>I22</f>
        <v>20361630</v>
      </c>
      <c r="E21" s="30" cm="1">
        <f t="array" ref="E21">SUMPRODUCT(POWER($B$34:$B$38,2),$C$34:$C$38)</f>
        <v>3171740725</v>
      </c>
      <c r="G21" s="26" t="s">
        <v>39</v>
      </c>
      <c r="H21" s="29">
        <v>1</v>
      </c>
      <c r="I21" s="28" cm="1">
        <f t="array" ref="I21">SUMPRODUCT(POWER($B$34:$B$38,H21))</f>
        <v>10090</v>
      </c>
      <c r="M21" s="27"/>
    </row>
    <row r="22" spans="1:13" x14ac:dyDescent="0.25">
      <c r="A22" s="32">
        <v>2</v>
      </c>
      <c r="B22" s="31">
        <f>C21</f>
        <v>41089809700</v>
      </c>
      <c r="C22" s="31">
        <f>I22</f>
        <v>20361630</v>
      </c>
      <c r="D22" s="31">
        <f>I21</f>
        <v>10090</v>
      </c>
      <c r="E22" s="30">
        <f>SUMPRODUCT($B$34:$B$38,$C$34:$C$38)</f>
        <v>1571873</v>
      </c>
      <c r="G22" s="26" t="s">
        <v>38</v>
      </c>
      <c r="H22" s="29">
        <v>2</v>
      </c>
      <c r="I22" s="28" cm="1">
        <f t="array" ref="I22">SUMPRODUCT(POWER($B$34:$B$38,H22))</f>
        <v>20361630</v>
      </c>
      <c r="M22" s="27"/>
    </row>
    <row r="23" spans="1:13" x14ac:dyDescent="0.25">
      <c r="A23" s="32">
        <v>3</v>
      </c>
      <c r="B23" s="31">
        <f>D21</f>
        <v>20361630</v>
      </c>
      <c r="C23" s="31">
        <f>D22</f>
        <v>10090</v>
      </c>
      <c r="D23" s="31">
        <f>I20</f>
        <v>5</v>
      </c>
      <c r="E23" s="30">
        <f>SUM(C34:C38)</f>
        <v>779</v>
      </c>
      <c r="G23" s="26" t="s">
        <v>37</v>
      </c>
      <c r="H23" s="29">
        <v>3</v>
      </c>
      <c r="I23" s="28" cm="1">
        <f t="array" ref="I23">SUMPRODUCT(POWER($B$34:$B$38,H23))</f>
        <v>41089809700</v>
      </c>
      <c r="M23" s="27"/>
    </row>
    <row r="24" spans="1:13" x14ac:dyDescent="0.25">
      <c r="G24" s="26" t="s">
        <v>36</v>
      </c>
      <c r="H24" s="29">
        <v>4</v>
      </c>
      <c r="I24" s="28" cm="1">
        <f t="array" ref="I24">SUMPRODUCT(POWER($B$34:$B$38,H24))</f>
        <v>82919358144354</v>
      </c>
      <c r="M24" s="27"/>
    </row>
    <row r="25" spans="1:13" x14ac:dyDescent="0.25">
      <c r="B25" s="14" t="s">
        <v>35</v>
      </c>
      <c r="C25" s="26"/>
      <c r="D25" s="26">
        <f>MDETERM(B21:D23)</f>
        <v>700.6906244525627</v>
      </c>
    </row>
    <row r="27" spans="1:13" x14ac:dyDescent="0.25">
      <c r="B27" s="25" t="s">
        <v>34</v>
      </c>
      <c r="C27" s="24"/>
      <c r="D27" s="24"/>
      <c r="E27" s="23" t="s">
        <v>33</v>
      </c>
    </row>
    <row r="28" spans="1:13" x14ac:dyDescent="0.25">
      <c r="B28" s="22">
        <f t="array" ref="B28:D30">MINVERSE(B21:D23)</f>
        <v>7.1358169023636397E-2</v>
      </c>
      <c r="C28" s="22">
        <v>-288.00157013245456</v>
      </c>
      <c r="D28" s="22">
        <v>290593.44149994408</v>
      </c>
      <c r="E28" s="20">
        <f t="array" ref="E28:E30">MMULT(B28:D30,E21:E23)</f>
        <v>9.633345752954483</v>
      </c>
      <c r="F28" s="13" t="s">
        <v>30</v>
      </c>
    </row>
    <row r="29" spans="1:13" x14ac:dyDescent="0.25">
      <c r="B29" s="21">
        <v>-288.0015701324545</v>
      </c>
      <c r="C29" s="21">
        <v>1162374.4368651286</v>
      </c>
      <c r="D29" s="21">
        <v>-1172835331.5026114</v>
      </c>
      <c r="E29" s="20">
        <v>-38895.083618164063</v>
      </c>
      <c r="F29" s="13" t="s">
        <v>29</v>
      </c>
    </row>
    <row r="30" spans="1:13" x14ac:dyDescent="0.25">
      <c r="B30" s="21">
        <v>290593.44149994408</v>
      </c>
      <c r="C30" s="21">
        <v>-1172835331.5026114</v>
      </c>
      <c r="D30" s="21">
        <v>1183390471722.7686</v>
      </c>
      <c r="E30" s="20">
        <v>39260310.25</v>
      </c>
      <c r="F30" s="13" t="s">
        <v>28</v>
      </c>
    </row>
    <row r="32" spans="1:13" x14ac:dyDescent="0.25">
      <c r="B32" s="19" t="s">
        <v>32</v>
      </c>
      <c r="D32" s="19" t="s">
        <v>31</v>
      </c>
    </row>
    <row r="33" spans="1:17" x14ac:dyDescent="0.25">
      <c r="B33" s="18" t="s">
        <v>27</v>
      </c>
      <c r="C33" s="17" t="s">
        <v>26</v>
      </c>
      <c r="D33" s="49" t="s">
        <v>49</v>
      </c>
      <c r="F33" s="43" t="s">
        <v>12</v>
      </c>
      <c r="G33" s="44"/>
      <c r="I33" s="5" t="s">
        <v>16</v>
      </c>
      <c r="J33" s="5" t="s">
        <v>18</v>
      </c>
      <c r="L33" s="43" t="s">
        <v>11</v>
      </c>
      <c r="M33" s="44"/>
      <c r="N33" s="43" t="s">
        <v>22</v>
      </c>
      <c r="O33" s="44"/>
      <c r="P33" s="43" t="s">
        <v>23</v>
      </c>
      <c r="Q33" s="44"/>
    </row>
    <row r="34" spans="1:17" x14ac:dyDescent="0.25">
      <c r="A34" s="15">
        <v>1</v>
      </c>
      <c r="B34" s="2">
        <v>2016</v>
      </c>
      <c r="C34" s="3">
        <v>193</v>
      </c>
      <c r="D34" s="16">
        <f>$E$28*B34*B34+$E$29*B34+$E$30</f>
        <v>204.95230102539063</v>
      </c>
      <c r="F34" s="13">
        <f>D34-1.5*_xlfn.STDEV.S($C$34:$C$39)</f>
        <v>150.77135418981013</v>
      </c>
      <c r="G34" s="13">
        <f>D34+1.5*_xlfn.STDEV.S($C$34:$C$39)</f>
        <v>259.13324786097115</v>
      </c>
      <c r="I34" s="42">
        <f>C34-D34</f>
        <v>-11.952301025390625</v>
      </c>
      <c r="J34" s="42">
        <f>I34^2</f>
        <v>142.85749980155379</v>
      </c>
      <c r="L34" s="42">
        <f>D34-$J$45</f>
        <v>188.13488978333328</v>
      </c>
      <c r="M34" s="42">
        <f>D34+$J$45</f>
        <v>221.76971226744797</v>
      </c>
      <c r="N34" s="13">
        <f>D34-2*$J$45</f>
        <v>171.31747854127593</v>
      </c>
      <c r="O34" s="13">
        <f>D34+2*$J$45</f>
        <v>238.58712350950532</v>
      </c>
      <c r="P34" s="13">
        <f>D34-3*$J$45</f>
        <v>154.50006729921856</v>
      </c>
      <c r="Q34" s="13">
        <f>D34+3*$J$45</f>
        <v>255.40453475156269</v>
      </c>
    </row>
    <row r="35" spans="1:17" x14ac:dyDescent="0.25">
      <c r="A35" s="15">
        <v>2</v>
      </c>
      <c r="B35" s="2">
        <v>2017</v>
      </c>
      <c r="C35" s="3">
        <v>183</v>
      </c>
      <c r="D35" s="16">
        <f>$E$28*B35*B35+$E$29*B35+$E$30</f>
        <v>161.15210452675819</v>
      </c>
      <c r="F35" s="13">
        <f>D35-1.5*_xlfn.STDEV.S($C$34:$C$39)</f>
        <v>106.97115769117769</v>
      </c>
      <c r="G35" s="13">
        <f>D35+1.5*_xlfn.STDEV.S($C$34:$C$39)</f>
        <v>215.33305136233869</v>
      </c>
      <c r="I35" s="42">
        <f>C35-D35</f>
        <v>21.847895473241806</v>
      </c>
      <c r="J35" s="13">
        <f>I35^2</f>
        <v>477.33053660969978</v>
      </c>
      <c r="L35" s="42">
        <f>D35-$J$45</f>
        <v>144.33469328470085</v>
      </c>
      <c r="M35" s="42">
        <f>D35+$J$45</f>
        <v>177.96951576881554</v>
      </c>
      <c r="N35" s="13">
        <f>D35-2*$J$45</f>
        <v>127.51728204264349</v>
      </c>
      <c r="O35" s="13">
        <f>D35+2*$J$45</f>
        <v>194.78692701087289</v>
      </c>
      <c r="P35" s="13">
        <f>D35-3*$J$45</f>
        <v>110.69987080058613</v>
      </c>
      <c r="Q35" s="13">
        <f>D35+3*$J$45</f>
        <v>211.60433825293026</v>
      </c>
    </row>
    <row r="36" spans="1:17" x14ac:dyDescent="0.25">
      <c r="A36" s="15">
        <v>3</v>
      </c>
      <c r="B36" s="2">
        <v>2018</v>
      </c>
      <c r="C36" s="3">
        <v>142</v>
      </c>
      <c r="D36" s="16">
        <f>$E$28*B36*B36+$E$29*B36+$E$30</f>
        <v>136.61859953403473</v>
      </c>
      <c r="F36" s="13">
        <f>D36-1.5*_xlfn.STDEV.S($C$34:$C$39)</f>
        <v>82.437652698454229</v>
      </c>
      <c r="G36" s="13">
        <f>D36+1.5*_xlfn.STDEV.S($C$34:$C$39)</f>
        <v>190.79954636961523</v>
      </c>
      <c r="I36" s="42">
        <f>C36-D36</f>
        <v>5.381400465965271</v>
      </c>
      <c r="J36" s="13">
        <f>I36^2</f>
        <v>28.959470975091236</v>
      </c>
      <c r="L36" s="42">
        <f>D36-$J$45</f>
        <v>119.80118829197738</v>
      </c>
      <c r="M36" s="42">
        <f>D36+$J$45</f>
        <v>153.43601077609208</v>
      </c>
      <c r="N36" s="13">
        <f>D36-2*$J$45</f>
        <v>102.98377704992002</v>
      </c>
      <c r="O36" s="13">
        <f>D36+2*$J$45</f>
        <v>170.25342201814942</v>
      </c>
      <c r="P36" s="13">
        <f>D36-3*$J$45</f>
        <v>86.166365807862661</v>
      </c>
      <c r="Q36" s="13">
        <f>D36+3*$J$45</f>
        <v>187.0708332602068</v>
      </c>
    </row>
    <row r="37" spans="1:17" x14ac:dyDescent="0.25">
      <c r="A37" s="15">
        <v>4</v>
      </c>
      <c r="B37" s="2">
        <v>2019</v>
      </c>
      <c r="C37" s="3">
        <v>102</v>
      </c>
      <c r="D37" s="16">
        <f>$E$28*B37*B37+$E$29*B37+$E$30</f>
        <v>131.35178604722023</v>
      </c>
      <c r="F37" s="13">
        <f>D37-1.5*_xlfn.STDEV.S($C$34:$C$39)</f>
        <v>77.170839211639731</v>
      </c>
      <c r="G37" s="13">
        <f>D37+1.5*_xlfn.STDEV.S($C$34:$C$39)</f>
        <v>185.53273288280073</v>
      </c>
      <c r="I37" s="42">
        <f>C37-D37</f>
        <v>-29.35178604722023</v>
      </c>
      <c r="J37" s="13">
        <f>I37^2</f>
        <v>861.52734416179214</v>
      </c>
      <c r="L37" s="42">
        <f>D37-$J$45</f>
        <v>114.53437480516288</v>
      </c>
      <c r="M37" s="42">
        <f>D37+$J$45</f>
        <v>148.16919728927758</v>
      </c>
      <c r="N37" s="13">
        <f>D37-2*$J$45</f>
        <v>97.716963563105523</v>
      </c>
      <c r="O37" s="13">
        <f>D37+2*$J$45</f>
        <v>164.98660853133492</v>
      </c>
      <c r="P37" s="13">
        <f>D37-3*$J$45</f>
        <v>80.899552321048162</v>
      </c>
      <c r="Q37" s="13">
        <f>D37+3*$J$45</f>
        <v>181.8040197733923</v>
      </c>
    </row>
    <row r="38" spans="1:17" x14ac:dyDescent="0.25">
      <c r="A38" s="15">
        <v>5</v>
      </c>
      <c r="B38" s="2">
        <v>2020</v>
      </c>
      <c r="C38" s="3">
        <v>159</v>
      </c>
      <c r="D38" s="16">
        <f>$E$28*B38*B38+$E$29*B38+$E$30</f>
        <v>145.3516640663147</v>
      </c>
      <c r="F38" s="13">
        <f>D38-1.5*_xlfn.STDEV.S($C$34:$C$39)</f>
        <v>91.170717230734198</v>
      </c>
      <c r="G38" s="13">
        <f>D38+1.5*_xlfn.STDEV.S($C$34:$C$39)</f>
        <v>199.5326109018952</v>
      </c>
      <c r="I38" s="42">
        <f>C38-D38</f>
        <v>13.648335933685303</v>
      </c>
      <c r="J38" s="13">
        <f>I38^2</f>
        <v>186.27707375872546</v>
      </c>
      <c r="L38" s="42">
        <f>D38-$J$45</f>
        <v>128.53425282425735</v>
      </c>
      <c r="M38" s="42">
        <f>D38+$J$45</f>
        <v>162.16907530837204</v>
      </c>
      <c r="N38" s="13">
        <f>D38-2*$J$45</f>
        <v>111.71684158219999</v>
      </c>
      <c r="O38" s="13">
        <f>D38+2*$J$45</f>
        <v>178.98648655042939</v>
      </c>
      <c r="P38" s="13">
        <f>D38-3*$J$45</f>
        <v>94.899430340142629</v>
      </c>
      <c r="Q38" s="13">
        <f>D38+3*$J$45</f>
        <v>195.80389779248677</v>
      </c>
    </row>
    <row r="39" spans="1:17" x14ac:dyDescent="0.25">
      <c r="A39" s="15">
        <v>6</v>
      </c>
      <c r="B39" s="26"/>
      <c r="C39" s="26"/>
      <c r="D39" s="16"/>
      <c r="F39" s="13">
        <f>D39-1.5*_xlfn.STDEV.S($C$34:$C$39)</f>
        <v>-54.180946835580507</v>
      </c>
      <c r="G39" s="13">
        <f>D39+1.5*_xlfn.STDEV.S($C$34:$C$39)</f>
        <v>54.180946835580507</v>
      </c>
      <c r="I39" s="42">
        <f>C39-D39</f>
        <v>0</v>
      </c>
      <c r="J39" s="13">
        <f>I39^2</f>
        <v>0</v>
      </c>
      <c r="L39" s="42">
        <f>D39-$J$45</f>
        <v>-16.817411242057354</v>
      </c>
      <c r="M39" s="42">
        <f>D39+$J$45</f>
        <v>16.817411242057354</v>
      </c>
      <c r="N39" s="13">
        <f>D39-2*$J$45</f>
        <v>-33.634822484114707</v>
      </c>
      <c r="O39" s="13">
        <f>D39+2*$J$45</f>
        <v>33.634822484114707</v>
      </c>
      <c r="P39" s="13">
        <f>D39-3*$J$45</f>
        <v>-50.452233726172061</v>
      </c>
      <c r="Q39" s="13">
        <f>D39+3*$J$45</f>
        <v>50.452233726172061</v>
      </c>
    </row>
    <row r="40" spans="1:17" x14ac:dyDescent="0.25">
      <c r="A40" s="15"/>
      <c r="I40" s="4" t="s">
        <v>17</v>
      </c>
      <c r="J40" s="4" t="s">
        <v>19</v>
      </c>
    </row>
    <row r="41" spans="1:17" x14ac:dyDescent="0.25">
      <c r="A41" s="15"/>
      <c r="I41" s="48">
        <f>SUM(I34:I39)</f>
        <v>-0.42645519971847534</v>
      </c>
      <c r="J41" s="48">
        <f>SUM(J34:J39)</f>
        <v>1696.9519253068622</v>
      </c>
    </row>
    <row r="42" spans="1:17" x14ac:dyDescent="0.25">
      <c r="A42" s="15"/>
    </row>
    <row r="43" spans="1:17" x14ac:dyDescent="0.25">
      <c r="A43" s="15"/>
    </row>
    <row r="44" spans="1:17" x14ac:dyDescent="0.25">
      <c r="A44" s="15"/>
      <c r="I44" s="6" t="s">
        <v>20</v>
      </c>
      <c r="J44" s="13">
        <f>J41/COUNT(J34:J39)</f>
        <v>282.82532088447704</v>
      </c>
    </row>
    <row r="45" spans="1:17" x14ac:dyDescent="0.25">
      <c r="A45" s="15"/>
      <c r="I45" s="6" t="s">
        <v>21</v>
      </c>
      <c r="J45" s="13">
        <f>SQRT(J44)</f>
        <v>16.817411242057354</v>
      </c>
    </row>
    <row r="46" spans="1:17" x14ac:dyDescent="0.25">
      <c r="A46" s="15"/>
    </row>
    <row r="47" spans="1:17" x14ac:dyDescent="0.25">
      <c r="A47" s="15"/>
    </row>
    <row r="48" spans="1:17" x14ac:dyDescent="0.25">
      <c r="A48" s="15"/>
    </row>
    <row r="49" spans="1:6" x14ac:dyDescent="0.25">
      <c r="A49" s="15"/>
    </row>
    <row r="50" spans="1:6" x14ac:dyDescent="0.25">
      <c r="A50" s="15"/>
    </row>
    <row r="51" spans="1:6" x14ac:dyDescent="0.25">
      <c r="A51" s="15"/>
    </row>
    <row r="52" spans="1:6" x14ac:dyDescent="0.25">
      <c r="A52" s="15"/>
    </row>
    <row r="53" spans="1:6" x14ac:dyDescent="0.25">
      <c r="A53" s="15"/>
    </row>
    <row r="60" spans="1:6" x14ac:dyDescent="0.25">
      <c r="F60" s="13" t="s">
        <v>30</v>
      </c>
    </row>
    <row r="61" spans="1:6" x14ac:dyDescent="0.25">
      <c r="F61" s="13" t="s">
        <v>29</v>
      </c>
    </row>
    <row r="62" spans="1:6" x14ac:dyDescent="0.25">
      <c r="F62" s="13" t="s">
        <v>28</v>
      </c>
    </row>
  </sheetData>
  <mergeCells count="4">
    <mergeCell ref="F33:G33"/>
    <mergeCell ref="L33:M33"/>
    <mergeCell ref="N33:O33"/>
    <mergeCell ref="P33:Q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8E6E-B75C-4C35-A3B2-B8397A3E4E46}">
  <sheetPr codeName="Лист9"/>
  <dimension ref="A6:Q62"/>
  <sheetViews>
    <sheetView topLeftCell="L10" zoomScale="70" zoomScaleNormal="70" workbookViewId="0">
      <selection activeCell="B34" sqref="B34:C39"/>
    </sheetView>
  </sheetViews>
  <sheetFormatPr defaultRowHeight="15" x14ac:dyDescent="0.25"/>
  <cols>
    <col min="1" max="1" width="5.42578125" style="13" customWidth="1"/>
    <col min="2" max="8" width="13.7109375" style="13" customWidth="1"/>
    <col min="9" max="9" width="13.85546875" style="13" customWidth="1"/>
    <col min="10" max="10" width="10.85546875" style="13" customWidth="1"/>
    <col min="11" max="11" width="8.5703125" style="13" bestFit="1" customWidth="1"/>
    <col min="12" max="12" width="21.140625" style="13" customWidth="1"/>
    <col min="13" max="13" width="12.28515625" style="13" bestFit="1" customWidth="1"/>
    <col min="14" max="271" width="9.140625" style="13"/>
    <col min="272" max="273" width="10" style="13" customWidth="1"/>
    <col min="274" max="352" width="9.140625" style="13"/>
    <col min="353" max="354" width="8.5703125" style="13" customWidth="1"/>
    <col min="355" max="16384" width="9.140625" style="13"/>
  </cols>
  <sheetData>
    <row r="6" spans="1:16" ht="17.25" x14ac:dyDescent="0.25">
      <c r="M6" s="41" t="s">
        <v>48</v>
      </c>
      <c r="N6" s="40" t="s">
        <v>47</v>
      </c>
      <c r="O6" s="39"/>
      <c r="P6" s="38"/>
    </row>
    <row r="7" spans="1:16" x14ac:dyDescent="0.25">
      <c r="N7" s="13" t="str">
        <f>"Квадратичная аппроксимация"&amp;
" y="&amp;TEXT(E28,"0,0000")&amp;"x^"&amp;2&amp;
IF(E29&lt;0,"","+")&amp;TEXT(E29,"0,0000")&amp;"x"&amp;
IF(E30&lt;0,"","+")&amp;TEXT(E30,"0,0000")</f>
        <v>Квадратичная аппроксимация y=2,9477x^2-11905,9892x+12022202,8438</v>
      </c>
    </row>
    <row r="10" spans="1:16" x14ac:dyDescent="0.25">
      <c r="E10" s="37"/>
    </row>
    <row r="11" spans="1:16" x14ac:dyDescent="0.25">
      <c r="E11" s="37"/>
    </row>
    <row r="12" spans="1:16" x14ac:dyDescent="0.25">
      <c r="E12" s="37"/>
    </row>
    <row r="13" spans="1:16" x14ac:dyDescent="0.25">
      <c r="E13" s="37"/>
    </row>
    <row r="15" spans="1:16" ht="111" customHeight="1" x14ac:dyDescent="0.25">
      <c r="G15" s="37"/>
    </row>
    <row r="16" spans="1:16" x14ac:dyDescent="0.25">
      <c r="A16" s="36" t="s">
        <v>46</v>
      </c>
      <c r="G16" s="37"/>
    </row>
    <row r="19" spans="1:13" x14ac:dyDescent="0.25">
      <c r="A19" s="36" t="s">
        <v>45</v>
      </c>
      <c r="G19" s="28" t="s">
        <v>44</v>
      </c>
      <c r="H19" s="35" t="s">
        <v>43</v>
      </c>
      <c r="I19" s="34" t="s">
        <v>42</v>
      </c>
    </row>
    <row r="20" spans="1:13" x14ac:dyDescent="0.25">
      <c r="B20" s="32">
        <v>1</v>
      </c>
      <c r="C20" s="32">
        <v>2</v>
      </c>
      <c r="D20" s="32">
        <v>3</v>
      </c>
      <c r="E20" s="33" t="s">
        <v>41</v>
      </c>
      <c r="G20" s="26" t="s">
        <v>40</v>
      </c>
      <c r="H20" s="29">
        <v>0</v>
      </c>
      <c r="I20" s="28" cm="1">
        <f t="array" ref="I20">SUMPRODUCT(POWER($B$34:$B$39,H20))</f>
        <v>6</v>
      </c>
      <c r="M20" s="27"/>
    </row>
    <row r="21" spans="1:13" x14ac:dyDescent="0.25">
      <c r="A21" s="32">
        <v>1</v>
      </c>
      <c r="B21" s="31">
        <f>I24</f>
        <v>99602016426835</v>
      </c>
      <c r="C21" s="31">
        <f>I23</f>
        <v>49344464961</v>
      </c>
      <c r="D21" s="31">
        <f>I22</f>
        <v>24446071</v>
      </c>
      <c r="E21" s="30">
        <f t="array" ref="E21">SUMPRODUCT(POWER($B$34:$B$39,2),$C$34:$C$39)</f>
        <v>2297510936</v>
      </c>
      <c r="G21" s="26" t="s">
        <v>39</v>
      </c>
      <c r="H21" s="29">
        <v>1</v>
      </c>
      <c r="I21" s="28" cm="1">
        <f t="array" ref="I21">SUMPRODUCT(POWER($B$34:$B$39,H21))</f>
        <v>12111</v>
      </c>
      <c r="M21" s="27"/>
    </row>
    <row r="22" spans="1:13" x14ac:dyDescent="0.25">
      <c r="A22" s="32">
        <v>2</v>
      </c>
      <c r="B22" s="31">
        <f>C21</f>
        <v>49344464961</v>
      </c>
      <c r="C22" s="31">
        <f>I22</f>
        <v>24446071</v>
      </c>
      <c r="D22" s="31">
        <f>I21</f>
        <v>12111</v>
      </c>
      <c r="E22" s="30">
        <f>SUMPRODUCT($B$34:$B$39,$C$34:$C$39)</f>
        <v>1138330</v>
      </c>
      <c r="G22" s="26" t="s">
        <v>38</v>
      </c>
      <c r="H22" s="29">
        <v>2</v>
      </c>
      <c r="I22" s="28" cm="1">
        <f t="array" ref="I22">SUMPRODUCT(POWER($B$34:$B$39,H22))</f>
        <v>24446071</v>
      </c>
      <c r="M22" s="27"/>
    </row>
    <row r="23" spans="1:13" x14ac:dyDescent="0.25">
      <c r="A23" s="32">
        <v>3</v>
      </c>
      <c r="B23" s="31">
        <f>D21</f>
        <v>24446071</v>
      </c>
      <c r="C23" s="31">
        <f>D22</f>
        <v>12111</v>
      </c>
      <c r="D23" s="31">
        <f>I20</f>
        <v>6</v>
      </c>
      <c r="E23" s="30">
        <f>SUM(C34:C39)</f>
        <v>564</v>
      </c>
      <c r="G23" s="26" t="s">
        <v>37</v>
      </c>
      <c r="H23" s="29">
        <v>3</v>
      </c>
      <c r="I23" s="28" cm="1">
        <f t="array" ref="I23">SUMPRODUCT(POWER($B$34:$B$39,H23))</f>
        <v>49344464961</v>
      </c>
      <c r="M23" s="27"/>
    </row>
    <row r="24" spans="1:13" x14ac:dyDescent="0.25">
      <c r="G24" s="26" t="s">
        <v>36</v>
      </c>
      <c r="H24" s="29">
        <v>4</v>
      </c>
      <c r="I24" s="28" cm="1">
        <f t="array" ref="I24">SUMPRODUCT(POWER($B$34:$B$39,H24))</f>
        <v>99602016426835</v>
      </c>
      <c r="M24" s="27"/>
    </row>
    <row r="25" spans="1:13" x14ac:dyDescent="0.25">
      <c r="B25" s="14" t="s">
        <v>35</v>
      </c>
      <c r="C25" s="26"/>
      <c r="D25" s="26">
        <f>MDETERM(B21:D23)</f>
        <v>3918.2518354946887</v>
      </c>
    </row>
    <row r="27" spans="1:13" x14ac:dyDescent="0.25">
      <c r="B27" s="25" t="s">
        <v>34</v>
      </c>
      <c r="C27" s="24"/>
      <c r="D27" s="24"/>
      <c r="E27" s="23" t="s">
        <v>33</v>
      </c>
    </row>
    <row r="28" spans="1:13" x14ac:dyDescent="0.25">
      <c r="B28" s="22">
        <f t="array" ref="B28:D30">MINVERSE(B21:D23)</f>
        <v>2.6797664976097056E-2</v>
      </c>
      <c r="C28" s="22">
        <v>-108.18217352572736</v>
      </c>
      <c r="D28" s="22">
        <v>109182.780488367</v>
      </c>
      <c r="E28" s="20">
        <f t="array" ref="E28:E30">MMULT(B28:D30,E21:E23)</f>
        <v>2.9477449283003807</v>
      </c>
      <c r="F28" s="13" t="s">
        <v>30</v>
      </c>
    </row>
    <row r="29" spans="1:13" x14ac:dyDescent="0.25">
      <c r="B29" s="21">
        <v>-108.18217351437862</v>
      </c>
      <c r="C29" s="21">
        <v>436731.49168993504</v>
      </c>
      <c r="D29" s="21">
        <v>-440771000.19833076</v>
      </c>
      <c r="E29" s="20">
        <v>-11905.989227294922</v>
      </c>
      <c r="F29" s="13" t="s">
        <v>29</v>
      </c>
    </row>
    <row r="30" spans="1:13" x14ac:dyDescent="0.25">
      <c r="B30" s="21">
        <v>109182.78046545958</v>
      </c>
      <c r="C30" s="21">
        <v>-440771000.15209204</v>
      </c>
      <c r="D30" s="21">
        <v>444847929934.49152</v>
      </c>
      <c r="E30" s="20">
        <v>12022202.84375</v>
      </c>
      <c r="F30" s="13" t="s">
        <v>28</v>
      </c>
    </row>
    <row r="32" spans="1:13" x14ac:dyDescent="0.25">
      <c r="B32" s="19" t="s">
        <v>32</v>
      </c>
      <c r="D32" s="19" t="s">
        <v>31</v>
      </c>
    </row>
    <row r="33" spans="1:17" x14ac:dyDescent="0.25">
      <c r="B33" s="18" t="s">
        <v>27</v>
      </c>
      <c r="C33" s="17" t="s">
        <v>26</v>
      </c>
      <c r="D33" s="49" t="s">
        <v>49</v>
      </c>
      <c r="F33" s="43" t="s">
        <v>12</v>
      </c>
      <c r="G33" s="44"/>
      <c r="I33" s="5" t="s">
        <v>16</v>
      </c>
      <c r="J33" s="5" t="s">
        <v>18</v>
      </c>
      <c r="L33" s="43" t="s">
        <v>11</v>
      </c>
      <c r="M33" s="44"/>
      <c r="N33" s="43" t="s">
        <v>22</v>
      </c>
      <c r="O33" s="44"/>
      <c r="P33" s="43" t="s">
        <v>23</v>
      </c>
      <c r="Q33" s="44"/>
    </row>
    <row r="34" spans="1:17" x14ac:dyDescent="0.25">
      <c r="A34" s="15">
        <v>1</v>
      </c>
      <c r="B34" s="2">
        <v>2016</v>
      </c>
      <c r="C34" s="3">
        <v>91</v>
      </c>
      <c r="D34" s="16">
        <f>$E$28*B34*B34+$E$29*B34+$E$30</f>
        <v>118.57283782958984</v>
      </c>
      <c r="F34" s="13">
        <f>D34-1.5*_xlfn.STDEV.S($C$34:$C$39)</f>
        <v>55.344679545483544</v>
      </c>
      <c r="G34" s="13">
        <f>D34+1.5*_xlfn.STDEV.S($C$34:$C$39)</f>
        <v>181.80099611369616</v>
      </c>
      <c r="I34" s="42">
        <f>C34-D34</f>
        <v>-27.572837829589844</v>
      </c>
      <c r="J34" s="42">
        <f>I34^2</f>
        <v>760.26138597686077</v>
      </c>
      <c r="L34" s="42">
        <f>D34-$J$45</f>
        <v>82.190816508580212</v>
      </c>
      <c r="M34" s="42">
        <f>D34+$J$45</f>
        <v>154.95485915059948</v>
      </c>
      <c r="N34" s="13">
        <f>D34-2*$J$45</f>
        <v>45.808795187570581</v>
      </c>
      <c r="O34" s="13">
        <f>D34+2*$J$45</f>
        <v>191.33688047160911</v>
      </c>
      <c r="P34" s="13">
        <f>D34-3*$J$45</f>
        <v>9.42677386656095</v>
      </c>
      <c r="Q34" s="13">
        <f>D34+3*$J$45</f>
        <v>227.71890179261874</v>
      </c>
    </row>
    <row r="35" spans="1:17" x14ac:dyDescent="0.25">
      <c r="A35" s="15">
        <v>2</v>
      </c>
      <c r="B35" s="9">
        <v>2017</v>
      </c>
      <c r="C35" s="10">
        <v>169</v>
      </c>
      <c r="D35" s="16">
        <f>$E$28*B35*B35+$E$29*B35+$E$30</f>
        <v>100.83890637010336</v>
      </c>
      <c r="F35" s="13">
        <f>D35-1.5*_xlfn.STDEV.S($C$34:$C$39)</f>
        <v>37.610748085997059</v>
      </c>
      <c r="G35" s="13">
        <f>D35+1.5*_xlfn.STDEV.S($C$34:$C$39)</f>
        <v>164.06706465420967</v>
      </c>
      <c r="I35" s="42">
        <f>C35-D35</f>
        <v>68.161093629896641</v>
      </c>
      <c r="J35" s="13">
        <f>I35^2</f>
        <v>4645.9346848235364</v>
      </c>
      <c r="L35" s="42">
        <f>D35-$J$45</f>
        <v>64.456885049093728</v>
      </c>
      <c r="M35" s="42">
        <f>D35+$J$45</f>
        <v>137.22092769111299</v>
      </c>
      <c r="N35" s="13">
        <f>D35-2*$J$45</f>
        <v>28.074863728084097</v>
      </c>
      <c r="O35" s="13">
        <f>D35+2*$J$45</f>
        <v>173.60294901212262</v>
      </c>
      <c r="P35" s="13">
        <f>D35-3*$J$45</f>
        <v>-8.3071575929255346</v>
      </c>
      <c r="Q35" s="13">
        <f>D35+3*$J$45</f>
        <v>209.98497033313225</v>
      </c>
    </row>
    <row r="36" spans="1:17" x14ac:dyDescent="0.25">
      <c r="A36" s="15">
        <v>3</v>
      </c>
      <c r="B36" s="9">
        <v>2018</v>
      </c>
      <c r="C36" s="10">
        <v>42</v>
      </c>
      <c r="D36" s="16">
        <f>$E$28*B36*B36+$E$29*B36+$E$30</f>
        <v>89.000464767217636</v>
      </c>
      <c r="F36" s="13">
        <f>D36-1.5*_xlfn.STDEV.S($C$34:$C$39)</f>
        <v>25.772306483111336</v>
      </c>
      <c r="G36" s="13">
        <f>D36+1.5*_xlfn.STDEV.S($C$34:$C$39)</f>
        <v>152.22862305132395</v>
      </c>
      <c r="I36" s="42">
        <f>C36-D36</f>
        <v>-47.000464767217636</v>
      </c>
      <c r="J36" s="13">
        <f>I36^2</f>
        <v>2209.0436883344664</v>
      </c>
      <c r="L36" s="42">
        <f>D36-$J$45</f>
        <v>52.618443446208005</v>
      </c>
      <c r="M36" s="42">
        <f>D36+$J$45</f>
        <v>125.38248608822727</v>
      </c>
      <c r="N36" s="13">
        <f>D36-2*$J$45</f>
        <v>16.236422125198374</v>
      </c>
      <c r="O36" s="13">
        <f>D36+2*$J$45</f>
        <v>161.7645074092369</v>
      </c>
      <c r="P36" s="13">
        <f>D36-3*$J$45</f>
        <v>-20.145599195811258</v>
      </c>
      <c r="Q36" s="13">
        <f>D36+3*$J$45</f>
        <v>198.14652873024653</v>
      </c>
    </row>
    <row r="37" spans="1:17" x14ac:dyDescent="0.25">
      <c r="A37" s="15">
        <v>4</v>
      </c>
      <c r="B37" s="2">
        <v>2019</v>
      </c>
      <c r="C37" s="3">
        <v>93</v>
      </c>
      <c r="D37" s="16">
        <f>$E$28*B37*B37+$E$29*B37+$E$30</f>
        <v>83.057513020932674</v>
      </c>
      <c r="F37" s="13">
        <f>D37-1.5*_xlfn.STDEV.S($C$34:$C$39)</f>
        <v>19.829354736826375</v>
      </c>
      <c r="G37" s="13">
        <f>D37+1.5*_xlfn.STDEV.S($C$34:$C$39)</f>
        <v>146.28567130503899</v>
      </c>
      <c r="I37" s="42">
        <f>C37-D37</f>
        <v>9.9424869790673256</v>
      </c>
      <c r="J37" s="13">
        <f>I37^2</f>
        <v>98.85304732892331</v>
      </c>
      <c r="L37" s="42">
        <f>D37-$J$45</f>
        <v>46.675491699923043</v>
      </c>
      <c r="M37" s="42">
        <f>D37+$J$45</f>
        <v>119.43953434194231</v>
      </c>
      <c r="N37" s="13">
        <f>D37-2*$J$45</f>
        <v>10.293470378913412</v>
      </c>
      <c r="O37" s="13">
        <f>D37+2*$J$45</f>
        <v>155.82155566295194</v>
      </c>
      <c r="P37" s="13">
        <f>D37-3*$J$45</f>
        <v>-26.088550942096219</v>
      </c>
      <c r="Q37" s="13">
        <f>D37+3*$J$45</f>
        <v>192.20357698396157</v>
      </c>
    </row>
    <row r="38" spans="1:17" x14ac:dyDescent="0.25">
      <c r="A38" s="15">
        <v>5</v>
      </c>
      <c r="B38" s="2">
        <v>2020</v>
      </c>
      <c r="C38" s="3">
        <v>71</v>
      </c>
      <c r="D38" s="16">
        <f>$E$28*B38*B38+$E$29*B38+$E$30</f>
        <v>83.010051131248474</v>
      </c>
      <c r="F38" s="13">
        <f>D38-1.5*_xlfn.STDEV.S($C$34:$C$39)</f>
        <v>19.781892847142174</v>
      </c>
      <c r="G38" s="13">
        <f>D38+1.5*_xlfn.STDEV.S($C$34:$C$39)</f>
        <v>146.23820941535479</v>
      </c>
      <c r="I38" s="42">
        <f>C38-D38</f>
        <v>-12.010051131248474</v>
      </c>
      <c r="J38" s="13">
        <f>I38^2</f>
        <v>144.24132817520274</v>
      </c>
      <c r="L38" s="42">
        <f>D38-$J$45</f>
        <v>46.628029810238843</v>
      </c>
      <c r="M38" s="42">
        <f>D38+$J$45</f>
        <v>119.39207245225811</v>
      </c>
      <c r="N38" s="13">
        <f>D38-2*$J$45</f>
        <v>10.246008489229212</v>
      </c>
      <c r="O38" s="13">
        <f>D38+2*$J$45</f>
        <v>155.77409377326774</v>
      </c>
      <c r="P38" s="13">
        <f>D38-3*$J$45</f>
        <v>-26.13601283178042</v>
      </c>
      <c r="Q38" s="13">
        <f>D38+3*$J$45</f>
        <v>192.15611509427737</v>
      </c>
    </row>
    <row r="39" spans="1:17" x14ac:dyDescent="0.25">
      <c r="A39" s="15">
        <v>6</v>
      </c>
      <c r="B39" s="2">
        <v>2021</v>
      </c>
      <c r="C39" s="3">
        <v>98</v>
      </c>
      <c r="D39" s="16">
        <f>$E$28*B39*B39+$E$29*B39+$E$30</f>
        <v>88.858079098165035</v>
      </c>
      <c r="F39" s="13">
        <f>D39-1.5*_xlfn.STDEV.S($C$34:$C$39)</f>
        <v>25.629920814058735</v>
      </c>
      <c r="G39" s="13">
        <f>D39+1.5*_xlfn.STDEV.S($C$34:$C$39)</f>
        <v>152.08623738227135</v>
      </c>
      <c r="I39" s="42">
        <f>C39-D39</f>
        <v>9.1419209018349648</v>
      </c>
      <c r="J39" s="13">
        <f>I39^2</f>
        <v>83.574717775407009</v>
      </c>
      <c r="L39" s="42">
        <f>D39-$J$45</f>
        <v>52.476057777155404</v>
      </c>
      <c r="M39" s="42">
        <f>D39+$J$45</f>
        <v>125.24010041917467</v>
      </c>
      <c r="N39" s="13">
        <f>D39-2*$J$45</f>
        <v>16.094036456145773</v>
      </c>
      <c r="O39" s="13">
        <f>D39+2*$J$45</f>
        <v>161.6221217401843</v>
      </c>
      <c r="P39" s="13">
        <f>D39-3*$J$45</f>
        <v>-20.287984864863859</v>
      </c>
      <c r="Q39" s="13">
        <f>D39+3*$J$45</f>
        <v>198.00414306119393</v>
      </c>
    </row>
    <row r="40" spans="1:17" x14ac:dyDescent="0.25">
      <c r="A40" s="15"/>
      <c r="I40" s="4" t="s">
        <v>17</v>
      </c>
      <c r="J40" s="4" t="s">
        <v>19</v>
      </c>
    </row>
    <row r="41" spans="1:17" x14ac:dyDescent="0.25">
      <c r="A41" s="15"/>
      <c r="I41" s="48">
        <f>SUM(I34:I39)</f>
        <v>0.66214778274297714</v>
      </c>
      <c r="J41" s="48">
        <f>SUM(J34:J39)</f>
        <v>7941.9088524143963</v>
      </c>
    </row>
    <row r="42" spans="1:17" x14ac:dyDescent="0.25">
      <c r="A42" s="15"/>
    </row>
    <row r="43" spans="1:17" x14ac:dyDescent="0.25">
      <c r="A43" s="15"/>
    </row>
    <row r="44" spans="1:17" x14ac:dyDescent="0.25">
      <c r="A44" s="15"/>
      <c r="I44" s="6" t="s">
        <v>20</v>
      </c>
      <c r="J44" s="13">
        <f>J41/COUNT(J34:J39)</f>
        <v>1323.6514754023995</v>
      </c>
    </row>
    <row r="45" spans="1:17" x14ac:dyDescent="0.25">
      <c r="A45" s="15"/>
      <c r="I45" s="6" t="s">
        <v>21</v>
      </c>
      <c r="J45" s="13">
        <f>SQRT(J44)</f>
        <v>36.382021321009631</v>
      </c>
    </row>
    <row r="46" spans="1:17" x14ac:dyDescent="0.25">
      <c r="A46" s="15"/>
    </row>
    <row r="47" spans="1:17" x14ac:dyDescent="0.25">
      <c r="A47" s="15"/>
    </row>
    <row r="48" spans="1:17" x14ac:dyDescent="0.25">
      <c r="A48" s="15"/>
    </row>
    <row r="49" spans="1:6" x14ac:dyDescent="0.25">
      <c r="A49" s="15"/>
    </row>
    <row r="50" spans="1:6" x14ac:dyDescent="0.25">
      <c r="A50" s="15"/>
    </row>
    <row r="51" spans="1:6" x14ac:dyDescent="0.25">
      <c r="A51" s="15"/>
    </row>
    <row r="52" spans="1:6" x14ac:dyDescent="0.25">
      <c r="A52" s="15"/>
    </row>
    <row r="53" spans="1:6" x14ac:dyDescent="0.25">
      <c r="A53" s="15"/>
    </row>
    <row r="60" spans="1:6" x14ac:dyDescent="0.25">
      <c r="F60" s="13" t="s">
        <v>30</v>
      </c>
    </row>
    <row r="61" spans="1:6" x14ac:dyDescent="0.25">
      <c r="F61" s="13" t="s">
        <v>29</v>
      </c>
    </row>
    <row r="62" spans="1:6" x14ac:dyDescent="0.25">
      <c r="F62" s="13" t="s">
        <v>28</v>
      </c>
    </row>
  </sheetData>
  <mergeCells count="4">
    <mergeCell ref="F33:G33"/>
    <mergeCell ref="L33:M33"/>
    <mergeCell ref="N33:O33"/>
    <mergeCell ref="P33:Q3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B965-B2C1-466D-8F2E-BB6CFC303048}">
  <sheetPr codeName="Лист8"/>
  <dimension ref="A6:Q62"/>
  <sheetViews>
    <sheetView tabSelected="1" topLeftCell="A10" zoomScale="70" zoomScaleNormal="70" workbookViewId="0">
      <selection activeCell="H37" sqref="H37"/>
    </sheetView>
  </sheetViews>
  <sheetFormatPr defaultRowHeight="15" x14ac:dyDescent="0.25"/>
  <cols>
    <col min="1" max="1" width="5.42578125" style="13" customWidth="1"/>
    <col min="2" max="8" width="13.7109375" style="13" customWidth="1"/>
    <col min="9" max="9" width="13.85546875" style="13" customWidth="1"/>
    <col min="10" max="10" width="10.85546875" style="13" customWidth="1"/>
    <col min="11" max="11" width="8.5703125" style="13" bestFit="1" customWidth="1"/>
    <col min="12" max="12" width="21.140625" style="13" customWidth="1"/>
    <col min="13" max="13" width="12.28515625" style="13" bestFit="1" customWidth="1"/>
    <col min="14" max="271" width="9.140625" style="13"/>
    <col min="272" max="273" width="10" style="13" customWidth="1"/>
    <col min="274" max="352" width="9.140625" style="13"/>
    <col min="353" max="354" width="8.5703125" style="13" customWidth="1"/>
    <col min="355" max="16384" width="9.140625" style="13"/>
  </cols>
  <sheetData>
    <row r="6" spans="1:16" ht="17.25" x14ac:dyDescent="0.25">
      <c r="M6" s="41" t="s">
        <v>48</v>
      </c>
      <c r="N6" s="40" t="s">
        <v>47</v>
      </c>
      <c r="O6" s="39"/>
      <c r="P6" s="38"/>
    </row>
    <row r="7" spans="1:16" x14ac:dyDescent="0.25">
      <c r="N7" s="13" t="str">
        <f>"Квадратичная аппроксимация"&amp;
" y="&amp;TEXT(E28,"0,0000")&amp;"x^"&amp;2&amp;
IF(E29&lt;0,"","+")&amp;TEXT(E29,"0,0000")&amp;"x"&amp;
IF(E30&lt;0,"","+")&amp;TEXT(E30,"0,0000")</f>
        <v>Квадратичная аппроксимация y=8,3073x^2-33540,3643x+33854620,0000</v>
      </c>
    </row>
    <row r="10" spans="1:16" x14ac:dyDescent="0.25">
      <c r="E10" s="37"/>
    </row>
    <row r="11" spans="1:16" x14ac:dyDescent="0.25">
      <c r="E11" s="37"/>
    </row>
    <row r="12" spans="1:16" x14ac:dyDescent="0.25">
      <c r="E12" s="37"/>
    </row>
    <row r="13" spans="1:16" x14ac:dyDescent="0.25">
      <c r="E13" s="37"/>
    </row>
    <row r="15" spans="1:16" ht="111" customHeight="1" x14ac:dyDescent="0.25">
      <c r="G15" s="37"/>
    </row>
    <row r="16" spans="1:16" ht="18.75" x14ac:dyDescent="0.35">
      <c r="A16" s="36" t="s">
        <v>46</v>
      </c>
      <c r="G16" s="37"/>
    </row>
    <row r="19" spans="1:13" ht="30" x14ac:dyDescent="0.25">
      <c r="A19" s="36" t="s">
        <v>45</v>
      </c>
      <c r="G19" s="28" t="s">
        <v>44</v>
      </c>
      <c r="H19" s="35" t="s">
        <v>43</v>
      </c>
      <c r="I19" s="34" t="s">
        <v>42</v>
      </c>
    </row>
    <row r="20" spans="1:13" ht="30" x14ac:dyDescent="0.25">
      <c r="B20" s="32">
        <v>1</v>
      </c>
      <c r="C20" s="32">
        <v>2</v>
      </c>
      <c r="D20" s="32">
        <v>3</v>
      </c>
      <c r="E20" s="33" t="s">
        <v>41</v>
      </c>
      <c r="G20" s="26" t="s">
        <v>40</v>
      </c>
      <c r="H20" s="29">
        <v>0</v>
      </c>
      <c r="I20" s="28" cm="1">
        <f t="array" ref="I20">SUMPRODUCT(POWER($B$34:$B$39,H20))</f>
        <v>6</v>
      </c>
      <c r="M20" s="27"/>
    </row>
    <row r="21" spans="1:13" ht="17.25" x14ac:dyDescent="0.25">
      <c r="A21" s="32">
        <v>1</v>
      </c>
      <c r="B21" s="31">
        <f>I24</f>
        <v>99602016426835</v>
      </c>
      <c r="C21" s="31">
        <f>I23</f>
        <v>49344464961</v>
      </c>
      <c r="D21" s="31">
        <f>I22</f>
        <v>24446071</v>
      </c>
      <c r="E21" s="30">
        <f t="array" ref="E21">SUMPRODUCT(POWER($B$34:$B$39,2),$C$34:$C$39)</f>
        <v>2688793604</v>
      </c>
      <c r="G21" s="26" t="s">
        <v>39</v>
      </c>
      <c r="H21" s="29">
        <v>1</v>
      </c>
      <c r="I21" s="28" cm="1">
        <f t="array" ref="I21">SUMPRODUCT(POWER($B$34:$B$39,H21))</f>
        <v>12111</v>
      </c>
      <c r="M21" s="27"/>
    </row>
    <row r="22" spans="1:13" ht="17.25" x14ac:dyDescent="0.25">
      <c r="A22" s="32">
        <v>2</v>
      </c>
      <c r="B22" s="31">
        <f>C21</f>
        <v>49344464961</v>
      </c>
      <c r="C22" s="31">
        <f>I22</f>
        <v>24446071</v>
      </c>
      <c r="D22" s="31">
        <f>I21</f>
        <v>12111</v>
      </c>
      <c r="E22" s="30">
        <f>SUMPRODUCT($B$34:$B$39,$C$34:$C$39)</f>
        <v>1332142</v>
      </c>
      <c r="G22" s="26" t="s">
        <v>38</v>
      </c>
      <c r="H22" s="29">
        <v>2</v>
      </c>
      <c r="I22" s="28" cm="1">
        <f t="array" ref="I22">SUMPRODUCT(POWER($B$34:$B$39,H22))</f>
        <v>24446071</v>
      </c>
      <c r="M22" s="27"/>
    </row>
    <row r="23" spans="1:13" ht="17.25" x14ac:dyDescent="0.25">
      <c r="A23" s="32">
        <v>3</v>
      </c>
      <c r="B23" s="31">
        <f>D21</f>
        <v>24446071</v>
      </c>
      <c r="C23" s="31">
        <f>D22</f>
        <v>12111</v>
      </c>
      <c r="D23" s="31">
        <f>I20</f>
        <v>6</v>
      </c>
      <c r="E23" s="30">
        <f>SUM(C34:C39)</f>
        <v>660</v>
      </c>
      <c r="G23" s="26" t="s">
        <v>37</v>
      </c>
      <c r="H23" s="29">
        <v>3</v>
      </c>
      <c r="I23" s="28" cm="1">
        <f t="array" ref="I23">SUMPRODUCT(POWER($B$34:$B$39,H23))</f>
        <v>49344464961</v>
      </c>
      <c r="M23" s="27"/>
    </row>
    <row r="24" spans="1:13" ht="17.25" x14ac:dyDescent="0.25">
      <c r="G24" s="26" t="s">
        <v>36</v>
      </c>
      <c r="H24" s="29">
        <v>4</v>
      </c>
      <c r="I24" s="28" cm="1">
        <f t="array" ref="I24">SUMPRODUCT(POWER($B$34:$B$39,H24))</f>
        <v>99602016426835</v>
      </c>
      <c r="M24" s="27"/>
    </row>
    <row r="25" spans="1:13" x14ac:dyDescent="0.25">
      <c r="B25" s="14" t="s">
        <v>35</v>
      </c>
      <c r="C25" s="26"/>
      <c r="D25" s="26">
        <f>MDETERM(B21:D23)</f>
        <v>3918.2518354946887</v>
      </c>
    </row>
    <row r="27" spans="1:13" x14ac:dyDescent="0.25">
      <c r="B27" s="25" t="s">
        <v>34</v>
      </c>
      <c r="C27" s="24"/>
      <c r="D27" s="24"/>
      <c r="E27" s="23" t="s">
        <v>33</v>
      </c>
    </row>
    <row r="28" spans="1:13" x14ac:dyDescent="0.25">
      <c r="B28" s="22">
        <f t="array" ref="B28:D30">MINVERSE(B21:D23)</f>
        <v>2.6797664976097056E-2</v>
      </c>
      <c r="C28" s="22">
        <v>-108.18217352572736</v>
      </c>
      <c r="D28" s="22">
        <v>109182.780488367</v>
      </c>
      <c r="E28" s="20">
        <f t="array" ref="E28:E30">MMULT(B28:D30,E21:E23)</f>
        <v>8.3072772771120071</v>
      </c>
      <c r="F28" s="13" t="s">
        <v>30</v>
      </c>
    </row>
    <row r="29" spans="1:13" x14ac:dyDescent="0.25">
      <c r="B29" s="21">
        <v>-108.18217351437862</v>
      </c>
      <c r="C29" s="21">
        <v>436731.49168993504</v>
      </c>
      <c r="D29" s="21">
        <v>-440771000.19833076</v>
      </c>
      <c r="E29" s="20">
        <v>-33540.3642578125</v>
      </c>
      <c r="F29" s="13" t="s">
        <v>29</v>
      </c>
    </row>
    <row r="30" spans="1:13" x14ac:dyDescent="0.25">
      <c r="B30" s="21">
        <v>109182.78046545958</v>
      </c>
      <c r="C30" s="21">
        <v>-440771000.15209204</v>
      </c>
      <c r="D30" s="21">
        <v>444847929934.49152</v>
      </c>
      <c r="E30" s="20">
        <v>33854620</v>
      </c>
      <c r="F30" s="13" t="s">
        <v>28</v>
      </c>
    </row>
    <row r="32" spans="1:13" x14ac:dyDescent="0.25">
      <c r="B32" s="19" t="s">
        <v>32</v>
      </c>
      <c r="D32" s="19" t="s">
        <v>31</v>
      </c>
    </row>
    <row r="33" spans="1:17" x14ac:dyDescent="0.25">
      <c r="B33" s="18" t="s">
        <v>27</v>
      </c>
      <c r="C33" s="17" t="s">
        <v>26</v>
      </c>
      <c r="D33" s="49" t="s">
        <v>49</v>
      </c>
      <c r="F33" s="43" t="s">
        <v>12</v>
      </c>
      <c r="G33" s="44"/>
      <c r="I33" s="5" t="s">
        <v>16</v>
      </c>
      <c r="J33" s="5" t="s">
        <v>18</v>
      </c>
      <c r="L33" s="43" t="s">
        <v>11</v>
      </c>
      <c r="M33" s="44"/>
      <c r="N33" s="43" t="s">
        <v>22</v>
      </c>
      <c r="O33" s="44"/>
      <c r="P33" s="43" t="s">
        <v>23</v>
      </c>
      <c r="Q33" s="44"/>
    </row>
    <row r="34" spans="1:17" x14ac:dyDescent="0.25">
      <c r="A34" s="15">
        <v>1</v>
      </c>
      <c r="B34" s="26">
        <v>2016</v>
      </c>
      <c r="C34" s="26">
        <v>137</v>
      </c>
      <c r="D34" s="16">
        <f>$E$28*B34*B34+$E$29*B34+$E$30</f>
        <v>147.17341613769531</v>
      </c>
      <c r="F34" s="13">
        <f>D34-1.5*_xlfn.STDEV.S($C$34:$C$39)</f>
        <v>103.41041806855019</v>
      </c>
      <c r="G34" s="13">
        <f>D34+1.5*_xlfn.STDEV.S($C$34:$C$39)</f>
        <v>190.93641420684042</v>
      </c>
      <c r="I34" s="42">
        <f>C34-D34</f>
        <v>-10.173416137695313</v>
      </c>
      <c r="J34" s="42">
        <f>I34^2</f>
        <v>103.49839591071941</v>
      </c>
      <c r="L34" s="42">
        <f>D34-$J$45</f>
        <v>131.800342312163</v>
      </c>
      <c r="M34" s="42">
        <f>D34+$J$45</f>
        <v>162.54648996322763</v>
      </c>
      <c r="N34" s="13">
        <f>D34-2*$J$45</f>
        <v>116.42726848663071</v>
      </c>
      <c r="O34" s="13">
        <f>D34+2*$J$45</f>
        <v>177.91956378875992</v>
      </c>
      <c r="P34" s="13">
        <f>D34-3*$J$45</f>
        <v>101.05419466109839</v>
      </c>
      <c r="Q34" s="13">
        <f>D34+3*$J$45</f>
        <v>193.29263761429223</v>
      </c>
    </row>
    <row r="35" spans="1:17" x14ac:dyDescent="0.25">
      <c r="A35" s="15">
        <v>2</v>
      </c>
      <c r="B35" s="26">
        <v>2017</v>
      </c>
      <c r="C35" s="26">
        <v>134</v>
      </c>
      <c r="D35" s="16">
        <f>$E$28*B35*B35+$E$29*B35+$E$30</f>
        <v>110.05841691792011</v>
      </c>
      <c r="F35" s="13">
        <f>D35-1.5*_xlfn.STDEV.S($C$34:$C$39)</f>
        <v>66.295418848774986</v>
      </c>
      <c r="G35" s="13">
        <f>D35+1.5*_xlfn.STDEV.S($C$34:$C$39)</f>
        <v>153.82141498706522</v>
      </c>
      <c r="I35" s="42">
        <f>C35-D35</f>
        <v>23.941583082079887</v>
      </c>
      <c r="J35" s="13">
        <f>I35^2</f>
        <v>573.19940047613386</v>
      </c>
      <c r="L35" s="42">
        <f>D35-$J$45</f>
        <v>94.685343092387811</v>
      </c>
      <c r="M35" s="42">
        <f>D35+$J$45</f>
        <v>125.43149074345241</v>
      </c>
      <c r="N35" s="13">
        <f>D35-2*$J$45</f>
        <v>79.312269266855509</v>
      </c>
      <c r="O35" s="13">
        <f>D35+2*$J$45</f>
        <v>140.80456456898472</v>
      </c>
      <c r="P35" s="13">
        <f>D35-3*$J$45</f>
        <v>63.939195441323193</v>
      </c>
      <c r="Q35" s="13">
        <f>D35+3*$J$45</f>
        <v>156.17763839451703</v>
      </c>
    </row>
    <row r="36" spans="1:17" x14ac:dyDescent="0.25">
      <c r="A36" s="15">
        <v>3</v>
      </c>
      <c r="B36" s="26">
        <v>2018</v>
      </c>
      <c r="C36" s="26">
        <v>84</v>
      </c>
      <c r="D36" s="16">
        <f>$E$28*B36*B36+$E$29*B36+$E$30</f>
        <v>89.557972252368927</v>
      </c>
      <c r="F36" s="13">
        <f>D36-1.5*_xlfn.STDEV.S($C$34:$C$39)</f>
        <v>45.7949741832238</v>
      </c>
      <c r="G36" s="13">
        <f>D36+1.5*_xlfn.STDEV.S($C$34:$C$39)</f>
        <v>133.32097032151404</v>
      </c>
      <c r="I36" s="42">
        <f>C36-D36</f>
        <v>-5.557972252368927</v>
      </c>
      <c r="J36" s="13">
        <f>I36^2</f>
        <v>30.891055558102924</v>
      </c>
      <c r="L36" s="42">
        <f>D36-$J$45</f>
        <v>74.184898426836625</v>
      </c>
      <c r="M36" s="42">
        <f>D36+$J$45</f>
        <v>104.93104607790123</v>
      </c>
      <c r="N36" s="13">
        <f>D36-2*$J$45</f>
        <v>58.811824601304316</v>
      </c>
      <c r="O36" s="13">
        <f>D36+2*$J$45</f>
        <v>120.30411990343353</v>
      </c>
      <c r="P36" s="13">
        <f>D36-3*$J$45</f>
        <v>43.438750775772007</v>
      </c>
      <c r="Q36" s="13">
        <f>D36+3*$J$45</f>
        <v>135.67719372896585</v>
      </c>
    </row>
    <row r="37" spans="1:17" x14ac:dyDescent="0.25">
      <c r="A37" s="15">
        <v>4</v>
      </c>
      <c r="B37" s="26">
        <v>2019</v>
      </c>
      <c r="C37" s="26">
        <v>65</v>
      </c>
      <c r="D37" s="16">
        <f>$E$28*B37*B37+$E$29*B37+$E$30</f>
        <v>85.672082141041756</v>
      </c>
      <c r="F37" s="13">
        <f>D37-1.5*_xlfn.STDEV.S($C$34:$C$39)</f>
        <v>41.909084071896629</v>
      </c>
      <c r="G37" s="13">
        <f>D37+1.5*_xlfn.STDEV.S($C$34:$C$39)</f>
        <v>129.43508021018687</v>
      </c>
      <c r="I37" s="42">
        <f>C37-D37</f>
        <v>-20.672082141041756</v>
      </c>
      <c r="J37" s="13">
        <f>I37^2</f>
        <v>427.33498004597749</v>
      </c>
      <c r="L37" s="42">
        <f>D37-$J$45</f>
        <v>70.299008315509454</v>
      </c>
      <c r="M37" s="42">
        <f>D37+$J$45</f>
        <v>101.04515596657406</v>
      </c>
      <c r="N37" s="13">
        <f>D37-2*$J$45</f>
        <v>54.925934489977145</v>
      </c>
      <c r="O37" s="13">
        <f>D37+2*$J$45</f>
        <v>116.41822979210636</v>
      </c>
      <c r="P37" s="13">
        <f>D37-3*$J$45</f>
        <v>39.552860664444836</v>
      </c>
      <c r="Q37" s="13">
        <f>D37+3*$J$45</f>
        <v>131.79130361763868</v>
      </c>
    </row>
    <row r="38" spans="1:17" x14ac:dyDescent="0.25">
      <c r="A38" s="15">
        <v>5</v>
      </c>
      <c r="B38" s="26">
        <v>2020</v>
      </c>
      <c r="C38" s="26">
        <v>115</v>
      </c>
      <c r="D38" s="16">
        <f>$E$28*B38*B38+$E$29*B38+$E$30</f>
        <v>98.400746583938599</v>
      </c>
      <c r="F38" s="13">
        <f>D38-1.5*_xlfn.STDEV.S($C$34:$C$39)</f>
        <v>54.637748514793472</v>
      </c>
      <c r="G38" s="13">
        <f>D38+1.5*_xlfn.STDEV.S($C$34:$C$39)</f>
        <v>142.16374465308371</v>
      </c>
      <c r="I38" s="42">
        <f>C38-D38</f>
        <v>16.599253416061401</v>
      </c>
      <c r="J38" s="13">
        <f>I38^2</f>
        <v>275.5352139706261</v>
      </c>
      <c r="L38" s="42">
        <f>D38-$J$45</f>
        <v>83.027672758406297</v>
      </c>
      <c r="M38" s="42">
        <f>D38+$J$45</f>
        <v>113.7738204094709</v>
      </c>
      <c r="N38" s="13">
        <f>D38-2*$J$45</f>
        <v>67.654598932873995</v>
      </c>
      <c r="O38" s="13">
        <f>D38+2*$J$45</f>
        <v>129.1468942350032</v>
      </c>
      <c r="P38" s="13">
        <f>D38-3*$J$45</f>
        <v>52.281525107341679</v>
      </c>
      <c r="Q38" s="13">
        <f>D38+3*$J$45</f>
        <v>144.51996806053552</v>
      </c>
    </row>
    <row r="39" spans="1:17" x14ac:dyDescent="0.25">
      <c r="A39" s="15">
        <v>6</v>
      </c>
      <c r="B39" s="26">
        <v>2021</v>
      </c>
      <c r="C39" s="26">
        <v>125</v>
      </c>
      <c r="D39" s="16">
        <f>$E$28*B39*B39+$E$29*B39+$E$30</f>
        <v>127.74396558105946</v>
      </c>
      <c r="F39" s="13">
        <f>D39-1.5*_xlfn.STDEV.S($C$34:$C$39)</f>
        <v>83.980967511914329</v>
      </c>
      <c r="G39" s="13">
        <f>D39+1.5*_xlfn.STDEV.S($C$34:$C$39)</f>
        <v>171.50696365020457</v>
      </c>
      <c r="I39" s="42">
        <f>C39-D39</f>
        <v>-2.7439655810594559</v>
      </c>
      <c r="J39" s="13">
        <f>I39^2</f>
        <v>7.5293471100389571</v>
      </c>
      <c r="L39" s="42">
        <f>D39-$J$45</f>
        <v>112.37089175552715</v>
      </c>
      <c r="M39" s="42">
        <f>D39+$J$45</f>
        <v>143.11703940659177</v>
      </c>
      <c r="N39" s="13">
        <f>D39-2*$J$45</f>
        <v>96.997817929994852</v>
      </c>
      <c r="O39" s="13">
        <f>D39+2*$J$45</f>
        <v>158.49011323212406</v>
      </c>
      <c r="P39" s="13">
        <f>D39-3*$J$45</f>
        <v>81.624744104462536</v>
      </c>
      <c r="Q39" s="13">
        <f>D39+3*$J$45</f>
        <v>173.86318705765638</v>
      </c>
    </row>
    <row r="40" spans="1:17" x14ac:dyDescent="0.25">
      <c r="A40" s="15"/>
      <c r="I40" s="4" t="s">
        <v>17</v>
      </c>
      <c r="J40" s="4" t="s">
        <v>19</v>
      </c>
    </row>
    <row r="41" spans="1:17" x14ac:dyDescent="0.25">
      <c r="A41" s="15"/>
      <c r="I41" s="48">
        <f>SUM(I34:I39)</f>
        <v>1.3934003859758377</v>
      </c>
      <c r="J41" s="48">
        <f>SUM(J34:J39)</f>
        <v>1417.9883930715987</v>
      </c>
    </row>
    <row r="42" spans="1:17" x14ac:dyDescent="0.25">
      <c r="A42" s="15"/>
    </row>
    <row r="43" spans="1:17" x14ac:dyDescent="0.25">
      <c r="A43" s="15"/>
    </row>
    <row r="44" spans="1:17" x14ac:dyDescent="0.25">
      <c r="A44" s="15"/>
      <c r="I44" s="6" t="s">
        <v>20</v>
      </c>
      <c r="J44" s="13">
        <f>J41/COUNT(J34:J39)</f>
        <v>236.33139884526645</v>
      </c>
    </row>
    <row r="45" spans="1:17" x14ac:dyDescent="0.25">
      <c r="A45" s="15"/>
      <c r="I45" s="6" t="s">
        <v>21</v>
      </c>
      <c r="J45" s="13">
        <f>SQRT(J44)</f>
        <v>15.373073825532305</v>
      </c>
    </row>
    <row r="46" spans="1:17" x14ac:dyDescent="0.25">
      <c r="A46" s="15"/>
    </row>
    <row r="47" spans="1:17" x14ac:dyDescent="0.25">
      <c r="A47" s="15"/>
    </row>
    <row r="48" spans="1:17" x14ac:dyDescent="0.25">
      <c r="A48" s="15"/>
    </row>
    <row r="49" spans="1:6" x14ac:dyDescent="0.25">
      <c r="A49" s="15"/>
    </row>
    <row r="50" spans="1:6" x14ac:dyDescent="0.25">
      <c r="A50" s="15"/>
    </row>
    <row r="51" spans="1:6" x14ac:dyDescent="0.25">
      <c r="A51" s="15"/>
    </row>
    <row r="52" spans="1:6" x14ac:dyDescent="0.25">
      <c r="A52" s="15"/>
    </row>
    <row r="53" spans="1:6" x14ac:dyDescent="0.25">
      <c r="A53" s="15"/>
    </row>
    <row r="60" spans="1:6" x14ac:dyDescent="0.25">
      <c r="F60" s="13" t="s">
        <v>30</v>
      </c>
    </row>
    <row r="61" spans="1:6" x14ac:dyDescent="0.25">
      <c r="F61" s="13" t="s">
        <v>29</v>
      </c>
    </row>
    <row r="62" spans="1:6" x14ac:dyDescent="0.25">
      <c r="F62" s="13" t="s">
        <v>28</v>
      </c>
    </row>
  </sheetData>
  <mergeCells count="4">
    <mergeCell ref="F33:G33"/>
    <mergeCell ref="L33:M33"/>
    <mergeCell ref="N33:O33"/>
    <mergeCell ref="P33:Q3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4"/>
  <dimension ref="A1:R22"/>
  <sheetViews>
    <sheetView zoomScale="70" zoomScaleNormal="70" workbookViewId="0">
      <selection activeCell="C15" sqref="C15"/>
    </sheetView>
  </sheetViews>
  <sheetFormatPr defaultRowHeight="15" x14ac:dyDescent="0.25"/>
  <cols>
    <col min="1" max="1" width="7" bestFit="1" customWidth="1"/>
    <col min="2" max="2" width="23.42578125" customWidth="1"/>
    <col min="10" max="10" width="12.5703125" bestFit="1" customWidth="1"/>
    <col min="11" max="11" width="13.42578125" bestFit="1" customWidth="1"/>
  </cols>
  <sheetData>
    <row r="1" spans="1:18" x14ac:dyDescent="0.25">
      <c r="A1" s="45" t="s">
        <v>0</v>
      </c>
      <c r="B1" s="46"/>
      <c r="C1" s="46"/>
      <c r="D1" s="46"/>
      <c r="E1" s="46"/>
      <c r="F1" s="1"/>
      <c r="G1" s="1"/>
      <c r="H1" s="1"/>
      <c r="I1" s="1"/>
      <c r="J1" s="1"/>
    </row>
    <row r="2" spans="1:18" x14ac:dyDescent="0.25">
      <c r="A2" s="5" t="s">
        <v>24</v>
      </c>
      <c r="B2" s="5" t="s">
        <v>25</v>
      </c>
      <c r="C2" s="5" t="s">
        <v>4</v>
      </c>
      <c r="D2" s="5" t="s">
        <v>6</v>
      </c>
      <c r="E2" s="5" t="s">
        <v>10</v>
      </c>
      <c r="G2" s="43" t="s">
        <v>12</v>
      </c>
      <c r="H2" s="44"/>
      <c r="I2" s="3"/>
      <c r="J2" s="5" t="s">
        <v>16</v>
      </c>
      <c r="K2" s="5" t="s">
        <v>18</v>
      </c>
      <c r="M2" s="43" t="s">
        <v>11</v>
      </c>
      <c r="N2" s="44"/>
      <c r="O2" s="43" t="s">
        <v>22</v>
      </c>
      <c r="P2" s="44"/>
      <c r="Q2" s="43" t="s">
        <v>23</v>
      </c>
      <c r="R2" s="44"/>
    </row>
    <row r="3" spans="1:18" x14ac:dyDescent="0.25">
      <c r="A3" s="2">
        <v>2016</v>
      </c>
      <c r="B3" s="3">
        <v>137</v>
      </c>
      <c r="C3" s="3">
        <f t="shared" ref="C3:C7" si="0">A3*B3</f>
        <v>276192</v>
      </c>
      <c r="D3" s="3">
        <f t="shared" ref="D3:D8" si="1">A3^2</f>
        <v>4064256</v>
      </c>
      <c r="E3" s="3">
        <f t="shared" ref="E3:E7" si="2">$C$13*A3+$C$14</f>
        <v>119.71428571481101</v>
      </c>
      <c r="F3" s="3"/>
      <c r="G3" s="3">
        <f>E3-1.5*_xlfn.STDEV.S($B$3:$B$8)</f>
        <v>75.951287645665886</v>
      </c>
      <c r="H3" s="3">
        <f t="shared" ref="H3:H8" si="3">E3+1.5*_xlfn.STDEV.S($B$3:$B$8)</f>
        <v>163.47728378395612</v>
      </c>
      <c r="I3" s="3"/>
      <c r="J3" s="3">
        <f t="shared" ref="J3:J8" si="4">B3-E3</f>
        <v>17.285714285188988</v>
      </c>
      <c r="K3">
        <f t="shared" ref="K3:K8" si="5">J3^2</f>
        <v>298.79591834918665</v>
      </c>
      <c r="M3">
        <f>$E3-$K$14</f>
        <v>93.920968012443879</v>
      </c>
      <c r="N3">
        <f t="shared" ref="N3:N8" si="6">$E3+$K$14</f>
        <v>145.50760341717813</v>
      </c>
      <c r="O3">
        <f t="shared" ref="O3:O8" si="7">$E3-2*$K$14</f>
        <v>68.127650310076746</v>
      </c>
      <c r="P3">
        <f t="shared" ref="P3:P8" si="8">$E3+2*$K$14</f>
        <v>171.30092111954528</v>
      </c>
      <c r="Q3">
        <f t="shared" ref="Q3:Q8" si="9">$E3-3*$K$14</f>
        <v>42.334332607709626</v>
      </c>
      <c r="R3">
        <f t="shared" ref="R3:R8" si="10">$E3+3*$K$14</f>
        <v>197.0942388219124</v>
      </c>
    </row>
    <row r="4" spans="1:18" x14ac:dyDescent="0.25">
      <c r="A4" s="2">
        <v>2017</v>
      </c>
      <c r="B4" s="3">
        <v>134</v>
      </c>
      <c r="C4" s="3">
        <f>A4*B4</f>
        <v>270278</v>
      </c>
      <c r="D4" s="3">
        <f t="shared" si="1"/>
        <v>4068289</v>
      </c>
      <c r="E4" s="3">
        <f t="shared" si="2"/>
        <v>115.82857142888679</v>
      </c>
      <c r="F4" s="3"/>
      <c r="G4" s="3">
        <f>E4-1.5*_xlfn.STDEV.S($B$3:$B$8)</f>
        <v>72.065573359741663</v>
      </c>
      <c r="H4" s="3">
        <f t="shared" si="3"/>
        <v>159.5915694980319</v>
      </c>
      <c r="I4" s="3"/>
      <c r="J4" s="3">
        <f t="shared" si="4"/>
        <v>18.171428571113211</v>
      </c>
      <c r="K4">
        <f t="shared" si="5"/>
        <v>330.20081631506952</v>
      </c>
      <c r="M4">
        <f>$E4-$K$14</f>
        <v>90.035253726519656</v>
      </c>
      <c r="N4">
        <f>$E4+$K$14</f>
        <v>141.62188913125391</v>
      </c>
      <c r="O4">
        <f>$E4-2*$K$14</f>
        <v>64.241936024152523</v>
      </c>
      <c r="P4">
        <f t="shared" si="8"/>
        <v>167.41520683362106</v>
      </c>
      <c r="Q4">
        <f t="shared" si="9"/>
        <v>38.448618321785403</v>
      </c>
      <c r="R4">
        <f t="shared" si="10"/>
        <v>193.20852453598818</v>
      </c>
    </row>
    <row r="5" spans="1:18" x14ac:dyDescent="0.25">
      <c r="A5" s="2">
        <v>2018</v>
      </c>
      <c r="B5" s="3">
        <v>84</v>
      </c>
      <c r="C5" s="3">
        <f>A5*B5</f>
        <v>169512</v>
      </c>
      <c r="D5" s="3">
        <f t="shared" si="1"/>
        <v>4072324</v>
      </c>
      <c r="E5" s="3">
        <f t="shared" si="2"/>
        <v>111.94285714296257</v>
      </c>
      <c r="F5" s="3"/>
      <c r="G5" s="3">
        <f t="shared" ref="G5:G8" si="11">E5-1.5*_xlfn.STDEV.S($B$3:$B$8)</f>
        <v>68.17985907381744</v>
      </c>
      <c r="H5" s="3">
        <f t="shared" si="3"/>
        <v>155.70585521210768</v>
      </c>
      <c r="I5" s="3"/>
      <c r="J5" s="3">
        <f t="shared" si="4"/>
        <v>-27.942857142962566</v>
      </c>
      <c r="K5">
        <f t="shared" si="5"/>
        <v>780.8032653120141</v>
      </c>
      <c r="M5">
        <f t="shared" ref="M5:M8" si="12">$E5-$K$14</f>
        <v>86.149539440595433</v>
      </c>
      <c r="N5">
        <f t="shared" si="6"/>
        <v>137.73617484532969</v>
      </c>
      <c r="O5">
        <f t="shared" si="7"/>
        <v>60.356221738228307</v>
      </c>
      <c r="P5">
        <f t="shared" si="8"/>
        <v>163.52949254769683</v>
      </c>
      <c r="Q5">
        <f t="shared" si="9"/>
        <v>34.56290403586118</v>
      </c>
      <c r="R5">
        <f t="shared" si="10"/>
        <v>189.32281025006395</v>
      </c>
    </row>
    <row r="6" spans="1:18" x14ac:dyDescent="0.25">
      <c r="A6" s="2">
        <v>2019</v>
      </c>
      <c r="B6" s="3">
        <v>65</v>
      </c>
      <c r="C6" s="3">
        <f>A6*B6</f>
        <v>131235</v>
      </c>
      <c r="D6" s="3">
        <f t="shared" si="1"/>
        <v>4076361</v>
      </c>
      <c r="E6" s="3">
        <f>$C$13*A6+$C$14</f>
        <v>108.05714285703834</v>
      </c>
      <c r="F6" s="3"/>
      <c r="G6" s="3">
        <f t="shared" si="11"/>
        <v>64.294144787893217</v>
      </c>
      <c r="H6" s="3">
        <f t="shared" si="3"/>
        <v>151.82014092618346</v>
      </c>
      <c r="I6" s="3"/>
      <c r="J6" s="3">
        <f t="shared" si="4"/>
        <v>-43.057142857038343</v>
      </c>
      <c r="K6">
        <f t="shared" si="5"/>
        <v>1853.917551011408</v>
      </c>
      <c r="M6">
        <f t="shared" si="12"/>
        <v>82.26382515467121</v>
      </c>
      <c r="N6">
        <f t="shared" si="6"/>
        <v>133.85046055940546</v>
      </c>
      <c r="O6">
        <f t="shared" si="7"/>
        <v>56.470507452304084</v>
      </c>
      <c r="P6">
        <f t="shared" si="8"/>
        <v>159.64377826177261</v>
      </c>
      <c r="Q6">
        <f t="shared" si="9"/>
        <v>30.677189749936957</v>
      </c>
      <c r="R6">
        <f t="shared" si="10"/>
        <v>185.43709596413973</v>
      </c>
    </row>
    <row r="7" spans="1:18" x14ac:dyDescent="0.25">
      <c r="A7" s="2">
        <v>2020</v>
      </c>
      <c r="B7" s="3">
        <v>115</v>
      </c>
      <c r="C7" s="3">
        <f t="shared" si="0"/>
        <v>232300</v>
      </c>
      <c r="D7" s="3">
        <f t="shared" si="1"/>
        <v>4080400</v>
      </c>
      <c r="E7" s="3">
        <f t="shared" si="2"/>
        <v>104.17142857111412</v>
      </c>
      <c r="F7" s="3"/>
      <c r="G7" s="3">
        <f t="shared" si="11"/>
        <v>60.408430501968994</v>
      </c>
      <c r="H7" s="3">
        <f t="shared" si="3"/>
        <v>147.93442664025923</v>
      </c>
      <c r="I7" s="3"/>
      <c r="J7" s="3">
        <f t="shared" si="4"/>
        <v>10.82857142888588</v>
      </c>
      <c r="K7">
        <f t="shared" si="5"/>
        <v>117.25795919048359</v>
      </c>
      <c r="M7">
        <f t="shared" si="12"/>
        <v>78.378110868746987</v>
      </c>
      <c r="N7">
        <f t="shared" si="6"/>
        <v>129.96474627348124</v>
      </c>
      <c r="O7">
        <f t="shared" si="7"/>
        <v>52.58479316637986</v>
      </c>
      <c r="P7">
        <f t="shared" si="8"/>
        <v>155.75806397584839</v>
      </c>
      <c r="Q7">
        <f t="shared" si="9"/>
        <v>26.791475464012734</v>
      </c>
      <c r="R7">
        <f t="shared" si="10"/>
        <v>181.55138167821551</v>
      </c>
    </row>
    <row r="8" spans="1:18" x14ac:dyDescent="0.25">
      <c r="A8" s="2">
        <v>2021</v>
      </c>
      <c r="B8" s="3">
        <v>125</v>
      </c>
      <c r="C8" s="3">
        <f>A8*B8</f>
        <v>252625</v>
      </c>
      <c r="D8" s="3">
        <f t="shared" si="1"/>
        <v>4084441</v>
      </c>
      <c r="E8" s="3">
        <f>$C$13*A8+$C$14</f>
        <v>100.28571428518899</v>
      </c>
      <c r="F8" s="3"/>
      <c r="G8" s="3">
        <f t="shared" si="11"/>
        <v>56.522716216043861</v>
      </c>
      <c r="H8" s="3">
        <f t="shared" si="3"/>
        <v>144.0487123543341</v>
      </c>
      <c r="I8" s="3"/>
      <c r="J8" s="3">
        <f t="shared" si="4"/>
        <v>24.714285714811012</v>
      </c>
      <c r="K8">
        <f t="shared" si="5"/>
        <v>610.79591839331169</v>
      </c>
      <c r="M8">
        <f t="shared" si="12"/>
        <v>74.492396582821854</v>
      </c>
      <c r="N8">
        <f t="shared" si="6"/>
        <v>126.07903198755612</v>
      </c>
      <c r="O8">
        <f t="shared" si="7"/>
        <v>48.699078880454728</v>
      </c>
      <c r="P8">
        <f t="shared" si="8"/>
        <v>151.87234968992325</v>
      </c>
      <c r="Q8">
        <f t="shared" si="9"/>
        <v>22.905761178087602</v>
      </c>
      <c r="R8">
        <f t="shared" si="10"/>
        <v>177.66566739229037</v>
      </c>
    </row>
    <row r="9" spans="1:18" x14ac:dyDescent="0.25">
      <c r="A9" s="4" t="s">
        <v>2</v>
      </c>
      <c r="B9" s="4" t="s">
        <v>3</v>
      </c>
      <c r="C9" s="4" t="s">
        <v>5</v>
      </c>
      <c r="D9" s="4" t="s">
        <v>7</v>
      </c>
      <c r="E9" s="3"/>
      <c r="F9" s="3"/>
      <c r="G9" s="3"/>
      <c r="H9" s="3"/>
      <c r="I9" s="3"/>
      <c r="J9" s="4" t="s">
        <v>17</v>
      </c>
      <c r="K9" s="4" t="s">
        <v>19</v>
      </c>
    </row>
    <row r="10" spans="1:18" x14ac:dyDescent="0.25">
      <c r="A10" s="3">
        <f>AVERAGE(A3:A8)</f>
        <v>2018.5</v>
      </c>
      <c r="B10" s="3">
        <f>AVERAGE(B3:B8)</f>
        <v>110</v>
      </c>
      <c r="C10" s="3">
        <f>AVERAGE(C3:C8)</f>
        <v>222023.66666666666</v>
      </c>
      <c r="D10" s="3">
        <f>AVERAGE(D3:D8)</f>
        <v>4074345.1666666665</v>
      </c>
      <c r="E10" s="3"/>
      <c r="F10" s="3"/>
      <c r="G10" s="3"/>
      <c r="H10" s="3"/>
      <c r="I10" s="3"/>
      <c r="J10" s="8">
        <f>SUM(J3:J8)</f>
        <v>-1.8189894035458565E-12</v>
      </c>
      <c r="K10" s="8">
        <f>SUM(K3:K8)</f>
        <v>3991.7714285714733</v>
      </c>
    </row>
    <row r="11" spans="1:18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</row>
    <row r="13" spans="1:18" x14ac:dyDescent="0.25">
      <c r="B13" s="6" t="s">
        <v>8</v>
      </c>
      <c r="C13">
        <f>(C10-B10*A10)/(D10-A10^2)</f>
        <v>-3.8857142859244034</v>
      </c>
      <c r="J13" s="6" t="s">
        <v>20</v>
      </c>
      <c r="K13">
        <f>K10/COUNT(K3:K8)</f>
        <v>665.29523809524551</v>
      </c>
    </row>
    <row r="14" spans="1:18" x14ac:dyDescent="0.25">
      <c r="B14" s="6" t="s">
        <v>9</v>
      </c>
      <c r="C14">
        <f>B10-C13*A10</f>
        <v>7953.3142861384085</v>
      </c>
      <c r="J14" s="6" t="s">
        <v>21</v>
      </c>
      <c r="K14">
        <f>SQRT(K13)</f>
        <v>25.79331770236713</v>
      </c>
    </row>
    <row r="16" spans="1:18" x14ac:dyDescent="0.25">
      <c r="A16" s="7" t="s">
        <v>13</v>
      </c>
      <c r="B16" s="7"/>
      <c r="C16" s="7"/>
      <c r="D16" t="s">
        <v>15</v>
      </c>
    </row>
    <row r="19" spans="1:5" x14ac:dyDescent="0.25">
      <c r="A19" s="7" t="s">
        <v>14</v>
      </c>
      <c r="B19" s="7"/>
      <c r="C19" s="7"/>
    </row>
    <row r="21" spans="1:5" x14ac:dyDescent="0.25">
      <c r="A21" s="5" t="s">
        <v>24</v>
      </c>
      <c r="B21" s="5" t="s">
        <v>10</v>
      </c>
      <c r="D21" s="43" t="s">
        <v>22</v>
      </c>
      <c r="E21" s="44"/>
    </row>
    <row r="22" spans="1:5" x14ac:dyDescent="0.25">
      <c r="A22" s="2">
        <v>2029</v>
      </c>
      <c r="B22" s="3">
        <f>$C$13*A22+$C$14</f>
        <v>69.199999997794293</v>
      </c>
      <c r="D22">
        <f>$B22-2*$K$14</f>
        <v>17.613364593060034</v>
      </c>
      <c r="E22">
        <f>$B22+2*$K$14</f>
        <v>120.78663540252856</v>
      </c>
    </row>
  </sheetData>
  <mergeCells count="6">
    <mergeCell ref="Q2:R2"/>
    <mergeCell ref="D21:E21"/>
    <mergeCell ref="G2:H2"/>
    <mergeCell ref="A1:E1"/>
    <mergeCell ref="M2:N2"/>
    <mergeCell ref="O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/>
  <dimension ref="A1:R33"/>
  <sheetViews>
    <sheetView zoomScale="70" zoomScaleNormal="70" workbookViewId="0">
      <selection activeCell="A3" sqref="A3:B8"/>
    </sheetView>
  </sheetViews>
  <sheetFormatPr defaultColWidth="8.85546875" defaultRowHeight="15" x14ac:dyDescent="0.25"/>
  <cols>
    <col min="1" max="6" width="8.85546875" style="11"/>
    <col min="7" max="7" width="13.85546875" style="11" bestFit="1" customWidth="1"/>
    <col min="8" max="9" width="8.85546875" style="11"/>
    <col min="10" max="10" width="12.7109375" style="11" bestFit="1" customWidth="1"/>
    <col min="11" max="11" width="13.42578125" style="11" bestFit="1" customWidth="1"/>
    <col min="12" max="16384" width="8.85546875" style="11"/>
  </cols>
  <sheetData>
    <row r="1" spans="1:18" x14ac:dyDescent="0.25">
      <c r="A1" s="45" t="s">
        <v>1</v>
      </c>
      <c r="B1" s="46"/>
      <c r="C1" s="46"/>
      <c r="D1" s="46"/>
      <c r="E1" s="46"/>
      <c r="F1" s="1"/>
      <c r="G1" s="1"/>
      <c r="H1" s="1"/>
      <c r="I1" s="1"/>
      <c r="J1" s="1"/>
    </row>
    <row r="2" spans="1:18" x14ac:dyDescent="0.25">
      <c r="A2" s="5" t="s">
        <v>24</v>
      </c>
      <c r="B2" s="5" t="s">
        <v>25</v>
      </c>
      <c r="C2" s="5" t="s">
        <v>4</v>
      </c>
      <c r="D2" s="5" t="s">
        <v>6</v>
      </c>
      <c r="E2" s="5" t="s">
        <v>10</v>
      </c>
      <c r="G2" s="43" t="s">
        <v>12</v>
      </c>
      <c r="H2" s="44"/>
      <c r="I2" s="3"/>
      <c r="M2" s="47"/>
      <c r="N2" s="47"/>
      <c r="O2" s="47"/>
      <c r="P2" s="47"/>
      <c r="Q2" s="47"/>
      <c r="R2" s="47"/>
    </row>
    <row r="3" spans="1:18" x14ac:dyDescent="0.25">
      <c r="A3" s="2">
        <v>2016</v>
      </c>
      <c r="B3" s="3">
        <v>91</v>
      </c>
      <c r="C3" s="3">
        <f t="shared" ref="C3:C7" si="0">A3*B3</f>
        <v>183456</v>
      </c>
      <c r="D3" s="3">
        <f t="shared" ref="D3:D8" si="1">A3^2</f>
        <v>4064256</v>
      </c>
      <c r="E3" s="3">
        <f t="shared" ref="E3:E8" si="2">$C$13*A3+$C$14</f>
        <v>108.85714285794165</v>
      </c>
      <c r="F3" s="3"/>
      <c r="G3" s="3">
        <f t="shared" ref="G3:G8" si="3">E3-1.5*_xlfn.STDEV.S($B$3:$B$8)</f>
        <v>45.628984573835353</v>
      </c>
      <c r="H3" s="3">
        <f t="shared" ref="H3:H8" si="4">E3+1.5*_xlfn.STDEV.S($B$3:$B$8)</f>
        <v>172.08530114204797</v>
      </c>
      <c r="I3" s="3"/>
    </row>
    <row r="4" spans="1:18" x14ac:dyDescent="0.25">
      <c r="A4" s="9">
        <v>2017</v>
      </c>
      <c r="B4" s="10">
        <v>169</v>
      </c>
      <c r="C4" s="10">
        <f>A4*B4</f>
        <v>340873</v>
      </c>
      <c r="D4" s="10">
        <f t="shared" si="1"/>
        <v>4068289</v>
      </c>
      <c r="E4" s="10">
        <f t="shared" si="2"/>
        <v>102.91428571476536</v>
      </c>
      <c r="F4" s="3"/>
      <c r="G4" s="3">
        <f t="shared" si="3"/>
        <v>39.686127430659056</v>
      </c>
      <c r="H4" s="3">
        <f t="shared" si="4"/>
        <v>166.14244399887167</v>
      </c>
      <c r="I4" s="3"/>
    </row>
    <row r="5" spans="1:18" x14ac:dyDescent="0.25">
      <c r="A5" s="9">
        <v>2018</v>
      </c>
      <c r="B5" s="10">
        <v>42</v>
      </c>
      <c r="C5" s="10">
        <f>A5*B5</f>
        <v>84756</v>
      </c>
      <c r="D5" s="10">
        <f t="shared" si="1"/>
        <v>4072324</v>
      </c>
      <c r="E5" s="10">
        <f t="shared" si="2"/>
        <v>96.971428571587239</v>
      </c>
      <c r="F5" s="3"/>
      <c r="G5" s="3">
        <f t="shared" si="3"/>
        <v>33.743270287480939</v>
      </c>
      <c r="H5" s="3">
        <f t="shared" si="4"/>
        <v>160.19958685569355</v>
      </c>
      <c r="I5" s="3"/>
    </row>
    <row r="6" spans="1:18" x14ac:dyDescent="0.25">
      <c r="A6" s="2">
        <v>2019</v>
      </c>
      <c r="B6" s="3">
        <v>93</v>
      </c>
      <c r="C6" s="3">
        <f>A6*B6</f>
        <v>187767</v>
      </c>
      <c r="D6" s="3">
        <f t="shared" si="1"/>
        <v>4076361</v>
      </c>
      <c r="E6" s="3">
        <f t="shared" si="2"/>
        <v>91.028571428410942</v>
      </c>
      <c r="F6" s="3"/>
      <c r="G6" s="3">
        <f t="shared" si="3"/>
        <v>27.800413144304642</v>
      </c>
      <c r="H6" s="3">
        <f t="shared" si="4"/>
        <v>154.25672971251726</v>
      </c>
      <c r="I6" s="3"/>
    </row>
    <row r="7" spans="1:18" x14ac:dyDescent="0.25">
      <c r="A7" s="2">
        <v>2020</v>
      </c>
      <c r="B7" s="3">
        <v>71</v>
      </c>
      <c r="C7" s="3">
        <f t="shared" si="0"/>
        <v>143420</v>
      </c>
      <c r="D7" s="3">
        <f t="shared" si="1"/>
        <v>4080400</v>
      </c>
      <c r="E7" s="3">
        <f t="shared" si="2"/>
        <v>85.085714285234644</v>
      </c>
      <c r="F7" s="3"/>
      <c r="G7" s="3">
        <f t="shared" si="3"/>
        <v>21.857556001128344</v>
      </c>
      <c r="H7" s="3">
        <f t="shared" si="4"/>
        <v>148.31387256934096</v>
      </c>
      <c r="I7" s="3"/>
    </row>
    <row r="8" spans="1:18" x14ac:dyDescent="0.25">
      <c r="A8" s="2">
        <v>2021</v>
      </c>
      <c r="B8" s="3">
        <v>98</v>
      </c>
      <c r="C8" s="12">
        <f>A8*B8</f>
        <v>198058</v>
      </c>
      <c r="D8" s="12">
        <f t="shared" si="1"/>
        <v>4084441</v>
      </c>
      <c r="E8" s="12">
        <f t="shared" si="2"/>
        <v>79.142857142058347</v>
      </c>
      <c r="F8" s="3"/>
      <c r="G8" s="3">
        <f t="shared" si="3"/>
        <v>15.914698857952047</v>
      </c>
      <c r="H8" s="3">
        <f t="shared" si="4"/>
        <v>142.37101542616466</v>
      </c>
      <c r="I8" s="3"/>
    </row>
    <row r="9" spans="1:18" x14ac:dyDescent="0.25">
      <c r="A9" s="4" t="s">
        <v>2</v>
      </c>
      <c r="B9" s="4" t="s">
        <v>3</v>
      </c>
      <c r="C9" s="4" t="s">
        <v>5</v>
      </c>
      <c r="D9" s="4" t="s">
        <v>7</v>
      </c>
      <c r="E9" s="3"/>
      <c r="F9" s="3"/>
      <c r="G9" s="3"/>
      <c r="H9" s="3"/>
      <c r="I9" s="3"/>
    </row>
    <row r="10" spans="1:18" x14ac:dyDescent="0.25">
      <c r="A10" s="3">
        <f>AVERAGE(A3:A8)</f>
        <v>2018.5</v>
      </c>
      <c r="B10" s="3">
        <f>AVERAGE(B3:B8)</f>
        <v>94</v>
      </c>
      <c r="C10" s="3">
        <f>AVERAGE(C3:C8)</f>
        <v>189721.66666666666</v>
      </c>
      <c r="D10" s="3">
        <f>AVERAGE(D3:D8)</f>
        <v>4074345.1666666665</v>
      </c>
      <c r="E10" s="3"/>
      <c r="F10" s="3"/>
      <c r="G10" s="3"/>
      <c r="H10" s="3"/>
      <c r="I10" s="3"/>
    </row>
    <row r="11" spans="1:18" x14ac:dyDescent="0.25">
      <c r="A11" s="2"/>
      <c r="B11" s="3"/>
      <c r="C11" s="3"/>
      <c r="D11" s="3"/>
      <c r="E11" s="3"/>
      <c r="F11" s="3"/>
      <c r="G11" s="3"/>
      <c r="H11" s="3"/>
      <c r="I11" s="3"/>
    </row>
    <row r="12" spans="1:18" x14ac:dyDescent="0.25">
      <c r="F12" s="3"/>
      <c r="I12" s="3"/>
    </row>
    <row r="13" spans="1:18" x14ac:dyDescent="0.25">
      <c r="B13" s="6" t="s">
        <v>8</v>
      </c>
      <c r="C13" s="11">
        <f>(C10-B10*A10)/(D10-A10^2)</f>
        <v>-5.942857143176739</v>
      </c>
      <c r="F13" s="3"/>
      <c r="I13" s="3"/>
    </row>
    <row r="14" spans="1:18" x14ac:dyDescent="0.25">
      <c r="B14" s="6" t="s">
        <v>9</v>
      </c>
      <c r="C14" s="11">
        <f>B10-C13*A10</f>
        <v>12089.657143502247</v>
      </c>
      <c r="F14" s="3"/>
      <c r="I14" s="3"/>
    </row>
    <row r="15" spans="1:18" x14ac:dyDescent="0.25">
      <c r="F15" s="3"/>
      <c r="I15" s="3"/>
    </row>
    <row r="16" spans="1:18" x14ac:dyDescent="0.25">
      <c r="A16" s="7" t="s">
        <v>13</v>
      </c>
      <c r="B16" s="7"/>
      <c r="C16" s="7"/>
      <c r="F16" s="3"/>
      <c r="I16" s="3"/>
    </row>
    <row r="17" spans="1:18" x14ac:dyDescent="0.25">
      <c r="F17" s="3"/>
      <c r="I17" s="3"/>
    </row>
    <row r="18" spans="1:18" x14ac:dyDescent="0.25">
      <c r="A18" s="5" t="s">
        <v>24</v>
      </c>
      <c r="B18" s="5" t="s">
        <v>25</v>
      </c>
      <c r="C18" s="5" t="s">
        <v>4</v>
      </c>
      <c r="D18" s="5" t="s">
        <v>6</v>
      </c>
      <c r="E18" s="5" t="s">
        <v>10</v>
      </c>
    </row>
    <row r="19" spans="1:18" x14ac:dyDescent="0.25">
      <c r="A19" s="2">
        <v>2016</v>
      </c>
      <c r="B19" s="3">
        <v>193</v>
      </c>
      <c r="C19" s="3">
        <f t="shared" ref="C19" si="5">A19*B19</f>
        <v>389088</v>
      </c>
      <c r="D19" s="3">
        <f t="shared" ref="D19:D22" si="6">A19^2</f>
        <v>4064256</v>
      </c>
      <c r="E19" s="3">
        <f>$C$27*A19+$C$28</f>
        <v>180.60714285713766</v>
      </c>
      <c r="J19" s="5" t="s">
        <v>16</v>
      </c>
      <c r="K19" s="5" t="s">
        <v>18</v>
      </c>
      <c r="M19" s="43" t="s">
        <v>11</v>
      </c>
      <c r="N19" s="44"/>
      <c r="O19" s="43" t="s">
        <v>22</v>
      </c>
      <c r="P19" s="44"/>
      <c r="Q19" s="43" t="s">
        <v>23</v>
      </c>
      <c r="R19" s="44"/>
    </row>
    <row r="20" spans="1:18" x14ac:dyDescent="0.25">
      <c r="A20" s="2">
        <v>2019</v>
      </c>
      <c r="B20" s="3">
        <v>93</v>
      </c>
      <c r="C20" s="3">
        <f>A20*B20</f>
        <v>187767</v>
      </c>
      <c r="D20" s="3">
        <f t="shared" si="6"/>
        <v>4076361</v>
      </c>
      <c r="E20" s="3">
        <f>$C$27*A20+$C$28</f>
        <v>113.75</v>
      </c>
      <c r="J20" s="3">
        <f>B19-E19</f>
        <v>12.39285714286234</v>
      </c>
      <c r="K20" s="11">
        <f t="shared" ref="K20:K23" si="7">J20^2</f>
        <v>153.58290816339411</v>
      </c>
      <c r="M20" s="11">
        <f>$E19-$K$29</f>
        <v>159.19682324919216</v>
      </c>
      <c r="N20" s="11">
        <f>$E19+$K$29</f>
        <v>202.01746246508316</v>
      </c>
      <c r="O20" s="11">
        <f>$E19-2*$K$29</f>
        <v>137.78650364124664</v>
      </c>
      <c r="P20" s="11">
        <f>$E19+2*$K$29</f>
        <v>223.42778207302868</v>
      </c>
      <c r="Q20" s="11">
        <f>$E19-3*$K$29</f>
        <v>116.37618403330114</v>
      </c>
      <c r="R20" s="11">
        <f>$E19+3*$K$29</f>
        <v>244.83810168097418</v>
      </c>
    </row>
    <row r="21" spans="1:18" x14ac:dyDescent="0.25">
      <c r="A21" s="2">
        <v>2020</v>
      </c>
      <c r="B21" s="3">
        <v>71</v>
      </c>
      <c r="C21" s="3">
        <f>A21*B21</f>
        <v>143420</v>
      </c>
      <c r="D21" s="3">
        <f t="shared" si="6"/>
        <v>4080400</v>
      </c>
      <c r="E21" s="3">
        <f>$C$27*A21+$C$28</f>
        <v>91.464285714282596</v>
      </c>
      <c r="J21" s="3">
        <f>B20-E20</f>
        <v>-20.75</v>
      </c>
      <c r="K21" s="11">
        <f t="shared" si="7"/>
        <v>430.5625</v>
      </c>
      <c r="M21" s="11">
        <f>$E20-$K$29</f>
        <v>92.33968039205449</v>
      </c>
      <c r="N21" s="11">
        <f>$E20+$K$29</f>
        <v>135.1603196079455</v>
      </c>
      <c r="O21" s="11">
        <f>$E20-2*$K$29</f>
        <v>70.929360784108979</v>
      </c>
      <c r="P21" s="11">
        <f>$E20+2*$K$29</f>
        <v>156.57063921589102</v>
      </c>
      <c r="Q21" s="11">
        <f>$E20-3*$K$29</f>
        <v>49.519041176163483</v>
      </c>
      <c r="R21" s="11">
        <f>$E20+3*$K$29</f>
        <v>177.98095882383652</v>
      </c>
    </row>
    <row r="22" spans="1:18" x14ac:dyDescent="0.25">
      <c r="A22" s="2">
        <v>2021</v>
      </c>
      <c r="B22" s="3">
        <v>98</v>
      </c>
      <c r="C22" s="3">
        <f>A22*B22</f>
        <v>198058</v>
      </c>
      <c r="D22" s="3">
        <f t="shared" si="6"/>
        <v>4084441</v>
      </c>
      <c r="E22" s="3">
        <f>$C$27*A22+$C$28</f>
        <v>69.178571428565192</v>
      </c>
      <c r="J22" s="3">
        <f>B21-E21</f>
        <v>-20.464285714282596</v>
      </c>
      <c r="K22" s="11">
        <f t="shared" si="7"/>
        <v>418.78698979579076</v>
      </c>
      <c r="M22" s="11">
        <f>$E21-$K$29</f>
        <v>70.053966106337086</v>
      </c>
      <c r="N22" s="11">
        <f>$E21+$K$29</f>
        <v>112.87460532222811</v>
      </c>
      <c r="O22" s="11">
        <f>$E21-2*$K$29</f>
        <v>48.643646498391583</v>
      </c>
      <c r="P22" s="11">
        <f>$E21+2*$K$29</f>
        <v>134.28492493017362</v>
      </c>
      <c r="Q22" s="11">
        <f>$E21-3*$K$29</f>
        <v>27.233326890446079</v>
      </c>
      <c r="R22" s="11">
        <f>$E21+3*$K$29</f>
        <v>155.69524453811911</v>
      </c>
    </row>
    <row r="23" spans="1:18" x14ac:dyDescent="0.25">
      <c r="A23" s="4" t="s">
        <v>2</v>
      </c>
      <c r="B23" s="4" t="s">
        <v>3</v>
      </c>
      <c r="C23" s="4" t="s">
        <v>5</v>
      </c>
      <c r="D23" s="4" t="s">
        <v>7</v>
      </c>
      <c r="E23" s="3"/>
      <c r="J23" s="3">
        <f>B22-E22</f>
        <v>28.821428571434808</v>
      </c>
      <c r="K23" s="11">
        <f t="shared" si="7"/>
        <v>830.67474489831864</v>
      </c>
      <c r="M23" s="11">
        <f>$E22-$K$29</f>
        <v>47.768251820619682</v>
      </c>
      <c r="N23" s="11">
        <f>$E22+$K$29</f>
        <v>90.588891036510702</v>
      </c>
      <c r="O23" s="11">
        <f>$E22-2*$K$29</f>
        <v>26.357932212674179</v>
      </c>
      <c r="P23" s="11">
        <f>$E22+2*$K$29</f>
        <v>111.99921064445621</v>
      </c>
      <c r="Q23" s="11">
        <f>$E22-3*$K$29</f>
        <v>4.9476126047286755</v>
      </c>
      <c r="R23" s="11">
        <f>$E22+3*$K$29</f>
        <v>133.40953025240171</v>
      </c>
    </row>
    <row r="24" spans="1:18" x14ac:dyDescent="0.25">
      <c r="A24" s="3">
        <f>AVERAGE(A19:A22)</f>
        <v>2019</v>
      </c>
      <c r="B24" s="3">
        <f>AVERAGE(B19:B22)</f>
        <v>113.75</v>
      </c>
      <c r="C24" s="3">
        <f>AVERAGE(C19:C22)</f>
        <v>229583.25</v>
      </c>
      <c r="D24" s="3">
        <f>AVERAGE(D19:D22)</f>
        <v>4076364.5</v>
      </c>
      <c r="E24" s="3"/>
      <c r="J24" s="4" t="s">
        <v>17</v>
      </c>
      <c r="K24" s="4" t="s">
        <v>19</v>
      </c>
    </row>
    <row r="25" spans="1:18" x14ac:dyDescent="0.25">
      <c r="A25" s="2"/>
      <c r="B25" s="3"/>
      <c r="C25" s="3"/>
      <c r="D25" s="3"/>
      <c r="E25" s="3"/>
      <c r="J25" s="8">
        <f>SUM(J20:J23)</f>
        <v>1.4551915228366852E-11</v>
      </c>
      <c r="K25" s="8">
        <f>SUM(K20:K23)</f>
        <v>1833.6071428575035</v>
      </c>
    </row>
    <row r="26" spans="1:18" x14ac:dyDescent="0.25">
      <c r="J26" s="3"/>
    </row>
    <row r="27" spans="1:18" x14ac:dyDescent="0.25">
      <c r="B27" s="6" t="s">
        <v>8</v>
      </c>
      <c r="C27" s="11">
        <f>(C24-B24*A24)/(D24-A24^2)</f>
        <v>-22.285714285714285</v>
      </c>
    </row>
    <row r="28" spans="1:18" x14ac:dyDescent="0.25">
      <c r="B28" s="6" t="s">
        <v>9</v>
      </c>
      <c r="C28" s="11">
        <f>B24-C27*A24</f>
        <v>45108.607142857138</v>
      </c>
      <c r="J28" s="6" t="s">
        <v>20</v>
      </c>
      <c r="K28" s="11">
        <f>K25/COUNT(K20:K23)</f>
        <v>458.40178571437588</v>
      </c>
    </row>
    <row r="29" spans="1:18" x14ac:dyDescent="0.25">
      <c r="J29" s="6" t="s">
        <v>21</v>
      </c>
      <c r="K29" s="11">
        <f>SQRT(K28)</f>
        <v>21.410319607945507</v>
      </c>
    </row>
    <row r="30" spans="1:18" x14ac:dyDescent="0.25">
      <c r="A30" s="7" t="s">
        <v>14</v>
      </c>
      <c r="B30" s="7"/>
      <c r="C30" s="7"/>
    </row>
    <row r="32" spans="1:18" x14ac:dyDescent="0.25">
      <c r="A32" s="5" t="s">
        <v>24</v>
      </c>
      <c r="B32" s="5" t="s">
        <v>10</v>
      </c>
      <c r="D32" s="43" t="s">
        <v>22</v>
      </c>
      <c r="E32" s="44"/>
    </row>
    <row r="33" spans="1:5" x14ac:dyDescent="0.25">
      <c r="A33" s="2">
        <v>2022</v>
      </c>
      <c r="B33" s="3">
        <f>$C$27*A33+$C$28</f>
        <v>46.892857142855064</v>
      </c>
      <c r="D33" s="11">
        <f>$B33-2*$K$29</f>
        <v>4.0722179269640506</v>
      </c>
      <c r="E33" s="11">
        <f>$B33+2*$K$29</f>
        <v>89.713496358746085</v>
      </c>
    </row>
  </sheetData>
  <mergeCells count="9">
    <mergeCell ref="M19:N19"/>
    <mergeCell ref="O19:P19"/>
    <mergeCell ref="Q19:R19"/>
    <mergeCell ref="D32:E32"/>
    <mergeCell ref="A1:E1"/>
    <mergeCell ref="G2:H2"/>
    <mergeCell ref="M2:N2"/>
    <mergeCell ref="O2:P2"/>
    <mergeCell ref="Q2:R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6"/>
  <dimension ref="A1:R34"/>
  <sheetViews>
    <sheetView topLeftCell="A7" zoomScale="85" zoomScaleNormal="85" workbookViewId="0">
      <selection activeCell="A19" sqref="A19:B23"/>
    </sheetView>
  </sheetViews>
  <sheetFormatPr defaultRowHeight="15" x14ac:dyDescent="0.25"/>
  <cols>
    <col min="7" max="7" width="13.85546875" bestFit="1" customWidth="1"/>
    <col min="10" max="10" width="12.7109375" bestFit="1" customWidth="1"/>
    <col min="11" max="11" width="13.42578125" bestFit="1" customWidth="1"/>
  </cols>
  <sheetData>
    <row r="1" spans="1:18" x14ac:dyDescent="0.25">
      <c r="A1" s="45" t="s">
        <v>1</v>
      </c>
      <c r="B1" s="46"/>
      <c r="C1" s="46"/>
      <c r="D1" s="46"/>
      <c r="E1" s="46"/>
      <c r="F1" s="1"/>
      <c r="G1" s="1"/>
      <c r="H1" s="1"/>
      <c r="I1" s="1"/>
      <c r="J1" s="1"/>
    </row>
    <row r="2" spans="1:18" x14ac:dyDescent="0.25">
      <c r="A2" s="5" t="s">
        <v>24</v>
      </c>
      <c r="B2" s="5" t="s">
        <v>25</v>
      </c>
      <c r="C2" s="5" t="s">
        <v>4</v>
      </c>
      <c r="D2" s="5" t="s">
        <v>6</v>
      </c>
      <c r="E2" s="5" t="s">
        <v>10</v>
      </c>
      <c r="G2" s="43" t="s">
        <v>12</v>
      </c>
      <c r="H2" s="44"/>
      <c r="I2" s="3"/>
      <c r="M2" s="47"/>
      <c r="N2" s="47"/>
      <c r="O2" s="47"/>
      <c r="P2" s="47"/>
      <c r="Q2" s="47"/>
      <c r="R2" s="47"/>
    </row>
    <row r="3" spans="1:18" x14ac:dyDescent="0.25">
      <c r="A3" s="2">
        <v>2016</v>
      </c>
      <c r="B3" s="3">
        <v>193</v>
      </c>
      <c r="C3" s="3">
        <f t="shared" ref="C3:C7" si="0">A3*B3</f>
        <v>389088</v>
      </c>
      <c r="D3" s="3">
        <f t="shared" ref="D3:D8" si="1">A3^2</f>
        <v>4064256</v>
      </c>
      <c r="E3" s="3">
        <f t="shared" ref="E3:E8" si="2">$C$13*A3+$C$14</f>
        <v>204.6666666705205</v>
      </c>
      <c r="F3" s="3"/>
      <c r="G3" s="3">
        <f t="shared" ref="G3:G8" si="3">E3-1.5*_xlfn.STDEV.S($B$3:$B$8)</f>
        <v>103.61667904063509</v>
      </c>
      <c r="H3" s="3">
        <f t="shared" ref="H3:H8" si="4">E3+1.5*_xlfn.STDEV.S($B$3:$B$8)</f>
        <v>305.71665430040593</v>
      </c>
      <c r="I3" s="3"/>
    </row>
    <row r="4" spans="1:18" x14ac:dyDescent="0.25">
      <c r="A4" s="2">
        <v>2017</v>
      </c>
      <c r="B4" s="3">
        <v>183</v>
      </c>
      <c r="C4" s="3">
        <f>A4*B4</f>
        <v>369111</v>
      </c>
      <c r="D4" s="3">
        <f t="shared" si="1"/>
        <v>4068289</v>
      </c>
      <c r="E4" s="3">
        <f t="shared" si="2"/>
        <v>175.46666666898091</v>
      </c>
      <c r="F4" s="3"/>
      <c r="G4" s="3">
        <f t="shared" si="3"/>
        <v>74.416679039095499</v>
      </c>
      <c r="H4" s="3">
        <f t="shared" si="4"/>
        <v>276.51665429886634</v>
      </c>
      <c r="I4" s="3"/>
    </row>
    <row r="5" spans="1:18" x14ac:dyDescent="0.25">
      <c r="A5" s="2">
        <v>2018</v>
      </c>
      <c r="B5" s="3">
        <v>142</v>
      </c>
      <c r="C5" s="3">
        <f>A5*B5</f>
        <v>286556</v>
      </c>
      <c r="D5" s="3">
        <f t="shared" si="1"/>
        <v>4072324</v>
      </c>
      <c r="E5" s="3">
        <f t="shared" si="2"/>
        <v>146.26666666743404</v>
      </c>
      <c r="F5" s="3"/>
      <c r="G5" s="3">
        <f t="shared" si="3"/>
        <v>45.21667903754863</v>
      </c>
      <c r="H5" s="3">
        <f t="shared" si="4"/>
        <v>247.31665429731945</v>
      </c>
      <c r="I5" s="3"/>
    </row>
    <row r="6" spans="1:18" x14ac:dyDescent="0.25">
      <c r="A6" s="2">
        <v>2019</v>
      </c>
      <c r="B6" s="3">
        <v>102</v>
      </c>
      <c r="C6" s="3">
        <f>A6*B6</f>
        <v>205938</v>
      </c>
      <c r="D6" s="3">
        <f t="shared" si="1"/>
        <v>4076361</v>
      </c>
      <c r="E6" s="3">
        <f t="shared" si="2"/>
        <v>117.06666666589445</v>
      </c>
      <c r="F6" s="3"/>
      <c r="G6" s="3">
        <f t="shared" si="3"/>
        <v>16.016679036009037</v>
      </c>
      <c r="H6" s="3">
        <f t="shared" si="4"/>
        <v>218.11665429577985</v>
      </c>
      <c r="I6" s="3"/>
    </row>
    <row r="7" spans="1:18" x14ac:dyDescent="0.25">
      <c r="A7" s="2">
        <v>2020</v>
      </c>
      <c r="B7" s="3">
        <v>159</v>
      </c>
      <c r="C7" s="3">
        <f t="shared" si="0"/>
        <v>321180</v>
      </c>
      <c r="D7" s="3">
        <f t="shared" si="1"/>
        <v>4080400</v>
      </c>
      <c r="E7" s="3">
        <f t="shared" si="2"/>
        <v>87.866666664354852</v>
      </c>
      <c r="F7" s="3"/>
      <c r="G7" s="3">
        <f t="shared" si="3"/>
        <v>-13.183320965530555</v>
      </c>
      <c r="H7" s="3">
        <f t="shared" si="4"/>
        <v>188.91665429424026</v>
      </c>
      <c r="I7" s="3"/>
    </row>
    <row r="8" spans="1:18" x14ac:dyDescent="0.25">
      <c r="A8" s="9">
        <v>2021</v>
      </c>
      <c r="B8" s="10">
        <v>11</v>
      </c>
      <c r="C8" s="10">
        <f>A8*B8</f>
        <v>22231</v>
      </c>
      <c r="D8" s="10">
        <f t="shared" si="1"/>
        <v>4084441</v>
      </c>
      <c r="E8" s="10">
        <f t="shared" si="2"/>
        <v>58.66666666281526</v>
      </c>
      <c r="F8" s="3"/>
      <c r="G8" s="3">
        <f t="shared" si="3"/>
        <v>-42.383320967070148</v>
      </c>
      <c r="H8" s="3">
        <f t="shared" si="4"/>
        <v>159.71665429270067</v>
      </c>
      <c r="I8" s="3"/>
    </row>
    <row r="9" spans="1:18" x14ac:dyDescent="0.25">
      <c r="A9" s="4" t="s">
        <v>2</v>
      </c>
      <c r="B9" s="4" t="s">
        <v>3</v>
      </c>
      <c r="C9" s="4" t="s">
        <v>5</v>
      </c>
      <c r="D9" s="4" t="s">
        <v>7</v>
      </c>
      <c r="E9" s="3"/>
      <c r="F9" s="3"/>
      <c r="G9" s="3"/>
      <c r="H9" s="3"/>
      <c r="I9" s="3"/>
    </row>
    <row r="10" spans="1:18" x14ac:dyDescent="0.25">
      <c r="A10" s="3">
        <f>AVERAGE(A3:A8)</f>
        <v>2018.5</v>
      </c>
      <c r="B10" s="3">
        <f>AVERAGE(B3:B8)</f>
        <v>131.66666666666666</v>
      </c>
      <c r="C10" s="3">
        <f>AVERAGE(C3:C8)</f>
        <v>265684</v>
      </c>
      <c r="D10" s="3">
        <f>AVERAGE(D3:D8)</f>
        <v>4074345.1666666665</v>
      </c>
      <c r="E10" s="3"/>
      <c r="F10" s="3"/>
      <c r="G10" s="3"/>
      <c r="H10" s="3"/>
      <c r="I10" s="3"/>
    </row>
    <row r="11" spans="1:18" x14ac:dyDescent="0.25">
      <c r="A11" s="2"/>
      <c r="B11" s="3"/>
      <c r="C11" s="3"/>
      <c r="D11" s="3"/>
      <c r="E11" s="3"/>
      <c r="F11" s="3"/>
      <c r="G11" s="3"/>
      <c r="H11" s="3"/>
      <c r="I11" s="3"/>
    </row>
    <row r="12" spans="1:18" x14ac:dyDescent="0.25">
      <c r="F12" s="3"/>
      <c r="I12" s="3"/>
    </row>
    <row r="13" spans="1:18" x14ac:dyDescent="0.25">
      <c r="B13" s="6" t="s">
        <v>8</v>
      </c>
      <c r="C13">
        <f>(C10-B10*A10)/(D10-A10^2)</f>
        <v>-29.200000001540673</v>
      </c>
      <c r="F13" s="3"/>
      <c r="I13" s="3"/>
    </row>
    <row r="14" spans="1:18" x14ac:dyDescent="0.25">
      <c r="B14" s="6" t="s">
        <v>9</v>
      </c>
      <c r="C14">
        <f>B10-C13*A10</f>
        <v>59071.866669776515</v>
      </c>
      <c r="F14" s="3"/>
      <c r="I14" s="3"/>
    </row>
    <row r="15" spans="1:18" x14ac:dyDescent="0.25">
      <c r="F15" s="3"/>
      <c r="I15" s="3"/>
    </row>
    <row r="16" spans="1:18" x14ac:dyDescent="0.25">
      <c r="A16" s="7" t="s">
        <v>13</v>
      </c>
      <c r="B16" s="7"/>
      <c r="C16" s="7"/>
      <c r="F16" s="3"/>
      <c r="I16" s="3"/>
    </row>
    <row r="17" spans="1:18" x14ac:dyDescent="0.25">
      <c r="F17" s="3"/>
      <c r="I17" s="3"/>
    </row>
    <row r="18" spans="1:18" x14ac:dyDescent="0.25">
      <c r="A18" s="5" t="s">
        <v>24</v>
      </c>
      <c r="B18" s="5" t="s">
        <v>25</v>
      </c>
      <c r="C18" s="5" t="s">
        <v>4</v>
      </c>
      <c r="D18" s="5" t="s">
        <v>6</v>
      </c>
      <c r="E18" s="5" t="s">
        <v>10</v>
      </c>
    </row>
    <row r="19" spans="1:18" x14ac:dyDescent="0.25">
      <c r="A19" s="2">
        <v>2016</v>
      </c>
      <c r="B19" s="3">
        <v>193</v>
      </c>
      <c r="C19" s="3">
        <f t="shared" ref="C19" si="5">A19*B19</f>
        <v>389088</v>
      </c>
      <c r="D19" s="3">
        <f t="shared" ref="D19:D23" si="6">A19^2</f>
        <v>4064256</v>
      </c>
      <c r="E19" s="3">
        <f>$C$28*A19+$C$29</f>
        <v>185.60000000004584</v>
      </c>
      <c r="J19" s="5" t="s">
        <v>16</v>
      </c>
      <c r="K19" s="5" t="s">
        <v>18</v>
      </c>
      <c r="M19" s="43" t="s">
        <v>11</v>
      </c>
      <c r="N19" s="44"/>
      <c r="O19" s="43" t="s">
        <v>22</v>
      </c>
      <c r="P19" s="44"/>
      <c r="Q19" s="43" t="s">
        <v>23</v>
      </c>
      <c r="R19" s="44"/>
    </row>
    <row r="20" spans="1:18" x14ac:dyDescent="0.25">
      <c r="A20" s="2">
        <v>2017</v>
      </c>
      <c r="B20" s="3">
        <v>183</v>
      </c>
      <c r="C20" s="3">
        <f>A20*B20</f>
        <v>369111</v>
      </c>
      <c r="D20" s="3">
        <f t="shared" si="6"/>
        <v>4068289</v>
      </c>
      <c r="E20" s="3">
        <f>$C$28*A20+$C$29</f>
        <v>170.70000000002256</v>
      </c>
      <c r="J20" s="3">
        <f>B19-E19</f>
        <v>7.3999999999541615</v>
      </c>
      <c r="K20">
        <f t="shared" ref="K20:K24" si="7">J20^2</f>
        <v>54.759999999321593</v>
      </c>
      <c r="M20">
        <f>$E19-$K$30</f>
        <v>161.11041037506436</v>
      </c>
      <c r="N20">
        <f>$E19+$K$30</f>
        <v>210.08958962502732</v>
      </c>
      <c r="O20">
        <f>$E19-2*$K$30</f>
        <v>136.62082075008288</v>
      </c>
      <c r="P20">
        <f>$E19+2*$K$30</f>
        <v>234.57917925000879</v>
      </c>
      <c r="Q20">
        <f>$E19-3*$K$30</f>
        <v>112.13123112510144</v>
      </c>
      <c r="R20">
        <f>$E19+3*$K$30</f>
        <v>259.06876887499027</v>
      </c>
    </row>
    <row r="21" spans="1:18" x14ac:dyDescent="0.25">
      <c r="A21" s="2">
        <v>2018</v>
      </c>
      <c r="B21" s="3">
        <v>142</v>
      </c>
      <c r="C21" s="3">
        <f>A21*B21</f>
        <v>286556</v>
      </c>
      <c r="D21" s="3">
        <f t="shared" si="6"/>
        <v>4072324</v>
      </c>
      <c r="E21" s="3">
        <f>$C$28*A21+$C$29</f>
        <v>155.79999999999927</v>
      </c>
      <c r="J21" s="3">
        <f>B20-E20</f>
        <v>12.299999999977445</v>
      </c>
      <c r="K21">
        <f t="shared" si="7"/>
        <v>151.28999999944514</v>
      </c>
      <c r="M21">
        <f>$E20-$K$30</f>
        <v>146.21041037504108</v>
      </c>
      <c r="N21">
        <f>$E20+$K$30</f>
        <v>195.18958962500403</v>
      </c>
      <c r="O21">
        <f>$E20-2*$K$30</f>
        <v>121.72082075005962</v>
      </c>
      <c r="P21">
        <f>$E20+2*$K$30</f>
        <v>219.67917924998551</v>
      </c>
      <c r="Q21">
        <f>$E20-3*$K$30</f>
        <v>97.231231125078153</v>
      </c>
      <c r="R21">
        <f>$E20+3*$K$30</f>
        <v>244.16876887496696</v>
      </c>
    </row>
    <row r="22" spans="1:18" x14ac:dyDescent="0.25">
      <c r="A22" s="2">
        <v>2019</v>
      </c>
      <c r="B22" s="3">
        <v>102</v>
      </c>
      <c r="C22" s="3">
        <f>A22*B22</f>
        <v>205938</v>
      </c>
      <c r="D22" s="3">
        <f t="shared" si="6"/>
        <v>4076361</v>
      </c>
      <c r="E22" s="3">
        <f>$C$28*A22+$C$29</f>
        <v>140.89999999997599</v>
      </c>
      <c r="J22" s="3">
        <f>B21-E21</f>
        <v>-13.799999999999272</v>
      </c>
      <c r="K22">
        <f t="shared" si="7"/>
        <v>190.43999999997993</v>
      </c>
      <c r="M22">
        <f>$E21-$K$30</f>
        <v>131.3104103750178</v>
      </c>
      <c r="N22">
        <f>$E21+$K$30</f>
        <v>180.28958962498075</v>
      </c>
      <c r="O22">
        <f>$E21-2*$K$30</f>
        <v>106.82082075003633</v>
      </c>
      <c r="P22">
        <f>$E21+2*$K$30</f>
        <v>204.77917924996223</v>
      </c>
      <c r="Q22">
        <f>$E21-3*$K$30</f>
        <v>82.33123112505487</v>
      </c>
      <c r="R22">
        <f>$E21+3*$K$30</f>
        <v>229.26876887494367</v>
      </c>
    </row>
    <row r="23" spans="1:18" x14ac:dyDescent="0.25">
      <c r="A23" s="2">
        <v>2020</v>
      </c>
      <c r="B23" s="3">
        <v>159</v>
      </c>
      <c r="C23" s="3">
        <f t="shared" ref="C23" si="8">A23*B23</f>
        <v>321180</v>
      </c>
      <c r="D23" s="3">
        <f t="shared" si="6"/>
        <v>4080400</v>
      </c>
      <c r="E23" s="3">
        <f>$C$28*A23+$C$29</f>
        <v>125.99999999995271</v>
      </c>
      <c r="J23" s="3">
        <f>B22-E22</f>
        <v>-38.899999999975989</v>
      </c>
      <c r="K23">
        <f t="shared" si="7"/>
        <v>1513.2099999981319</v>
      </c>
      <c r="M23">
        <f>$E22-$K$30</f>
        <v>116.41041037499451</v>
      </c>
      <c r="N23">
        <f>$E22+$K$30</f>
        <v>165.38958962495747</v>
      </c>
      <c r="O23">
        <f>$E22-2*$K$30</f>
        <v>91.92082075001305</v>
      </c>
      <c r="P23">
        <f>$E22+2*$K$30</f>
        <v>189.87917924993894</v>
      </c>
      <c r="Q23">
        <f>$E22-3*$K$30</f>
        <v>67.431231125031587</v>
      </c>
      <c r="R23">
        <f>$E22+3*$K$30</f>
        <v>214.36876887492039</v>
      </c>
    </row>
    <row r="24" spans="1:18" x14ac:dyDescent="0.25">
      <c r="A24" s="4" t="s">
        <v>2</v>
      </c>
      <c r="B24" s="4" t="s">
        <v>3</v>
      </c>
      <c r="C24" s="4" t="s">
        <v>5</v>
      </c>
      <c r="D24" s="4" t="s">
        <v>7</v>
      </c>
      <c r="E24" s="3"/>
      <c r="J24" s="3">
        <f>B23-E23</f>
        <v>33.000000000047294</v>
      </c>
      <c r="K24">
        <f t="shared" si="7"/>
        <v>1089.0000000031214</v>
      </c>
      <c r="M24">
        <f>$E23-$K$30</f>
        <v>101.51041037497123</v>
      </c>
      <c r="N24">
        <f>$E23+$K$30</f>
        <v>150.48958962493418</v>
      </c>
      <c r="O24">
        <f>$E23-2*$K$30</f>
        <v>77.020820749989767</v>
      </c>
      <c r="P24">
        <f>$E23+2*$K$30</f>
        <v>174.97917924991566</v>
      </c>
      <c r="Q24">
        <f>$E23-3*$K$30</f>
        <v>52.531231125008304</v>
      </c>
      <c r="R24">
        <f>$E23+3*$K$30</f>
        <v>199.46876887489711</v>
      </c>
    </row>
    <row r="25" spans="1:18" x14ac:dyDescent="0.25">
      <c r="A25" s="3">
        <f>AVERAGE(A19:A23)</f>
        <v>2018</v>
      </c>
      <c r="B25" s="3">
        <f>AVERAGE(B19:B23)</f>
        <v>155.80000000000001</v>
      </c>
      <c r="C25" s="3">
        <f>AVERAGE(C19:C23)</f>
        <v>314374.59999999998</v>
      </c>
      <c r="D25" s="3">
        <f>AVERAGE(D19:D23)</f>
        <v>4072326</v>
      </c>
      <c r="E25" s="3"/>
      <c r="J25" s="4" t="s">
        <v>17</v>
      </c>
      <c r="K25" s="4" t="s">
        <v>19</v>
      </c>
    </row>
    <row r="26" spans="1:18" x14ac:dyDescent="0.25">
      <c r="A26" s="2"/>
      <c r="B26" s="3"/>
      <c r="C26" s="3"/>
      <c r="D26" s="3"/>
      <c r="E26" s="3"/>
      <c r="J26" s="8">
        <f>SUM(J20:J24)</f>
        <v>3.637978807091713E-12</v>
      </c>
      <c r="K26" s="8">
        <f>SUM(K20:K24)</f>
        <v>2998.7</v>
      </c>
    </row>
    <row r="27" spans="1:18" x14ac:dyDescent="0.25">
      <c r="J27" s="3"/>
    </row>
    <row r="28" spans="1:18" x14ac:dyDescent="0.25">
      <c r="B28" s="6" t="s">
        <v>8</v>
      </c>
      <c r="C28">
        <f>(C25-B25*A25)/(D25-A25^2)</f>
        <v>-14.900000000023283</v>
      </c>
    </row>
    <row r="29" spans="1:18" x14ac:dyDescent="0.25">
      <c r="B29" s="6" t="s">
        <v>9</v>
      </c>
      <c r="C29">
        <f>B25-C28*A25</f>
        <v>30224.000000046984</v>
      </c>
      <c r="J29" s="6" t="s">
        <v>20</v>
      </c>
      <c r="K29">
        <f>K26/COUNT(K20:K24)</f>
        <v>599.74</v>
      </c>
    </row>
    <row r="30" spans="1:18" x14ac:dyDescent="0.25">
      <c r="J30" s="6" t="s">
        <v>21</v>
      </c>
      <c r="K30">
        <f>SQRT(K29)</f>
        <v>24.48958962498147</v>
      </c>
    </row>
    <row r="31" spans="1:18" x14ac:dyDescent="0.25">
      <c r="A31" s="7" t="s">
        <v>14</v>
      </c>
      <c r="B31" s="7"/>
      <c r="C31" s="7"/>
    </row>
    <row r="33" spans="1:5" x14ac:dyDescent="0.25">
      <c r="A33" s="5" t="s">
        <v>24</v>
      </c>
      <c r="B33" s="5" t="s">
        <v>10</v>
      </c>
      <c r="D33" s="43" t="s">
        <v>22</v>
      </c>
      <c r="E33" s="44"/>
    </row>
    <row r="34" spans="1:5" x14ac:dyDescent="0.25">
      <c r="A34" s="2">
        <v>2022</v>
      </c>
      <c r="B34" s="3">
        <f>$C$28*A34+$C$29</f>
        <v>96.19999999990614</v>
      </c>
      <c r="D34">
        <f>$B34-2*$K$30</f>
        <v>47.220820749943201</v>
      </c>
      <c r="E34">
        <f>$B34+2*$K$30</f>
        <v>145.17917924986909</v>
      </c>
    </row>
  </sheetData>
  <mergeCells count="9">
    <mergeCell ref="M19:N19"/>
    <mergeCell ref="O19:P19"/>
    <mergeCell ref="Q19:R19"/>
    <mergeCell ref="D33:E33"/>
    <mergeCell ref="A1:E1"/>
    <mergeCell ref="G2:H2"/>
    <mergeCell ref="M2:N2"/>
    <mergeCell ref="O2:P2"/>
    <mergeCell ref="Q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Квадратичная 3</vt:lpstr>
      <vt:lpstr>Квадратичная 2</vt:lpstr>
      <vt:lpstr>Квадратичная 1</vt:lpstr>
      <vt:lpstr>ДАТАСЕТ 1</vt:lpstr>
      <vt:lpstr>ДАТАСЕТ 2</vt:lpstr>
      <vt:lpstr>ДАТАСЕТ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2022-04-27T22:01:31Z</dcterms:created>
  <dcterms:modified xsi:type="dcterms:W3CDTF">2022-06-19T21:56:15Z</dcterms:modified>
</cp:coreProperties>
</file>