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215" firstSheet="1" activeTab="5"/>
  </bookViews>
  <sheets>
    <sheet name="Profit &amp; Loss" sheetId="1" r:id="rId1"/>
    <sheet name="Quarters" sheetId="3" r:id="rId2"/>
    <sheet name="Cash Flow" sheetId="4" r:id="rId3"/>
    <sheet name="Balance Sheet" sheetId="2" r:id="rId4"/>
    <sheet name="Common Sizing" sheetId="15" r:id="rId5"/>
    <sheet name="Ratios" sheetId="7" r:id="rId6"/>
    <sheet name="SOIC Sheet" sheetId="12" r:id="rId7"/>
    <sheet name="Moat Assessment Sheet" sheetId="8" r:id="rId8"/>
    <sheet name="Fraud checklist" sheetId="16" r:id="rId9"/>
    <sheet name="Fraud sheet" sheetId="9" r:id="rId10"/>
    <sheet name="DCF SHEET" sheetId="14" r:id="rId11"/>
    <sheet name="Buffett Valuation" sheetId="11" r:id="rId12"/>
    <sheet name="Data Sheet" sheetId="6" r:id="rId13"/>
  </sheets>
  <definedNames>
    <definedName name="UPDATE">'Data Sheet'!$E$1</definedName>
  </definedNames>
  <calcPr calcId="144525"/>
</workbook>
</file>

<file path=xl/sharedStrings.xml><?xml version="1.0" encoding="utf-8"?>
<sst xmlns="http://schemas.openxmlformats.org/spreadsheetml/2006/main" count="497" uniqueCount="380">
  <si>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</si>
  <si>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</si>
  <si>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</si>
  <si>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</si>
  <si>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</si>
  <si>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</si>
  <si>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</si>
  <si>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</si>
  <si>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</si>
  <si>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</si>
  <si>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</si>
  <si>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</si>
  <si>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</si>
  <si>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</si>
  <si>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EPS</t>
  </si>
  <si>
    <t>Price to earning</t>
  </si>
  <si>
    <t>Price</t>
  </si>
  <si>
    <t>NPM</t>
  </si>
  <si>
    <t>RATIOS:</t>
  </si>
  <si>
    <t>Dividend Payout</t>
  </si>
  <si>
    <t>OPM</t>
  </si>
  <si>
    <t>Tax payout</t>
  </si>
  <si>
    <t>Book value per share</t>
  </si>
  <si>
    <t>TRENDS:</t>
  </si>
  <si>
    <t>10 YEARS</t>
  </si>
  <si>
    <t>7 YEARS</t>
  </si>
  <si>
    <t>5 YEARS</t>
  </si>
  <si>
    <t>3 YEARS</t>
  </si>
  <si>
    <t>RECENT</t>
  </si>
  <si>
    <t>BEST</t>
  </si>
  <si>
    <t>WORST</t>
  </si>
  <si>
    <t>Sales Growth</t>
  </si>
  <si>
    <t>Price to Earning</t>
  </si>
  <si>
    <t>Common Sizing Expenses</t>
  </si>
  <si>
    <t>Raw material Expenses</t>
  </si>
  <si>
    <t>Power and fuel cost</t>
  </si>
  <si>
    <t>Cash from Operating Activity</t>
  </si>
  <si>
    <t>Cash from Investing Activity</t>
  </si>
  <si>
    <t>Cash from Financing Activity</t>
  </si>
  <si>
    <t>Net Cash Flow</t>
  </si>
  <si>
    <t>Enter Fixed Assets Expenditure using screener in +</t>
  </si>
  <si>
    <t>Free Cash Flow</t>
  </si>
  <si>
    <t>Cash EPS</t>
  </si>
  <si>
    <t>Reinvestment(capex/cfo)</t>
  </si>
  <si>
    <t>Cumulative of 10 years</t>
  </si>
  <si>
    <t>CFO</t>
  </si>
  <si>
    <t>CFI</t>
  </si>
  <si>
    <t>CFF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</si>
  <si>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</si>
  <si>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</si>
  <si>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</si>
  <si>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</si>
  <si>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</si>
  <si>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</si>
  <si>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</si>
  <si>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</si>
  <si>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</si>
  <si>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Working Capital</t>
  </si>
  <si>
    <t>Debtors</t>
  </si>
  <si>
    <t>Inventory</t>
  </si>
  <si>
    <t>Debtor Days</t>
  </si>
  <si>
    <t>Return on Equity</t>
  </si>
  <si>
    <t>Return on Capital Emp</t>
  </si>
  <si>
    <t>Balance Sheet</t>
  </si>
  <si>
    <t>Total Liabilities</t>
  </si>
  <si>
    <t>As a % of total assets</t>
  </si>
  <si>
    <t>Total Assets</t>
  </si>
  <si>
    <t>Leverage Ratios</t>
  </si>
  <si>
    <t>D/E</t>
  </si>
  <si>
    <t>Debt/Assets</t>
  </si>
  <si>
    <t>Debt/Ebitda</t>
  </si>
  <si>
    <t>Debt/Capital Ratio</t>
  </si>
  <si>
    <t>Cash flow/Debt</t>
  </si>
  <si>
    <t>Interest coverage ratio</t>
  </si>
  <si>
    <t>Sales Change</t>
  </si>
  <si>
    <t>Ebit Change</t>
  </si>
  <si>
    <t>Operating Leverage</t>
  </si>
  <si>
    <t>Financial Leverage</t>
  </si>
  <si>
    <t>Debt Burden Ratio</t>
  </si>
  <si>
    <t>Efficiency ratios</t>
  </si>
  <si>
    <t>Receivable days</t>
  </si>
  <si>
    <t>Receivable turnover</t>
  </si>
  <si>
    <t>Inventory days</t>
  </si>
  <si>
    <t>Inventory turnover</t>
  </si>
  <si>
    <t>Net Fixed assets turnover</t>
  </si>
  <si>
    <t>Sales/capital employed</t>
  </si>
  <si>
    <t>Total Asset Turnover</t>
  </si>
  <si>
    <t>Profitability ratios</t>
  </si>
  <si>
    <t>Ebitda</t>
  </si>
  <si>
    <t>Ebitda margin</t>
  </si>
  <si>
    <t xml:space="preserve">Gross Profit </t>
  </si>
  <si>
    <t>Gross Profit Margin</t>
  </si>
  <si>
    <t>EBIT</t>
  </si>
  <si>
    <t>EBIT Margin</t>
  </si>
  <si>
    <t>ROE</t>
  </si>
  <si>
    <t>Net profit margin</t>
  </si>
  <si>
    <t>DU Pont ROE</t>
  </si>
  <si>
    <t>Net Profit Margin</t>
  </si>
  <si>
    <t>Sales/Total assets</t>
  </si>
  <si>
    <t>DU PONT ROA</t>
  </si>
  <si>
    <t>Capital Allocation Ratios</t>
  </si>
  <si>
    <t>ROCE</t>
  </si>
  <si>
    <t>Sales/cap employed</t>
  </si>
  <si>
    <t>NOPAT</t>
  </si>
  <si>
    <t>Capital employed</t>
  </si>
  <si>
    <t>ROIC</t>
  </si>
  <si>
    <t>10 year profit change</t>
  </si>
  <si>
    <t>5 year profit change</t>
  </si>
  <si>
    <t>10 year mcap change</t>
  </si>
  <si>
    <t>5 year mcap change</t>
  </si>
  <si>
    <t>Capex Ratios</t>
  </si>
  <si>
    <t>Capex/Net Profits 10yr</t>
  </si>
  <si>
    <t>Capex/Net Profits 5 yr</t>
  </si>
  <si>
    <t>Capex/Net Profits 3 yr</t>
  </si>
  <si>
    <t>Capex/Depreciation 10yr</t>
  </si>
  <si>
    <t>Valuation Ratios</t>
  </si>
  <si>
    <t>Price/Earnings</t>
  </si>
  <si>
    <t>Price/Book</t>
  </si>
  <si>
    <t>Price/CashFlow</t>
  </si>
  <si>
    <t>Price/Sales</t>
  </si>
  <si>
    <t>Enterprise Value</t>
  </si>
  <si>
    <t>EV/EBITDA</t>
  </si>
  <si>
    <t>MAX Pe in Last 10 years</t>
  </si>
  <si>
    <t>Max Ev/Ebitda in Last 10 years</t>
  </si>
  <si>
    <t>Max P/B</t>
  </si>
  <si>
    <t>Capital allocation is the number one thing we look for in managements</t>
  </si>
  <si>
    <t>TTM</t>
  </si>
  <si>
    <t>Retained Earnings</t>
  </si>
  <si>
    <t>MCAP</t>
  </si>
  <si>
    <t>Earnings Retention Test</t>
  </si>
  <si>
    <t>Total Earnings retained</t>
  </si>
  <si>
    <t>Change in MCAP</t>
  </si>
  <si>
    <t xml:space="preserve">PER Rs Mcap </t>
  </si>
  <si>
    <t>Compound Multiple</t>
  </si>
  <si>
    <t>Change in mcap/change in profit</t>
  </si>
  <si>
    <t>10 years</t>
  </si>
  <si>
    <t>10yr</t>
  </si>
  <si>
    <t>5 years</t>
  </si>
  <si>
    <t>5yr</t>
  </si>
  <si>
    <t>Cost of capital</t>
  </si>
  <si>
    <t>Cost of capital in cr</t>
  </si>
  <si>
    <t>Economic value added</t>
  </si>
  <si>
    <t>(NOPAT-Cost of capital)</t>
  </si>
  <si>
    <t>Rolling ROIIC</t>
  </si>
  <si>
    <t>ROIIC 3 year Rolling</t>
  </si>
  <si>
    <t>ROIIC 5 Year Rolling</t>
  </si>
  <si>
    <t>Intrinsic Compounding Table</t>
  </si>
  <si>
    <t>Capital Employed</t>
  </si>
  <si>
    <t>Cumulative NOPAT</t>
  </si>
  <si>
    <t>Incremental Capital Employed</t>
  </si>
  <si>
    <t>Reinvestment Rate</t>
  </si>
  <si>
    <t>Return on incremental capital employed/Intrinsic compunding rate</t>
  </si>
  <si>
    <t>Stock Cagr 10 year</t>
  </si>
  <si>
    <t>Stock Cagr 5 year</t>
  </si>
  <si>
    <t>Year</t>
  </si>
  <si>
    <t>GP Margin</t>
  </si>
  <si>
    <t>Things To Look For</t>
  </si>
  <si>
    <t>Ebitda Margin</t>
  </si>
  <si>
    <t>Stable/Expanding Margins</t>
  </si>
  <si>
    <t>PRICING POWER</t>
  </si>
  <si>
    <t>ROIC above 15% over the years</t>
  </si>
  <si>
    <t>ROE Above 15% over the years</t>
  </si>
  <si>
    <t>Business abilitiy to protect its profitability</t>
  </si>
  <si>
    <t>ROCE Above 15% over the years</t>
  </si>
  <si>
    <t>Average GP</t>
  </si>
  <si>
    <t>Average Ebitda margin</t>
  </si>
  <si>
    <t>Average Net Profit margin</t>
  </si>
  <si>
    <t>Average ROE</t>
  </si>
  <si>
    <t>Average ROIC</t>
  </si>
  <si>
    <t>Average ROCE</t>
  </si>
  <si>
    <t>Checklist for finding frauds</t>
  </si>
  <si>
    <t>Income Statement Checks                           1)</t>
  </si>
  <si>
    <t>CUM PAT VS CUM CFO of last 10 years and in block of 3 years+ CFO/Ebitda  &gt; 0.7</t>
  </si>
  <si>
    <t>What this does,it tells us whether Acrrual Profits are being converted into real profits or not</t>
  </si>
  <si>
    <t xml:space="preserve">                                                                                2)</t>
  </si>
  <si>
    <t>Volatility in Depreciation Rate as a percentage of sales</t>
  </si>
  <si>
    <t>Company chaging depreciation assets life constantly?</t>
  </si>
  <si>
    <t xml:space="preserve">                                                                                3)</t>
  </si>
  <si>
    <t>Cash Yield</t>
  </si>
  <si>
    <t>Company earning more than Risk free rate or not on the cash&gt;5%</t>
  </si>
  <si>
    <t xml:space="preserve">                                                                                4)</t>
  </si>
  <si>
    <t>Increasing Receivables&gt;Increasing sales</t>
  </si>
  <si>
    <t>Incremental sales of poor quality</t>
  </si>
  <si>
    <t xml:space="preserve">                                                                                5)</t>
  </si>
  <si>
    <t>Miscellaneous Expenses</t>
  </si>
  <si>
    <t>If high, then doubt if expenses are real?</t>
  </si>
  <si>
    <t xml:space="preserve">                                                                                6)</t>
  </si>
  <si>
    <t>Sales being done to subsidiary</t>
  </si>
  <si>
    <t>Kitex and Bharat RASAYAN Related Party Transactions</t>
  </si>
  <si>
    <t xml:space="preserve">                                                                                7)</t>
  </si>
  <si>
    <t>Always check for segmental break up of revenue</t>
  </si>
  <si>
    <t>Kwality Ltd- sales being done in Trading (low margin)</t>
  </si>
  <si>
    <t xml:space="preserve">                                                                                8)</t>
  </si>
  <si>
    <t>Company paying dividend in slow down or not</t>
  </si>
  <si>
    <t xml:space="preserve">EG- Compare Balaji Amines and Alkyl Amines DPO </t>
  </si>
  <si>
    <t>Balance sheet checks                                     1)</t>
  </si>
  <si>
    <t>Check for contingent liabilites</t>
  </si>
  <si>
    <t>Off the balance sheet items, which can wipe off equity if too high, shouldn't be more than 5%</t>
  </si>
  <si>
    <t>2)</t>
  </si>
  <si>
    <t>Check for goodwill/intangibles as a % of networth</t>
  </si>
  <si>
    <t>eg- What happened with 8k miles and Tanla solutions. If greater than 10%, Avoid unless know goodwill acccounting.</t>
  </si>
  <si>
    <t>3)</t>
  </si>
  <si>
    <t>Check for provisions in trade receivables</t>
  </si>
  <si>
    <t>Eg- Kwality Dairy, Parag Milk foods, if provisions are more than 5-10% of trade receivables, Avoid</t>
  </si>
  <si>
    <t>4)</t>
  </si>
  <si>
    <t>Check for Auditors CARO REPORT (Annexure A OR B)</t>
  </si>
  <si>
    <t>Auditor usually rectifies the assets of the company. Eg- Denis Chem Lab, Radico Khaitan (2012-2015)</t>
  </si>
  <si>
    <t>5)</t>
  </si>
  <si>
    <t>Check for unusual write offs in the past</t>
  </si>
  <si>
    <t>Previously written off Trade receivables or goodwill or advances</t>
  </si>
  <si>
    <t>6)</t>
  </si>
  <si>
    <t>Check for write offs from equity</t>
  </si>
  <si>
    <t>Usually can be found in Auditors report or use Change in reserves (excluding share premium)  to net income excluding divdends- A ratio less than 1 would show knock off from equity. Eg- Godrej Properties, UPL</t>
  </si>
  <si>
    <t>Cash Flow checks                                            1)</t>
  </si>
  <si>
    <t>Very high CFI without purchase of fixed assets</t>
  </si>
  <si>
    <t>Check if Cash is being accumulated on balance sheet and where it is being used eg- GM Breweries</t>
  </si>
  <si>
    <t>Lack of FCFE generation</t>
  </si>
  <si>
    <t xml:space="preserve">Check if Free cash flow is lumpy, if lumpy then what is the reason? </t>
  </si>
  <si>
    <t>CFF very high and excessive share issues</t>
  </si>
  <si>
    <t>If dilutions are frequent, Avoid</t>
  </si>
  <si>
    <t>Other checks                                                      1)</t>
  </si>
  <si>
    <t>Past claims of the management and track with current performance</t>
  </si>
  <si>
    <t>Check kitex management interviews- All talk and no show</t>
  </si>
  <si>
    <t>Channel checks</t>
  </si>
  <si>
    <t>fictitious market presence like Manapasand and vakrangee</t>
  </si>
  <si>
    <t>Google Fraud checks</t>
  </si>
  <si>
    <t>type in managements name with "legal","SEBI" OR "Fraud", Moneylife</t>
  </si>
  <si>
    <t>Industry checks</t>
  </si>
  <si>
    <t>Check with competitors, Just ask any jeweller about PC Jewellers</t>
  </si>
  <si>
    <t>Glassdoor and linkedin checks</t>
  </si>
  <si>
    <t>Check for 8k miles review on Glassdoor</t>
  </si>
  <si>
    <t>Stock Pledge</t>
  </si>
  <si>
    <t>Why would you pledge family jewels?- Seya industries, Zee etc</t>
  </si>
  <si>
    <t>Auditor checks</t>
  </si>
  <si>
    <t>1)</t>
  </si>
  <si>
    <t>Look for KEY AUDIT OBSERVATIONS</t>
  </si>
  <si>
    <t>Key differences on accounting between auditor and the management</t>
  </si>
  <si>
    <t>Look for Auditors opinion on internal control</t>
  </si>
  <si>
    <t>A lack of internal control is a big red flag</t>
  </si>
  <si>
    <t>Always read CARO report</t>
  </si>
  <si>
    <t>Fictitious assets or real assets?</t>
  </si>
  <si>
    <t>Fraud untill proven innocent sheet</t>
  </si>
  <si>
    <t>Percentage Increase in Sales</t>
  </si>
  <si>
    <t>Percentage increase in receivables</t>
  </si>
  <si>
    <t>Percentage Increase in Inventory</t>
  </si>
  <si>
    <t>Inventory/sales</t>
  </si>
  <si>
    <t>Recievable/Sales</t>
  </si>
  <si>
    <t>Cash yield</t>
  </si>
  <si>
    <t>Depreciation rate</t>
  </si>
  <si>
    <t>Contingent Liability as a % of networth</t>
  </si>
  <si>
    <t>Enter Using annual report</t>
  </si>
  <si>
    <t>CFO/PAT</t>
  </si>
  <si>
    <t>CFO/EBITDA</t>
  </si>
  <si>
    <t>Self Sustainable growth rate</t>
  </si>
  <si>
    <t>Dividend given (intention to share wealth)</t>
  </si>
  <si>
    <t>Dividend Payout Ratio/Also check for buyback</t>
  </si>
  <si>
    <t>Check for Miscellaneous expenses as a total revenues</t>
  </si>
  <si>
    <t>Check sales being done to subsidiary as a % of sales</t>
  </si>
  <si>
    <t>Check for intangibles as a% of networth</t>
  </si>
  <si>
    <t>Check for Write offs as a % ofTrade receivables</t>
  </si>
  <si>
    <t>CWIP/Net block</t>
  </si>
  <si>
    <t>Employee cost as a % of sales</t>
  </si>
  <si>
    <t>Consensus Forecasts</t>
  </si>
  <si>
    <t>Input</t>
  </si>
  <si>
    <t>Valuation ranges</t>
  </si>
  <si>
    <t>Mcap</t>
  </si>
  <si>
    <t>Per stock</t>
  </si>
  <si>
    <t>FCF Growth(1-5 years)</t>
  </si>
  <si>
    <t>Fcf growth (5-10 years)</t>
  </si>
  <si>
    <t>Warren Buffet Way</t>
  </si>
  <si>
    <t>Discount Rate/Cost of capital</t>
  </si>
  <si>
    <t>Benjamin Graham Way</t>
  </si>
  <si>
    <t xml:space="preserve">Terminal growth rate </t>
  </si>
  <si>
    <t>Bharat Shah Way</t>
  </si>
  <si>
    <t>Cash &amp; Bank Balance</t>
  </si>
  <si>
    <t>Margin of safety at 50%</t>
  </si>
  <si>
    <t>Debt</t>
  </si>
  <si>
    <t>Shares outstanding</t>
  </si>
  <si>
    <t>Non-Operative Assets</t>
  </si>
  <si>
    <t>Current Market Price</t>
  </si>
  <si>
    <t>Free Cash flow of last 3 years</t>
  </si>
  <si>
    <t>DO NOT FORGET TO INSERT FIXED ASSETS PURCHASE FROM SCREENER in CFO SHEET!</t>
  </si>
  <si>
    <t xml:space="preserve">Terminal Year Cash Flow </t>
  </si>
  <si>
    <t>YEAR</t>
  </si>
  <si>
    <t>FCF</t>
  </si>
  <si>
    <t>Growth</t>
  </si>
  <si>
    <t>Present Value</t>
  </si>
  <si>
    <t>Present value of 1-10 year</t>
  </si>
  <si>
    <t>Terminal value</t>
  </si>
  <si>
    <t>Total PV of shares</t>
  </si>
  <si>
    <t>(adapted from the methodology described in the book "Buffetology" by Mary Buffet - using current Visibility aided by Historicals)</t>
  </si>
  <si>
    <t>Current Data</t>
  </si>
  <si>
    <t>10 yr Projected Company data using historical earnings growth rate/current visibility</t>
  </si>
  <si>
    <t>10yr Sales Projection</t>
  </si>
  <si>
    <t>DPS</t>
  </si>
  <si>
    <t>EPS:</t>
  </si>
  <si>
    <t>Current</t>
  </si>
  <si>
    <t>Earnings after 10 years</t>
  </si>
  <si>
    <t>DPS:</t>
  </si>
  <si>
    <t>Year 1</t>
  </si>
  <si>
    <t>Dividends paid over 10 years</t>
  </si>
  <si>
    <t>BVPS:</t>
  </si>
  <si>
    <t>Year 2</t>
  </si>
  <si>
    <t>P/E:</t>
  </si>
  <si>
    <t>Year 3</t>
  </si>
  <si>
    <t>Projected price [Avg Sustainable P/E*EPS]</t>
  </si>
  <si>
    <t>Earnings Yield:</t>
  </si>
  <si>
    <t>Year 4</t>
  </si>
  <si>
    <t>Total Gain [Projected Price+Dividends]</t>
  </si>
  <si>
    <t>Dividend Yield:</t>
  </si>
  <si>
    <t>Year 5</t>
  </si>
  <si>
    <t>P/BV:</t>
  </si>
  <si>
    <t>Year 6</t>
  </si>
  <si>
    <t>Projected annual return using current EPS growth visibility</t>
  </si>
  <si>
    <t>Year 7</t>
  </si>
  <si>
    <t>[(Total Gain/Current Price)^1/9)-1]</t>
  </si>
  <si>
    <t xml:space="preserve">Input Visibility data </t>
  </si>
  <si>
    <t>below</t>
  </si>
  <si>
    <t>Year 8</t>
  </si>
  <si>
    <t>Year 9</t>
  </si>
  <si>
    <t>Med Term Visibility</t>
  </si>
  <si>
    <t>Year 10</t>
  </si>
  <si>
    <t>Sales 10 Yr CAGR</t>
  </si>
  <si>
    <t>Sales 5yr CAGR</t>
  </si>
  <si>
    <t>10 yr Projected Company data using sustainable growth rate based on current visibility</t>
  </si>
  <si>
    <t>Sales 3yr CAGR</t>
  </si>
  <si>
    <t>BVPS</t>
  </si>
  <si>
    <t>Sales Y-o-Y growth</t>
  </si>
  <si>
    <t>Sales TTM Growth</t>
  </si>
  <si>
    <t>EPS 10 Yr CAGR</t>
  </si>
  <si>
    <t>EPS 5yr CAGR</t>
  </si>
  <si>
    <t>EPS 3yr CAGR</t>
  </si>
  <si>
    <t>Projected annual return using sustainable growth visbility*</t>
  </si>
  <si>
    <t>EPS Y-o-Y growth</t>
  </si>
  <si>
    <t>EPS TTM Growth</t>
  </si>
  <si>
    <t>5Yr Averages</t>
  </si>
  <si>
    <t>Return on Equity:</t>
  </si>
  <si>
    <t>Payout Ratio:</t>
  </si>
  <si>
    <t>*Assuming current capital structure is maintained - business's inherent ability to grow with internal accruals from here</t>
  </si>
  <si>
    <t>P/E Ratio-High:</t>
  </si>
  <si>
    <t>P/E Ratio-Low:</t>
  </si>
  <si>
    <t>5Year Avg Roe</t>
  </si>
  <si>
    <t>Avg. P/E Ratio:</t>
  </si>
  <si>
    <t>Avg Sustainable P/E</t>
  </si>
  <si>
    <t>RoE/Payout Visibility</t>
  </si>
  <si>
    <t>5 Yr Avg</t>
  </si>
  <si>
    <t>RoE Visibility</t>
  </si>
  <si>
    <t>Payout Visbility</t>
  </si>
  <si>
    <t>Sustainable Growth</t>
  </si>
  <si>
    <t>COMPANY NAME</t>
  </si>
  <si>
    <t>VINATI ORGANICS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</si>
  <si>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</si>
  <si>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</si>
  <si>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</si>
  <si>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</si>
  <si>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</si>
  <si>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</si>
  <si>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</si>
  <si>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</si>
  <si>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</si>
  <si>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</si>
  <si>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</si>
  <si>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</si>
  <si>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</si>
  <si>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</si>
  <si>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</si>
  <si>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</si>
  <si>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</si>
  <si>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Dividend Amount</t>
  </si>
  <si>
    <t>Quarters</t>
  </si>
  <si>
    <t>BALANCE SHEET</t>
  </si>
  <si>
    <t>Receivables</t>
  </si>
  <si>
    <t>Cash &amp; Bank</t>
  </si>
  <si>
    <t>No. of Equity Shares</t>
  </si>
  <si>
    <t>New Bonus Shares</t>
  </si>
  <si>
    <t>Face value</t>
  </si>
  <si>
    <t>CASH FLOW:</t>
  </si>
  <si>
    <t>PRICE:</t>
  </si>
  <si>
    <t>DERIVED:</t>
  </si>
  <si>
    <t>Adjusted Equity Shares in Cr</t>
  </si>
</sst>
</file>

<file path=xl/styles.xml><?xml version="1.0" encoding="utf-8"?>
<styleSheet xmlns="http://schemas.openxmlformats.org/spreadsheetml/2006/main">
  <numFmts count="8">
    <numFmt numFmtId="176" formatCode="[$-409]mmm/yy;@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* #,##0.00_ ;_ * \-#,##0.00_ ;_ * &quot;-&quot;??_ ;_ @_ "/>
    <numFmt numFmtId="181" formatCode="_(* #,##0.00_);_(* \(#,##0.00\);_(* &quot;-&quot;??_);_(@_)"/>
    <numFmt numFmtId="182" formatCode="0.0"/>
    <numFmt numFmtId="183" formatCode="0.0%"/>
  </numFmts>
  <fonts count="4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</font>
    <font>
      <b/>
      <sz val="11"/>
      <color theme="0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sz val="11"/>
      <name val="Arial"/>
      <charset val="134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15"/>
      <color theme="1"/>
      <name val="Bahnschrift Light"/>
      <charset val="134"/>
    </font>
    <font>
      <sz val="15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sz val="16"/>
      <color theme="1"/>
      <name val="Bahnschrift Light"/>
      <charset val="134"/>
    </font>
    <font>
      <sz val="16"/>
      <color theme="1"/>
      <name val="Calibri"/>
      <charset val="134"/>
      <scheme val="minor"/>
    </font>
    <font>
      <sz val="11"/>
      <color theme="1"/>
      <name val="Bahnschrift Light"/>
      <charset val="134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92D050"/>
      <name val="Calibri"/>
      <charset val="134"/>
      <scheme val="minor"/>
    </font>
    <font>
      <sz val="20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1"/>
      <name val="Calibri"/>
      <charset val="1"/>
    </font>
    <font>
      <sz val="10"/>
      <name val="Calibri"/>
      <charset val="1"/>
    </font>
    <font>
      <sz val="11"/>
      <color theme="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22222F"/>
      <name val="Arial"/>
      <charset val="134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275D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9" fillId="30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  <xf numFmtId="178" fontId="33" fillId="0" borderId="0" applyFont="0" applyFill="0" applyBorder="0" applyAlignment="0" applyProtection="0">
      <alignment vertical="center"/>
    </xf>
    <xf numFmtId="179" fontId="33" fillId="0" borderId="0" applyFont="0" applyFill="0" applyBorder="0" applyAlignment="0" applyProtection="0">
      <alignment vertical="center"/>
    </xf>
    <xf numFmtId="177" fontId="3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1" fillId="3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25" borderId="29" applyNumberFormat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3" fillId="36" borderId="31" applyNumberFormat="0" applyFont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5" fillId="0" borderId="30" applyNumberFormat="0" applyFill="0" applyAlignment="0" applyProtection="0">
      <alignment vertical="center"/>
    </xf>
    <xf numFmtId="0" fontId="41" fillId="0" borderId="32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43" borderId="33" applyNumberFormat="0" applyAlignment="0" applyProtection="0">
      <alignment vertical="center"/>
    </xf>
    <xf numFmtId="0" fontId="24" fillId="22" borderId="0" applyNumberFormat="0" applyBorder="0" applyAlignment="0" applyProtection="0"/>
    <xf numFmtId="0" fontId="34" fillId="27" borderId="0" applyNumberFormat="0" applyBorder="0" applyAlignment="0" applyProtection="0">
      <alignment vertical="center"/>
    </xf>
    <xf numFmtId="0" fontId="44" fillId="44" borderId="34" applyNumberFormat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45" fillId="44" borderId="33" applyNumberFormat="0" applyAlignment="0" applyProtection="0">
      <alignment vertical="center"/>
    </xf>
    <xf numFmtId="0" fontId="30" fillId="0" borderId="28" applyNumberFormat="0" applyFill="0" applyAlignment="0" applyProtection="0">
      <alignment vertical="center"/>
    </xf>
    <xf numFmtId="0" fontId="46" fillId="0" borderId="35" applyNumberFormat="0" applyFill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4" fillId="21" borderId="0" applyNumberFormat="0" applyBorder="0" applyAlignment="0" applyProtection="0"/>
    <xf numFmtId="0" fontId="31" fillId="32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4" fillId="2" borderId="0" applyNumberFormat="0" applyBorder="0" applyAlignment="0" applyProtection="0"/>
    <xf numFmtId="0" fontId="29" fillId="26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</cellStyleXfs>
  <cellXfs count="246">
    <xf numFmtId="0" fontId="0" fillId="0" borderId="0" xfId="0"/>
    <xf numFmtId="180" fontId="1" fillId="0" borderId="0" xfId="2" applyFont="1" applyBorder="1"/>
    <xf numFmtId="176" fontId="2" fillId="0" borderId="0" xfId="2" applyNumberFormat="1" applyFont="1" applyFill="1" applyBorder="1"/>
    <xf numFmtId="180" fontId="0" fillId="0" borderId="0" xfId="2" applyFont="1" applyBorder="1"/>
    <xf numFmtId="180" fontId="3" fillId="0" borderId="0" xfId="7" applyNumberFormat="1" applyBorder="1" applyAlignment="1" applyProtection="1">
      <alignment horizontal="center"/>
    </xf>
    <xf numFmtId="180" fontId="4" fillId="2" borderId="0" xfId="46" applyNumberFormat="1" applyFont="1" applyBorder="1" applyAlignment="1">
      <alignment horizontal="center"/>
    </xf>
    <xf numFmtId="176" fontId="4" fillId="3" borderId="0" xfId="2" applyNumberFormat="1" applyFont="1" applyFill="1" applyBorder="1"/>
    <xf numFmtId="176" fontId="4" fillId="3" borderId="0" xfId="0" applyNumberFormat="1" applyFont="1" applyFill="1" applyBorder="1" applyAlignment="1">
      <alignment horizontal="center"/>
    </xf>
    <xf numFmtId="181" fontId="0" fillId="0" borderId="0" xfId="2" applyNumberFormat="1" applyFont="1" applyBorder="1"/>
    <xf numFmtId="0" fontId="5" fillId="4" borderId="1" xfId="0" applyFont="1" applyFill="1" applyBorder="1" applyAlignment="1">
      <alignment horizontal="left" wrapText="1"/>
    </xf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6" fillId="0" borderId="0" xfId="0" applyFont="1"/>
    <xf numFmtId="0" fontId="5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5" borderId="1" xfId="0" applyFont="1" applyFill="1" applyBorder="1"/>
    <xf numFmtId="0" fontId="0" fillId="0" borderId="1" xfId="0" applyFont="1" applyBorder="1"/>
    <xf numFmtId="0" fontId="0" fillId="0" borderId="4" xfId="0" applyFont="1" applyBorder="1" applyAlignment="1">
      <alignment horizontal="center"/>
    </xf>
    <xf numFmtId="2" fontId="0" fillId="0" borderId="1" xfId="0" applyNumberFormat="1" applyFont="1" applyBorder="1"/>
    <xf numFmtId="0" fontId="0" fillId="4" borderId="1" xfId="0" applyFont="1" applyFill="1" applyBorder="1" applyAlignment="1">
      <alignment horizontal="center"/>
    </xf>
    <xf numFmtId="2" fontId="7" fillId="0" borderId="1" xfId="0" applyNumberFormat="1" applyFont="1" applyBorder="1"/>
    <xf numFmtId="10" fontId="7" fillId="0" borderId="1" xfId="0" applyNumberFormat="1" applyFont="1" applyBorder="1"/>
    <xf numFmtId="10" fontId="5" fillId="6" borderId="1" xfId="0" applyNumberFormat="1" applyFont="1" applyFill="1" applyBorder="1"/>
    <xf numFmtId="0" fontId="8" fillId="0" borderId="0" xfId="0" applyFont="1" applyFill="1" applyBorder="1" applyAlignment="1">
      <alignment horizontal="right"/>
    </xf>
    <xf numFmtId="9" fontId="9" fillId="7" borderId="1" xfId="6" applyFont="1" applyFill="1" applyBorder="1"/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9" fontId="1" fillId="7" borderId="1" xfId="6" applyFont="1" applyFill="1" applyBorder="1"/>
    <xf numFmtId="0" fontId="0" fillId="0" borderId="8" xfId="0" applyFont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9" fontId="0" fillId="0" borderId="1" xfId="6" applyFont="1" applyBorder="1" applyAlignment="1">
      <alignment horizontal="right"/>
    </xf>
    <xf numFmtId="0" fontId="0" fillId="0" borderId="9" xfId="0" applyFont="1" applyBorder="1" applyAlignment="1">
      <alignment horizontal="center"/>
    </xf>
    <xf numFmtId="10" fontId="0" fillId="0" borderId="1" xfId="6" applyNumberFormat="1" applyFont="1" applyBorder="1" applyAlignment="1">
      <alignment horizontal="right"/>
    </xf>
    <xf numFmtId="0" fontId="0" fillId="0" borderId="1" xfId="0" applyFont="1" applyBorder="1" applyAlignment="1">
      <alignment horizontal="center" vertical="center"/>
    </xf>
    <xf numFmtId="10" fontId="2" fillId="0" borderId="1" xfId="6" applyNumberFormat="1" applyFont="1" applyBorder="1" applyAlignment="1">
      <alignment horizontal="right"/>
    </xf>
    <xf numFmtId="2" fontId="0" fillId="0" borderId="1" xfId="0" applyNumberFormat="1" applyFont="1" applyBorder="1" applyAlignment="1">
      <alignment horizontal="center"/>
    </xf>
    <xf numFmtId="0" fontId="2" fillId="0" borderId="4" xfId="0" applyFont="1" applyBorder="1" applyAlignment="1">
      <alignment horizontal="right"/>
    </xf>
    <xf numFmtId="10" fontId="2" fillId="0" borderId="5" xfId="6" applyNumberFormat="1" applyFont="1" applyBorder="1" applyAlignment="1">
      <alignment horizontal="right"/>
    </xf>
    <xf numFmtId="0" fontId="0" fillId="4" borderId="4" xfId="0" applyFont="1" applyFill="1" applyBorder="1" applyAlignment="1">
      <alignment horizontal="center"/>
    </xf>
    <xf numFmtId="10" fontId="2" fillId="0" borderId="1" xfId="0" applyNumberFormat="1" applyFont="1" applyBorder="1" applyAlignment="1">
      <alignment horizontal="right"/>
    </xf>
    <xf numFmtId="0" fontId="0" fillId="0" borderId="6" xfId="0" applyFont="1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182" fontId="2" fillId="0" borderId="1" xfId="0" applyNumberFormat="1" applyFont="1" applyBorder="1" applyAlignment="1">
      <alignment horizontal="right"/>
    </xf>
    <xf numFmtId="9" fontId="0" fillId="0" borderId="0" xfId="0" applyNumberFormat="1" applyFont="1"/>
    <xf numFmtId="0" fontId="5" fillId="0" borderId="1" xfId="0" applyFont="1" applyBorder="1" applyAlignment="1">
      <alignment horizontal="right"/>
    </xf>
    <xf numFmtId="1" fontId="1" fillId="7" borderId="1" xfId="6" applyNumberFormat="1" applyFont="1" applyFill="1" applyBorder="1"/>
    <xf numFmtId="0" fontId="0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9" fontId="0" fillId="7" borderId="1" xfId="6" applyFont="1" applyFill="1" applyBorder="1"/>
    <xf numFmtId="10" fontId="0" fillId="0" borderId="1" xfId="6" applyNumberFormat="1" applyFont="1" applyBorder="1" applyAlignment="1">
      <alignment horizontal="center"/>
    </xf>
    <xf numFmtId="10" fontId="5" fillId="0" borderId="1" xfId="0" applyNumberFormat="1" applyFont="1" applyBorder="1" applyAlignment="1">
      <alignment horizontal="right"/>
    </xf>
    <xf numFmtId="10" fontId="2" fillId="0" borderId="1" xfId="0" applyNumberFormat="1" applyFont="1" applyBorder="1" applyAlignment="1">
      <alignment horizontal="center"/>
    </xf>
    <xf numFmtId="0" fontId="0" fillId="0" borderId="11" xfId="0" applyFont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4" borderId="9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1" fontId="0" fillId="0" borderId="0" xfId="0" applyNumberFormat="1" applyFont="1"/>
    <xf numFmtId="0" fontId="0" fillId="0" borderId="0" xfId="0" applyFont="1" applyFill="1" applyBorder="1"/>
    <xf numFmtId="176" fontId="4" fillId="3" borderId="1" xfId="0" applyNumberFormat="1" applyFont="1" applyFill="1" applyBorder="1" applyAlignment="1">
      <alignment horizontal="center"/>
    </xf>
    <xf numFmtId="9" fontId="9" fillId="5" borderId="1" xfId="6" applyFont="1" applyFill="1" applyBorder="1" applyAlignment="1">
      <alignment horizontal="center"/>
    </xf>
    <xf numFmtId="0" fontId="10" fillId="0" borderId="1" xfId="0" applyFont="1" applyBorder="1" applyAlignment="1">
      <alignment horizontal="right"/>
    </xf>
    <xf numFmtId="10" fontId="11" fillId="8" borderId="1" xfId="0" applyNumberFormat="1" applyFont="1" applyFill="1" applyBorder="1"/>
    <xf numFmtId="9" fontId="11" fillId="5" borderId="1" xfId="6" applyFont="1" applyFill="1" applyBorder="1" applyAlignment="1">
      <alignment horizontal="center"/>
    </xf>
    <xf numFmtId="9" fontId="11" fillId="8" borderId="1" xfId="0" applyNumberFormat="1" applyFont="1" applyFill="1" applyBorder="1"/>
    <xf numFmtId="2" fontId="12" fillId="0" borderId="1" xfId="0" applyNumberFormat="1" applyFont="1" applyBorder="1"/>
    <xf numFmtId="0" fontId="12" fillId="0" borderId="1" xfId="0" applyFont="1" applyBorder="1"/>
    <xf numFmtId="180" fontId="12" fillId="0" borderId="1" xfId="0" applyNumberFormat="1" applyFont="1" applyBorder="1"/>
    <xf numFmtId="0" fontId="11" fillId="0" borderId="1" xfId="0" applyFont="1" applyBorder="1" applyAlignment="1">
      <alignment horizontal="center"/>
    </xf>
    <xf numFmtId="2" fontId="11" fillId="0" borderId="1" xfId="0" applyNumberFormat="1" applyFont="1" applyBorder="1"/>
    <xf numFmtId="0" fontId="11" fillId="0" borderId="1" xfId="0" applyFont="1" applyBorder="1"/>
    <xf numFmtId="0" fontId="13" fillId="0" borderId="1" xfId="0" applyFont="1" applyBorder="1" applyAlignment="1">
      <alignment horizontal="right"/>
    </xf>
    <xf numFmtId="182" fontId="10" fillId="0" borderId="1" xfId="0" applyNumberFormat="1" applyFont="1" applyBorder="1"/>
    <xf numFmtId="2" fontId="0" fillId="0" borderId="1" xfId="0" applyNumberFormat="1" applyBorder="1" applyAlignment="1">
      <alignment horizontal="center"/>
    </xf>
    <xf numFmtId="0" fontId="14" fillId="8" borderId="0" xfId="0" applyFont="1" applyFill="1"/>
    <xf numFmtId="0" fontId="0" fillId="0" borderId="0" xfId="0" applyBorder="1" applyAlignment="1">
      <alignment horizontal="right"/>
    </xf>
    <xf numFmtId="0" fontId="15" fillId="0" borderId="0" xfId="0" applyFont="1" applyBorder="1"/>
    <xf numFmtId="0" fontId="0" fillId="0" borderId="0" xfId="0" applyBorder="1" applyAlignment="1">
      <alignment horizontal="center"/>
    </xf>
    <xf numFmtId="0" fontId="16" fillId="9" borderId="1" xfId="0" applyFont="1" applyFill="1" applyBorder="1" applyAlignment="1">
      <alignment horizontal="right"/>
    </xf>
    <xf numFmtId="0" fontId="16" fillId="9" borderId="1" xfId="0" applyFont="1" applyFill="1" applyBorder="1"/>
    <xf numFmtId="0" fontId="0" fillId="9" borderId="1" xfId="0" applyFill="1" applyBorder="1"/>
    <xf numFmtId="182" fontId="0" fillId="9" borderId="1" xfId="0" applyNumberFormat="1" applyFill="1" applyBorder="1"/>
    <xf numFmtId="10" fontId="0" fillId="9" borderId="1" xfId="0" applyNumberFormat="1" applyFill="1" applyBorder="1"/>
    <xf numFmtId="0" fontId="15" fillId="8" borderId="1" xfId="0" applyFont="1" applyFill="1" applyBorder="1"/>
    <xf numFmtId="0" fontId="17" fillId="8" borderId="1" xfId="0" applyFont="1" applyFill="1" applyBorder="1"/>
    <xf numFmtId="0" fontId="0" fillId="8" borderId="1" xfId="0" applyFill="1" applyBorder="1"/>
    <xf numFmtId="182" fontId="0" fillId="8" borderId="1" xfId="0" applyNumberFormat="1" applyFill="1" applyBorder="1"/>
    <xf numFmtId="180" fontId="0" fillId="8" borderId="1" xfId="0" applyNumberFormat="1" applyFill="1" applyBorder="1"/>
    <xf numFmtId="180" fontId="16" fillId="8" borderId="1" xfId="0" applyNumberFormat="1" applyFont="1" applyFill="1" applyBorder="1"/>
    <xf numFmtId="180" fontId="17" fillId="8" borderId="1" xfId="0" applyNumberFormat="1" applyFont="1" applyFill="1" applyBorder="1"/>
    <xf numFmtId="0" fontId="0" fillId="8" borderId="0" xfId="0" applyFill="1"/>
    <xf numFmtId="0" fontId="18" fillId="8" borderId="0" xfId="0" applyFont="1" applyFill="1"/>
    <xf numFmtId="0" fontId="1" fillId="10" borderId="1" xfId="0" applyFont="1" applyFill="1" applyBorder="1" applyAlignment="1">
      <alignment wrapText="1"/>
    </xf>
    <xf numFmtId="0" fontId="0" fillId="10" borderId="1" xfId="0" applyFill="1" applyBorder="1"/>
    <xf numFmtId="182" fontId="0" fillId="10" borderId="1" xfId="0" applyNumberFormat="1" applyFill="1" applyBorder="1"/>
    <xf numFmtId="0" fontId="1" fillId="10" borderId="1" xfId="0" applyFont="1" applyFill="1" applyBorder="1"/>
    <xf numFmtId="0" fontId="0" fillId="11" borderId="0" xfId="0" applyFill="1"/>
    <xf numFmtId="0" fontId="0" fillId="0" borderId="0" xfId="0" applyFill="1" applyBorder="1"/>
    <xf numFmtId="10" fontId="0" fillId="0" borderId="0" xfId="6" applyNumberFormat="1" applyFont="1" applyBorder="1"/>
    <xf numFmtId="9" fontId="0" fillId="0" borderId="0" xfId="6" applyFont="1"/>
    <xf numFmtId="180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0" fontId="19" fillId="8" borderId="0" xfId="0" applyFont="1" applyFill="1"/>
    <xf numFmtId="9" fontId="0" fillId="6" borderId="0" xfId="0" applyNumberFormat="1" applyFill="1"/>
    <xf numFmtId="0" fontId="0" fillId="6" borderId="0" xfId="0" applyFill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0" fillId="6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180" fontId="0" fillId="8" borderId="1" xfId="2" applyFont="1" applyFill="1" applyBorder="1"/>
    <xf numFmtId="0" fontId="0" fillId="5" borderId="1" xfId="0" applyFill="1" applyBorder="1"/>
    <xf numFmtId="0" fontId="1" fillId="12" borderId="0" xfId="0" applyFont="1" applyFill="1" applyBorder="1"/>
    <xf numFmtId="9" fontId="1" fillId="12" borderId="1" xfId="0" applyNumberFormat="1" applyFont="1" applyFill="1" applyBorder="1"/>
    <xf numFmtId="0" fontId="1" fillId="12" borderId="1" xfId="0" applyFont="1" applyFill="1" applyBorder="1"/>
    <xf numFmtId="0" fontId="20" fillId="5" borderId="0" xfId="0" applyFont="1" applyFill="1"/>
    <xf numFmtId="0" fontId="0" fillId="5" borderId="0" xfId="0" applyFill="1"/>
    <xf numFmtId="0" fontId="1" fillId="8" borderId="1" xfId="0" applyFont="1" applyFill="1" applyBorder="1"/>
    <xf numFmtId="0" fontId="21" fillId="5" borderId="1" xfId="0" applyFont="1" applyFill="1" applyBorder="1"/>
    <xf numFmtId="9" fontId="0" fillId="5" borderId="1" xfId="0" applyNumberFormat="1" applyFill="1" applyBorder="1"/>
    <xf numFmtId="0" fontId="1" fillId="6" borderId="1" xfId="0" applyFont="1" applyFill="1" applyBorder="1"/>
    <xf numFmtId="0" fontId="1" fillId="0" borderId="1" xfId="0" applyFont="1" applyBorder="1"/>
    <xf numFmtId="0" fontId="0" fillId="0" borderId="1" xfId="0" applyBorder="1"/>
    <xf numFmtId="0" fontId="1" fillId="0" borderId="0" xfId="0" applyFont="1" applyFill="1" applyBorder="1"/>
    <xf numFmtId="0" fontId="20" fillId="6" borderId="0" xfId="0" applyFont="1" applyFill="1"/>
    <xf numFmtId="0" fontId="0" fillId="6" borderId="0" xfId="0" applyFill="1"/>
    <xf numFmtId="0" fontId="1" fillId="13" borderId="16" xfId="0" applyFont="1" applyFill="1" applyBorder="1"/>
    <xf numFmtId="0" fontId="1" fillId="13" borderId="16" xfId="0" applyFont="1" applyFill="1" applyBorder="1" applyAlignment="1">
      <alignment horizontal="center"/>
    </xf>
    <xf numFmtId="0" fontId="1" fillId="8" borderId="16" xfId="0" applyFont="1" applyFill="1" applyBorder="1" applyAlignment="1">
      <alignment wrapText="1"/>
    </xf>
    <xf numFmtId="0" fontId="1" fillId="13" borderId="16" xfId="0" applyFont="1" applyFill="1" applyBorder="1" applyAlignment="1">
      <alignment wrapText="1"/>
    </xf>
    <xf numFmtId="0" fontId="1" fillId="13" borderId="16" xfId="0" applyFont="1" applyFill="1" applyBorder="1" applyAlignment="1"/>
    <xf numFmtId="2" fontId="1" fillId="13" borderId="16" xfId="0" applyNumberFormat="1" applyFont="1" applyFill="1" applyBorder="1" applyAlignment="1"/>
    <xf numFmtId="0" fontId="0" fillId="0" borderId="0" xfId="0" applyAlignment="1"/>
    <xf numFmtId="0" fontId="1" fillId="8" borderId="16" xfId="0" applyFont="1" applyFill="1" applyBorder="1" applyAlignment="1"/>
    <xf numFmtId="182" fontId="1" fillId="8" borderId="16" xfId="0" applyNumberFormat="1" applyFont="1" applyFill="1" applyBorder="1" applyAlignment="1"/>
    <xf numFmtId="182" fontId="1" fillId="13" borderId="16" xfId="0" applyNumberFormat="1" applyFont="1" applyFill="1" applyBorder="1"/>
    <xf numFmtId="0" fontId="1" fillId="8" borderId="17" xfId="0" applyFont="1" applyFill="1" applyBorder="1"/>
    <xf numFmtId="182" fontId="1" fillId="8" borderId="16" xfId="0" applyNumberFormat="1" applyFont="1" applyFill="1" applyBorder="1"/>
    <xf numFmtId="0" fontId="1" fillId="14" borderId="1" xfId="0" applyFont="1" applyFill="1" applyBorder="1"/>
    <xf numFmtId="9" fontId="1" fillId="14" borderId="1" xfId="0" applyNumberFormat="1" applyFont="1" applyFill="1" applyBorder="1"/>
    <xf numFmtId="2" fontId="1" fillId="14" borderId="1" xfId="6" applyNumberFormat="1" applyFont="1" applyFill="1" applyBorder="1"/>
    <xf numFmtId="0" fontId="1" fillId="14" borderId="1" xfId="0" applyFont="1" applyFill="1" applyBorder="1" applyAlignment="1"/>
    <xf numFmtId="2" fontId="1" fillId="14" borderId="1" xfId="0" applyNumberFormat="1" applyFont="1" applyFill="1" applyBorder="1"/>
    <xf numFmtId="0" fontId="0" fillId="14" borderId="1" xfId="0" applyFill="1" applyBorder="1"/>
    <xf numFmtId="9" fontId="0" fillId="0" borderId="1" xfId="6" applyFont="1" applyBorder="1"/>
    <xf numFmtId="0" fontId="19" fillId="11" borderId="0" xfId="0" applyFont="1" applyFill="1"/>
    <xf numFmtId="176" fontId="4" fillId="3" borderId="1" xfId="0" applyNumberFormat="1" applyFont="1" applyFill="1" applyBorder="1"/>
    <xf numFmtId="182" fontId="1" fillId="0" borderId="0" xfId="0" applyNumberFormat="1" applyFont="1"/>
    <xf numFmtId="0" fontId="1" fillId="0" borderId="0" xfId="0" applyFont="1" applyAlignment="1">
      <alignment wrapText="1"/>
    </xf>
    <xf numFmtId="9" fontId="1" fillId="0" borderId="0" xfId="6" applyFont="1"/>
    <xf numFmtId="9" fontId="1" fillId="0" borderId="0" xfId="6" applyNumberFormat="1" applyFont="1"/>
    <xf numFmtId="0" fontId="1" fillId="0" borderId="1" xfId="0" applyFont="1" applyBorder="1" applyAlignment="1">
      <alignment wrapText="1"/>
    </xf>
    <xf numFmtId="9" fontId="1" fillId="0" borderId="1" xfId="0" applyNumberFormat="1" applyFont="1" applyBorder="1"/>
    <xf numFmtId="0" fontId="0" fillId="5" borderId="0" xfId="0" applyFont="1" applyFill="1"/>
    <xf numFmtId="0" fontId="0" fillId="12" borderId="0" xfId="0" applyFill="1"/>
    <xf numFmtId="2" fontId="0" fillId="0" borderId="0" xfId="0" applyNumberFormat="1"/>
    <xf numFmtId="182" fontId="0" fillId="0" borderId="0" xfId="0" applyNumberFormat="1"/>
    <xf numFmtId="181" fontId="0" fillId="0" borderId="0" xfId="0" applyNumberFormat="1"/>
    <xf numFmtId="176" fontId="4" fillId="15" borderId="0" xfId="0" applyNumberFormat="1" applyFont="1" applyFill="1"/>
    <xf numFmtId="0" fontId="4" fillId="15" borderId="0" xfId="0" applyFont="1" applyFill="1"/>
    <xf numFmtId="176" fontId="4" fillId="15" borderId="0" xfId="6" applyNumberFormat="1" applyFont="1" applyFill="1"/>
    <xf numFmtId="2" fontId="0" fillId="0" borderId="0" xfId="6" applyNumberFormat="1" applyFont="1"/>
    <xf numFmtId="9" fontId="0" fillId="0" borderId="0" xfId="6" applyNumberFormat="1" applyFont="1"/>
    <xf numFmtId="183" fontId="0" fillId="0" borderId="0" xfId="6" applyNumberFormat="1" applyFont="1"/>
    <xf numFmtId="176" fontId="4" fillId="3" borderId="0" xfId="0" applyNumberFormat="1" applyFont="1" applyFill="1"/>
    <xf numFmtId="0" fontId="0" fillId="16" borderId="0" xfId="0" applyFill="1"/>
    <xf numFmtId="9" fontId="0" fillId="16" borderId="0" xfId="0" applyNumberFormat="1" applyFill="1"/>
    <xf numFmtId="9" fontId="0" fillId="16" borderId="0" xfId="6" applyFont="1" applyFill="1"/>
    <xf numFmtId="9" fontId="0" fillId="5" borderId="1" xfId="6" applyFont="1" applyFill="1" applyBorder="1"/>
    <xf numFmtId="0" fontId="0" fillId="6" borderId="1" xfId="0" applyFill="1" applyBorder="1"/>
    <xf numFmtId="9" fontId="0" fillId="6" borderId="1" xfId="6" applyFont="1" applyFill="1" applyBorder="1"/>
    <xf numFmtId="0" fontId="0" fillId="6" borderId="4" xfId="0" applyFill="1" applyBorder="1"/>
    <xf numFmtId="0" fontId="22" fillId="6" borderId="18" xfId="0" applyFont="1" applyFill="1" applyBorder="1"/>
    <xf numFmtId="0" fontId="22" fillId="6" borderId="19" xfId="0" applyFont="1" applyFill="1" applyBorder="1"/>
    <xf numFmtId="0" fontId="22" fillId="6" borderId="0" xfId="0" applyFont="1" applyFill="1" applyBorder="1"/>
    <xf numFmtId="0" fontId="0" fillId="0" borderId="0" xfId="0" applyBorder="1"/>
    <xf numFmtId="1" fontId="0" fillId="0" borderId="0" xfId="0" applyNumberFormat="1"/>
    <xf numFmtId="0" fontId="0" fillId="5" borderId="1" xfId="0" applyFill="1" applyBorder="1" applyAlignment="1">
      <alignment vertical="center"/>
    </xf>
    <xf numFmtId="0" fontId="23" fillId="0" borderId="1" xfId="0" applyFont="1" applyBorder="1"/>
    <xf numFmtId="0" fontId="23" fillId="0" borderId="20" xfId="0" applyFont="1" applyBorder="1"/>
    <xf numFmtId="0" fontId="23" fillId="12" borderId="1" xfId="0" applyFont="1" applyFill="1" applyBorder="1"/>
    <xf numFmtId="182" fontId="0" fillId="12" borderId="1" xfId="0" applyNumberFormat="1" applyFill="1" applyBorder="1"/>
    <xf numFmtId="2" fontId="0" fillId="12" borderId="1" xfId="0" applyNumberFormat="1" applyFill="1" applyBorder="1"/>
    <xf numFmtId="0" fontId="1" fillId="17" borderId="20" xfId="0" applyFont="1" applyFill="1" applyBorder="1" applyAlignment="1">
      <alignment horizontal="center"/>
    </xf>
    <xf numFmtId="180" fontId="1" fillId="5" borderId="0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80" fontId="0" fillId="0" borderId="21" xfId="0" applyNumberFormat="1" applyBorder="1"/>
    <xf numFmtId="10" fontId="0" fillId="0" borderId="22" xfId="0" applyNumberFormat="1" applyBorder="1"/>
    <xf numFmtId="180" fontId="0" fillId="0" borderId="23" xfId="0" applyNumberFormat="1" applyBorder="1"/>
    <xf numFmtId="10" fontId="0" fillId="0" borderId="0" xfId="0" applyNumberFormat="1" applyBorder="1"/>
    <xf numFmtId="180" fontId="0" fillId="18" borderId="24" xfId="0" applyNumberFormat="1" applyFill="1" applyBorder="1"/>
    <xf numFmtId="10" fontId="0" fillId="18" borderId="25" xfId="0" applyNumberFormat="1" applyFill="1" applyBorder="1"/>
    <xf numFmtId="0" fontId="1" fillId="0" borderId="23" xfId="0" applyFont="1" applyBorder="1"/>
    <xf numFmtId="0" fontId="4" fillId="19" borderId="23" xfId="0" applyFont="1" applyFill="1" applyBorder="1"/>
    <xf numFmtId="10" fontId="24" fillId="19" borderId="0" xfId="0" applyNumberFormat="1" applyFont="1" applyFill="1" applyBorder="1"/>
    <xf numFmtId="0" fontId="25" fillId="0" borderId="23" xfId="0" applyFont="1" applyBorder="1"/>
    <xf numFmtId="10" fontId="26" fillId="0" borderId="0" xfId="0" applyNumberFormat="1" applyFont="1"/>
    <xf numFmtId="0" fontId="0" fillId="0" borderId="23" xfId="0" applyBorder="1"/>
    <xf numFmtId="0" fontId="4" fillId="19" borderId="17" xfId="0" applyFont="1" applyFill="1" applyBorder="1"/>
    <xf numFmtId="10" fontId="24" fillId="19" borderId="26" xfId="0" applyNumberFormat="1" applyFont="1" applyFill="1" applyBorder="1"/>
    <xf numFmtId="10" fontId="0" fillId="0" borderId="27" xfId="0" applyNumberFormat="1" applyBorder="1"/>
    <xf numFmtId="10" fontId="26" fillId="0" borderId="27" xfId="0" applyNumberFormat="1" applyFont="1" applyBorder="1"/>
    <xf numFmtId="0" fontId="1" fillId="0" borderId="0" xfId="0" applyFont="1" applyBorder="1"/>
    <xf numFmtId="0" fontId="0" fillId="0" borderId="0" xfId="0" applyFont="1" applyBorder="1"/>
    <xf numFmtId="0" fontId="4" fillId="3" borderId="0" xfId="0" applyFont="1" applyFill="1" applyBorder="1"/>
    <xf numFmtId="180" fontId="0" fillId="0" borderId="0" xfId="2" applyNumberFormat="1" applyFont="1" applyBorder="1" applyAlignment="1">
      <alignment horizontal="center"/>
    </xf>
    <xf numFmtId="180" fontId="1" fillId="0" borderId="0" xfId="2" applyNumberFormat="1" applyFont="1" applyBorder="1" applyAlignment="1">
      <alignment horizontal="center"/>
    </xf>
    <xf numFmtId="180" fontId="0" fillId="0" borderId="0" xfId="2" applyNumberFormat="1" applyFont="1" applyBorder="1"/>
    <xf numFmtId="9" fontId="1" fillId="0" borderId="0" xfId="6" applyFont="1" applyBorder="1"/>
    <xf numFmtId="0" fontId="1" fillId="0" borderId="0" xfId="0" applyFont="1" applyFill="1" applyBorder="1" applyAlignment="1"/>
    <xf numFmtId="0" fontId="0" fillId="12" borderId="0" xfId="0" applyFill="1" applyBorder="1" applyAlignment="1">
      <alignment wrapText="1"/>
    </xf>
    <xf numFmtId="0" fontId="27" fillId="20" borderId="0" xfId="0" applyFont="1" applyFill="1" applyAlignment="1">
      <alignment horizontal="right" vertical="center" wrapText="1"/>
    </xf>
    <xf numFmtId="181" fontId="0" fillId="0" borderId="0" xfId="0" applyNumberFormat="1" applyFont="1" applyBorder="1"/>
    <xf numFmtId="180" fontId="0" fillId="0" borderId="0" xfId="0" applyNumberFormat="1" applyFont="1" applyBorder="1"/>
    <xf numFmtId="9" fontId="0" fillId="0" borderId="0" xfId="6" applyFont="1" applyBorder="1"/>
    <xf numFmtId="181" fontId="1" fillId="0" borderId="0" xfId="0" applyNumberFormat="1" applyFont="1" applyBorder="1"/>
    <xf numFmtId="0" fontId="2" fillId="0" borderId="0" xfId="0" applyFont="1" applyFill="1" applyBorder="1"/>
    <xf numFmtId="10" fontId="0" fillId="0" borderId="0" xfId="0" applyNumberFormat="1" applyFont="1" applyBorder="1"/>
    <xf numFmtId="2" fontId="0" fillId="0" borderId="0" xfId="0" applyNumberFormat="1" applyFont="1" applyBorder="1"/>
    <xf numFmtId="0" fontId="0" fillId="0" borderId="0" xfId="0" applyBorder="1" applyAlignment="1">
      <alignment horizontal="left"/>
    </xf>
    <xf numFmtId="9" fontId="0" fillId="0" borderId="0" xfId="0" applyNumberFormat="1" applyFont="1" applyBorder="1"/>
    <xf numFmtId="0" fontId="0" fillId="0" borderId="0" xfId="0" applyFill="1" applyBorder="1" applyAlignment="1">
      <alignment horizontal="left"/>
    </xf>
    <xf numFmtId="180" fontId="0" fillId="0" borderId="0" xfId="0" applyNumberFormat="1" applyFont="1" applyBorder="1" applyAlignment="1">
      <alignment horizontal="left"/>
    </xf>
    <xf numFmtId="0" fontId="28" fillId="0" borderId="0" xfId="0" applyFont="1" applyFill="1" applyBorder="1" applyAlignment="1"/>
    <xf numFmtId="0" fontId="4" fillId="3" borderId="0" xfId="0" applyFont="1" applyFill="1" applyBorder="1" applyAlignment="1">
      <alignment horizontal="center"/>
    </xf>
    <xf numFmtId="9" fontId="0" fillId="0" borderId="0" xfId="2" applyNumberFormat="1" applyFont="1" applyBorder="1"/>
    <xf numFmtId="180" fontId="4" fillId="21" borderId="0" xfId="33" applyNumberFormat="1" applyFont="1" applyBorder="1"/>
    <xf numFmtId="180" fontId="4" fillId="22" borderId="0" xfId="22" applyNumberFormat="1" applyFont="1" applyBorder="1"/>
    <xf numFmtId="10" fontId="1" fillId="0" borderId="0" xfId="0" applyNumberFormat="1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name val="Calibri"/>
        <scheme val="none"/>
        <b val="0"/>
        <i val="0"/>
        <strike val="0"/>
        <u val="none"/>
        <sz val="11"/>
        <color theme="1"/>
      </font>
    </dxf>
    <dxf>
      <font>
        <b val="1"/>
        <i val="0"/>
        <color theme="0"/>
      </font>
      <fill>
        <patternFill patternType="solid">
          <bgColor theme="5"/>
        </patternFill>
      </fill>
    </dxf>
  </dxfs>
  <tableStyles count="0" defaultTableStyle="TableStyleMedium9" defaultPivotStyle="PivotStyleLight16"/>
  <colors>
    <mruColors>
      <color rgb="000275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'Moat Assessment Sheet'!$A$2</c:f>
              <c:strCache>
                <c:ptCount val="1"/>
                <c:pt idx="0">
                  <c:v>GP Margin</c:v>
                </c:pt>
              </c:strCache>
            </c:strRef>
          </c:tx>
          <c:invertIfNegative val="0"/>
          <c:dLbls>
            <c:delete val="1"/>
          </c:dLbls>
          <c:val>
            <c:numRef>
              <c:f>'Moat Assessment Sheet'!$B$2:$K$2</c:f>
              <c:numCache>
                <c:formatCode>0%</c:formatCode>
                <c:ptCount val="10"/>
                <c:pt idx="0">
                  <c:v>0.431551216488455</c:v>
                </c:pt>
                <c:pt idx="1">
                  <c:v>0.401801278326554</c:v>
                </c:pt>
                <c:pt idx="2">
                  <c:v>0.395384920706515</c:v>
                </c:pt>
                <c:pt idx="3">
                  <c:v>0.398373866950139</c:v>
                </c:pt>
                <c:pt idx="4">
                  <c:v>0.408420043279385</c:v>
                </c:pt>
                <c:pt idx="5">
                  <c:v>0.530374831603138</c:v>
                </c:pt>
                <c:pt idx="6">
                  <c:v>0.530969584419232</c:v>
                </c:pt>
                <c:pt idx="7">
                  <c:v>0.482567700909988</c:v>
                </c:pt>
                <c:pt idx="8">
                  <c:v>0.534452798070785</c:v>
                </c:pt>
                <c:pt idx="9">
                  <c:v>0.583319564182064</c:v>
                </c:pt>
              </c:numCache>
            </c:numRef>
          </c:val>
        </c:ser>
        <c:ser>
          <c:idx val="1"/>
          <c:order val="1"/>
          <c:tx>
            <c:strRef>
              <c:f>'Moat Assessment Sheet'!$A$3</c:f>
              <c:strCache>
                <c:ptCount val="1"/>
                <c:pt idx="0">
                  <c:v>Ebitda Margin</c:v>
                </c:pt>
              </c:strCache>
            </c:strRef>
          </c:tx>
          <c:invertIfNegative val="0"/>
          <c:dLbls>
            <c:delete val="1"/>
          </c:dLbls>
          <c:val>
            <c:numRef>
              <c:f>'Moat Assessment Sheet'!$B$3:$K$3</c:f>
              <c:numCache>
                <c:formatCode>0%</c:formatCode>
                <c:ptCount val="10"/>
                <c:pt idx="0">
                  <c:v>0.216116534944987</c:v>
                </c:pt>
                <c:pt idx="1">
                  <c:v>0.212354176909668</c:v>
                </c:pt>
                <c:pt idx="2">
                  <c:v>0.217114402727912</c:v>
                </c:pt>
                <c:pt idx="3">
                  <c:v>0.219628517661931</c:v>
                </c:pt>
                <c:pt idx="4">
                  <c:v>0.248895339043448</c:v>
                </c:pt>
                <c:pt idx="5">
                  <c:v>0.327728029162374</c:v>
                </c:pt>
                <c:pt idx="6">
                  <c:v>0.339955367593127</c:v>
                </c:pt>
                <c:pt idx="7">
                  <c:v>0.271749259949567</c:v>
                </c:pt>
                <c:pt idx="8">
                  <c:v>0.376808638910561</c:v>
                </c:pt>
                <c:pt idx="9">
                  <c:v>0.40323850437859</c:v>
                </c:pt>
              </c:numCache>
            </c:numRef>
          </c:val>
        </c:ser>
        <c:ser>
          <c:idx val="2"/>
          <c:order val="2"/>
          <c:tx>
            <c:strRef>
              <c:f>'Moat Assessment Sheet'!$A$4</c:f>
              <c:strCache>
                <c:ptCount val="1"/>
                <c:pt idx="0">
                  <c:v>Net Profit Margin</c:v>
                </c:pt>
              </c:strCache>
            </c:strRef>
          </c:tx>
          <c:invertIfNegative val="0"/>
          <c:dLbls>
            <c:delete val="1"/>
          </c:dLbls>
          <c:val>
            <c:numRef>
              <c:f>'Moat Assessment Sheet'!$B$4:$K$4</c:f>
              <c:numCache>
                <c:formatCode>0%</c:formatCode>
                <c:ptCount val="10"/>
                <c:pt idx="0">
                  <c:v>0.16107236944057</c:v>
                </c:pt>
                <c:pt idx="1">
                  <c:v>0.122491395878961</c:v>
                </c:pt>
                <c:pt idx="2">
                  <c:v>0.123874645930684</c:v>
                </c:pt>
                <c:pt idx="3">
                  <c:v>0.123755620358266</c:v>
                </c:pt>
                <c:pt idx="4">
                  <c:v>0.15003952159434</c:v>
                </c:pt>
                <c:pt idx="5">
                  <c:v>0.208526824629527</c:v>
                </c:pt>
                <c:pt idx="6">
                  <c:v>0.218917273989919</c:v>
                </c:pt>
                <c:pt idx="7">
                  <c:v>0.197182326499287</c:v>
                </c:pt>
                <c:pt idx="8">
                  <c:v>0.25045215972764</c:v>
                </c:pt>
                <c:pt idx="9">
                  <c:v>0.32445304071457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32096"/>
        <c:axId val="159733632"/>
      </c:barChart>
      <c:catAx>
        <c:axId val="1597320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9733632"/>
        <c:crosses val="autoZero"/>
        <c:auto val="1"/>
        <c:lblAlgn val="ctr"/>
        <c:lblOffset val="100"/>
        <c:noMultiLvlLbl val="0"/>
      </c:catAx>
      <c:valAx>
        <c:axId val="1597336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97320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Return</a:t>
            </a:r>
            <a:r>
              <a:rPr lang="en-IN" baseline="0"/>
              <a:t> Ratios</a:t>
            </a:r>
            <a:endParaRPr lang="en-IN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'Moat Assessment Sheet'!$A$5</c:f>
              <c:strCache>
                <c:ptCount val="1"/>
                <c:pt idx="0">
                  <c:v>ROIC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'Moat Assessment Sheet'!$B$5:$K$5</c:f>
              <c:numCache>
                <c:formatCode>0%</c:formatCode>
                <c:ptCount val="10"/>
                <c:pt idx="0">
                  <c:v>0.262363119873102</c:v>
                </c:pt>
                <c:pt idx="1">
                  <c:v>0.169533351621486</c:v>
                </c:pt>
                <c:pt idx="2">
                  <c:v>0.159650886165745</c:v>
                </c:pt>
                <c:pt idx="3">
                  <c:v>0.208462129518734</c:v>
                </c:pt>
                <c:pt idx="4">
                  <c:v>0.244946765088563</c:v>
                </c:pt>
                <c:pt idx="5">
                  <c:v>0.235246125643041</c:v>
                </c:pt>
                <c:pt idx="6">
                  <c:v>0.208319874661359</c:v>
                </c:pt>
                <c:pt idx="7">
                  <c:v>0.179111377313</c:v>
                </c:pt>
                <c:pt idx="8">
                  <c:v>0.269145929445812</c:v>
                </c:pt>
                <c:pt idx="9">
                  <c:v>0.262106667789965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'Moat Assessment Sheet'!$A$6</c:f>
              <c:strCache>
                <c:ptCount val="1"/>
                <c:pt idx="0">
                  <c:v>ROCE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'Moat Assessment Sheet'!$B$6:$K$6</c:f>
              <c:numCache>
                <c:formatCode>0%</c:formatCode>
                <c:ptCount val="10"/>
                <c:pt idx="0">
                  <c:v>0</c:v>
                </c:pt>
                <c:pt idx="1">
                  <c:v>0.312874767385761</c:v>
                </c:pt>
                <c:pt idx="2">
                  <c:v>0.272366113503776</c:v>
                </c:pt>
                <c:pt idx="3">
                  <c:v>0.308877545650687</c:v>
                </c:pt>
                <c:pt idx="4">
                  <c:v>0.377466529351184</c:v>
                </c:pt>
                <c:pt idx="5">
                  <c:v>0.359305119201626</c:v>
                </c:pt>
                <c:pt idx="6">
                  <c:v>0.329929338117896</c:v>
                </c:pt>
                <c:pt idx="7">
                  <c:v>0.275130504617856</c:v>
                </c:pt>
                <c:pt idx="8">
                  <c:v>0.457909932880873</c:v>
                </c:pt>
                <c:pt idx="9">
                  <c:v>0.365534196820176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'Moat Assessment Sheet'!$A$7</c:f>
              <c:strCache>
                <c:ptCount val="1"/>
                <c:pt idx="0">
                  <c:v>ROE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'Moat Assessment Sheet'!$B$7:$K$7</c:f>
              <c:numCache>
                <c:formatCode>0%</c:formatCode>
                <c:ptCount val="10"/>
                <c:pt idx="0">
                  <c:v>0.36168139745285</c:v>
                </c:pt>
                <c:pt idx="1">
                  <c:v>0.293070259865255</c:v>
                </c:pt>
                <c:pt idx="2">
                  <c:v>0.284612833692588</c:v>
                </c:pt>
                <c:pt idx="3">
                  <c:v>0.277840487631825</c:v>
                </c:pt>
                <c:pt idx="4">
                  <c:v>0.26676650155512</c:v>
                </c:pt>
                <c:pt idx="5">
                  <c:v>0.243296719553238</c:v>
                </c:pt>
                <c:pt idx="6">
                  <c:v>0.206291083954648</c:v>
                </c:pt>
                <c:pt idx="7">
                  <c:v>0.180601754804373</c:v>
                </c:pt>
                <c:pt idx="8">
                  <c:v>0.268710524313218</c:v>
                </c:pt>
                <c:pt idx="9">
                  <c:v>0.260917141494908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59121408"/>
        <c:axId val="159122944"/>
      </c:lineChart>
      <c:catAx>
        <c:axId val="15912140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9122944"/>
        <c:crosses val="autoZero"/>
        <c:auto val="1"/>
        <c:lblAlgn val="ctr"/>
        <c:lblOffset val="100"/>
        <c:noMultiLvlLbl val="0"/>
      </c:catAx>
      <c:valAx>
        <c:axId val="1591229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9121408"/>
        <c:crosses val="autoZero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1">
                    <a:lumMod val="75000"/>
                  </a:schemeClr>
                </a:solidFill>
              </a:rPr>
              <a:t>Future</a:t>
            </a:r>
            <a:r>
              <a:rPr lang="en-IN" baseline="0">
                <a:solidFill>
                  <a:schemeClr val="accent1">
                    <a:lumMod val="75000"/>
                  </a:schemeClr>
                </a:solidFill>
              </a:rPr>
              <a:t> Value </a:t>
            </a:r>
            <a:r>
              <a:rPr lang="en-IN" baseline="0"/>
              <a:t>vs </a:t>
            </a:r>
            <a:r>
              <a:rPr lang="en-IN" baseline="0">
                <a:solidFill>
                  <a:schemeClr val="accent2"/>
                </a:solidFill>
              </a:rPr>
              <a:t>Cigar butt</a:t>
            </a:r>
            <a:r>
              <a:rPr lang="en-IN">
                <a:solidFill>
                  <a:schemeClr val="accent2"/>
                </a:solidFill>
              </a:rPr>
              <a:t> </a:t>
            </a:r>
            <a:endParaRPr lang="en-IN">
              <a:solidFill>
                <a:schemeClr val="accent2"/>
              </a:solidFill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  <c:explosion val="45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'DCF SHEET'!$K$4:$K$5</c:f>
              <c:numCache>
                <c:formatCode>_ * #,##0.00_ ;_ * \-#,##0.00_ ;_ * "-"??_ ;_ @_ </c:formatCode>
                <c:ptCount val="2"/>
                <c:pt idx="0">
                  <c:v>1111.26137036146</c:v>
                </c:pt>
                <c:pt idx="1" c:formatCode="General">
                  <c:v>463.977588307421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</xdr:colOff>
      <xdr:row>8</xdr:row>
      <xdr:rowOff>95250</xdr:rowOff>
    </xdr:from>
    <xdr:to>
      <xdr:col>8</xdr:col>
      <xdr:colOff>180975</xdr:colOff>
      <xdr:row>25</xdr:row>
      <xdr:rowOff>104775</xdr:rowOff>
    </xdr:to>
    <xdr:graphicFrame>
      <xdr:nvGraphicFramePr>
        <xdr:cNvPr id="3" name="Chart 2"/>
        <xdr:cNvGraphicFramePr/>
      </xdr:nvGraphicFramePr>
      <xdr:xfrm>
        <a:off x="28575" y="1924050"/>
        <a:ext cx="7296150" cy="3118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247649</xdr:colOff>
      <xdr:row>8</xdr:row>
      <xdr:rowOff>180975</xdr:rowOff>
    </xdr:from>
    <xdr:to>
      <xdr:col>15</xdr:col>
      <xdr:colOff>666749</xdr:colOff>
      <xdr:row>25</xdr:row>
      <xdr:rowOff>114300</xdr:rowOff>
    </xdr:to>
    <xdr:graphicFrame>
      <xdr:nvGraphicFramePr>
        <xdr:cNvPr id="4" name="Chart 3"/>
        <xdr:cNvGraphicFramePr/>
      </xdr:nvGraphicFramePr>
      <xdr:xfrm>
        <a:off x="7390765" y="2009775"/>
        <a:ext cx="6717030" cy="3042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145677</xdr:colOff>
      <xdr:row>1</xdr:row>
      <xdr:rowOff>22412</xdr:rowOff>
    </xdr:from>
    <xdr:to>
      <xdr:col>17</xdr:col>
      <xdr:colOff>112059</xdr:colOff>
      <xdr:row>11</xdr:row>
      <xdr:rowOff>224117</xdr:rowOff>
    </xdr:to>
    <xdr:graphicFrame>
      <xdr:nvGraphicFramePr>
        <xdr:cNvPr id="2" name="Chart 1"/>
        <xdr:cNvGraphicFramePr/>
      </xdr:nvGraphicFramePr>
      <xdr:xfrm>
        <a:off x="11141075" y="205105"/>
        <a:ext cx="3601085" cy="2693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888656</xdr:colOff>
      <xdr:row>14</xdr:row>
      <xdr:rowOff>56030</xdr:rowOff>
    </xdr:from>
    <xdr:ext cx="3096000" cy="889369"/>
    <xdr:sp>
      <xdr:nvSpPr>
        <xdr:cNvPr id="3" name="Rectangle 2"/>
        <xdr:cNvSpPr/>
      </xdr:nvSpPr>
      <xdr:spPr>
        <a:xfrm>
          <a:off x="5071745" y="3431540"/>
          <a:ext cx="3096260" cy="88900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endParaRPr lang="en-US" sz="54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1" name="Annual" displayName="Annual" ref="A3:N21" headerRowCount="0" totalsRowShown="0">
  <tableColumns count="14">
    <tableColumn id="1" name="Column1" dataDxfId="0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 dataDxfId="1"/>
    <tableColumn id="14" name="Column14" dataDxfId="2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screener.in/" TargetMode="External"/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screener.in/" TargetMode="Externa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N41"/>
  <sheetViews>
    <sheetView zoomScale="120" zoomScaleNormal="120" zoomScalePageLayoutView="120" workbookViewId="0">
      <pane xSplit="1" ySplit="4" topLeftCell="B5" activePane="bottomRight" state="frozen"/>
      <selection/>
      <selection pane="topRight"/>
      <selection pane="bottomLeft"/>
      <selection pane="bottomRight" activeCell="B10" sqref="B10"/>
    </sheetView>
  </sheetViews>
  <sheetFormatPr defaultColWidth="8.83333333333333" defaultRowHeight="14.4"/>
  <cols>
    <col min="1" max="1" width="22.8333333333333" style="220" customWidth="1"/>
    <col min="2" max="6" width="13.5" style="220" customWidth="1"/>
    <col min="7" max="7" width="14.8333333333333" style="220" customWidth="1"/>
    <col min="8" max="11" width="13.5" style="220" customWidth="1"/>
    <col min="12" max="12" width="13.3333333333333" style="220" customWidth="1"/>
    <col min="13" max="14" width="12.1666666666667" style="220" customWidth="1"/>
    <col min="15" max="16384" width="8.83333333333333" style="220"/>
  </cols>
  <sheetData>
    <row r="1" s="219" customFormat="1" spans="1:13">
      <c r="A1" s="219" t="str">
        <f>'Data Sheet'!B1</f>
        <v>VINATI ORGANICS LTD</v>
      </c>
      <c r="H1" t="str">
        <f>UPDATE</f>
        <v/>
      </c>
      <c r="J1" s="240"/>
      <c r="K1" s="240"/>
      <c r="M1" s="219" t="s">
        <v>0</v>
      </c>
    </row>
    <row r="3" s="139" customFormat="1" spans="1:14">
      <c r="A3" s="221" t="s">
        <v>1</v>
      </c>
      <c r="B3" s="7">
        <f>'Data Sheet'!B16</f>
        <v>40633</v>
      </c>
      <c r="C3" s="7">
        <f>'Data Sheet'!C16</f>
        <v>40999</v>
      </c>
      <c r="D3" s="7">
        <f>'Data Sheet'!D16</f>
        <v>41364</v>
      </c>
      <c r="E3" s="7">
        <f>'Data Sheet'!E16</f>
        <v>41729</v>
      </c>
      <c r="F3" s="7">
        <f>'Data Sheet'!F16</f>
        <v>42094</v>
      </c>
      <c r="G3" s="7">
        <f>'Data Sheet'!G16</f>
        <v>42460</v>
      </c>
      <c r="H3" s="7">
        <f>'Data Sheet'!H16</f>
        <v>42825</v>
      </c>
      <c r="I3" s="7">
        <f>'Data Sheet'!I16</f>
        <v>43190</v>
      </c>
      <c r="J3" s="7">
        <f>'Data Sheet'!J16</f>
        <v>43555</v>
      </c>
      <c r="K3" s="7">
        <f>'Data Sheet'!K16</f>
        <v>43921</v>
      </c>
      <c r="L3" s="241" t="s">
        <v>2</v>
      </c>
      <c r="M3" s="241" t="s">
        <v>3</v>
      </c>
      <c r="N3" s="241" t="s">
        <v>4</v>
      </c>
    </row>
    <row r="4" s="219" customFormat="1" spans="1:14">
      <c r="A4" s="219" t="s">
        <v>5</v>
      </c>
      <c r="B4" s="1">
        <f>'Data Sheet'!B17</f>
        <v>322.65</v>
      </c>
      <c r="C4" s="1">
        <f>'Data Sheet'!C17</f>
        <v>447.46</v>
      </c>
      <c r="D4" s="1">
        <f>'Data Sheet'!D17</f>
        <v>554.27</v>
      </c>
      <c r="E4" s="1">
        <f>'Data Sheet'!E17</f>
        <v>696.13</v>
      </c>
      <c r="F4" s="1">
        <f>'Data Sheet'!F17</f>
        <v>771.73</v>
      </c>
      <c r="G4" s="1">
        <f>'Data Sheet'!G17</f>
        <v>630.95</v>
      </c>
      <c r="H4" s="1">
        <f>'Data Sheet'!H17</f>
        <v>640.79</v>
      </c>
      <c r="I4" s="1">
        <f>'Data Sheet'!I17</f>
        <v>729.68</v>
      </c>
      <c r="J4" s="1">
        <f>'Data Sheet'!J17</f>
        <v>1127.92</v>
      </c>
      <c r="K4" s="1">
        <f>'Data Sheet'!K17</f>
        <v>1028.87</v>
      </c>
      <c r="L4" s="1">
        <f>SUM(Quarters!H4:K4)</f>
        <v>919.82</v>
      </c>
      <c r="M4" s="1">
        <f>$K4+M23*K4</f>
        <v>1204.78281370702</v>
      </c>
      <c r="N4" s="1">
        <f>$K4+N23*L4</f>
        <v>948.094616107525</v>
      </c>
    </row>
    <row r="5" spans="1:14">
      <c r="A5" s="220" t="s">
        <v>6</v>
      </c>
      <c r="B5" s="3">
        <f>SUM('Data Sheet'!B18,'Data Sheet'!B20:B24,-1*'Data Sheet'!B19)</f>
        <v>252.92</v>
      </c>
      <c r="C5" s="3">
        <f>SUM('Data Sheet'!C18,'Data Sheet'!C20:C24,-1*'Data Sheet'!C19)</f>
        <v>352.44</v>
      </c>
      <c r="D5" s="3">
        <f>SUM('Data Sheet'!D18,'Data Sheet'!D20:D24,-1*'Data Sheet'!D19)</f>
        <v>433.93</v>
      </c>
      <c r="E5" s="3">
        <f>SUM('Data Sheet'!E18,'Data Sheet'!E20:E24,-1*'Data Sheet'!E19)</f>
        <v>543.24</v>
      </c>
      <c r="F5" s="3">
        <f>SUM('Data Sheet'!F18,'Data Sheet'!F20:F24,-1*'Data Sheet'!F19)</f>
        <v>579.65</v>
      </c>
      <c r="G5" s="3">
        <f>SUM('Data Sheet'!G18,'Data Sheet'!G20:G24,-1*'Data Sheet'!G19)</f>
        <v>424.17</v>
      </c>
      <c r="H5" s="3">
        <f>SUM('Data Sheet'!H18,'Data Sheet'!H20:H24,-1*'Data Sheet'!H19)</f>
        <v>422.95</v>
      </c>
      <c r="I5" s="3">
        <f>SUM('Data Sheet'!I18,'Data Sheet'!I20:I24,-1*'Data Sheet'!I19)</f>
        <v>531.39</v>
      </c>
      <c r="J5" s="3">
        <f>SUM('Data Sheet'!J18,'Data Sheet'!J20:J24,-1*'Data Sheet'!J19)</f>
        <v>702.91</v>
      </c>
      <c r="K5" s="3">
        <f>SUM('Data Sheet'!K18,'Data Sheet'!K20:K24,-1*'Data Sheet'!K19)</f>
        <v>613.99</v>
      </c>
      <c r="L5" s="3">
        <f>SUM(Quarters!H5:K5)</f>
        <v>564.76</v>
      </c>
      <c r="M5" s="3">
        <f t="shared" ref="M5:N5" si="0">M4-M6</f>
        <v>739.724230685544</v>
      </c>
      <c r="N5" s="3">
        <f t="shared" si="0"/>
        <v>662.612482106591</v>
      </c>
    </row>
    <row r="6" s="219" customFormat="1" spans="1:14">
      <c r="A6" s="219" t="s">
        <v>7</v>
      </c>
      <c r="B6" s="1">
        <f>B4-B5</f>
        <v>69.7299999999999</v>
      </c>
      <c r="C6" s="1">
        <f t="shared" ref="C6:K6" si="1">C4-C5</f>
        <v>95.02</v>
      </c>
      <c r="D6" s="1">
        <f t="shared" si="1"/>
        <v>120.34</v>
      </c>
      <c r="E6" s="1">
        <f t="shared" si="1"/>
        <v>152.89</v>
      </c>
      <c r="F6" s="1">
        <f t="shared" si="1"/>
        <v>192.08</v>
      </c>
      <c r="G6" s="1">
        <f t="shared" si="1"/>
        <v>206.78</v>
      </c>
      <c r="H6" s="1">
        <f t="shared" si="1"/>
        <v>217.84</v>
      </c>
      <c r="I6" s="1">
        <f t="shared" si="1"/>
        <v>198.29</v>
      </c>
      <c r="J6" s="1">
        <f t="shared" si="1"/>
        <v>425.01</v>
      </c>
      <c r="K6" s="1">
        <f t="shared" si="1"/>
        <v>414.88</v>
      </c>
      <c r="L6" s="1">
        <f>SUM(Quarters!H6:K6)</f>
        <v>355.06</v>
      </c>
      <c r="M6" s="1">
        <f>M4*M24</f>
        <v>465.058583021477</v>
      </c>
      <c r="N6" s="1">
        <f>N4*N24</f>
        <v>285.482134000935</v>
      </c>
    </row>
    <row r="7" spans="1:14">
      <c r="A7" s="220" t="s">
        <v>8</v>
      </c>
      <c r="B7" s="3">
        <f>'Data Sheet'!B25</f>
        <v>6.34</v>
      </c>
      <c r="C7" s="3">
        <f>'Data Sheet'!C25</f>
        <v>2.8</v>
      </c>
      <c r="D7" s="3">
        <f>'Data Sheet'!D25</f>
        <v>3.76</v>
      </c>
      <c r="E7" s="3">
        <f>'Data Sheet'!E25</f>
        <v>9.17</v>
      </c>
      <c r="F7" s="3">
        <f>'Data Sheet'!F25</f>
        <v>8.84</v>
      </c>
      <c r="G7" s="3">
        <f>'Data Sheet'!G25</f>
        <v>6.16</v>
      </c>
      <c r="H7" s="3">
        <f>'Data Sheet'!H25</f>
        <v>12.48</v>
      </c>
      <c r="I7" s="3">
        <f>'Data Sheet'!I25</f>
        <v>30.62</v>
      </c>
      <c r="J7" s="3">
        <f>'Data Sheet'!J25</f>
        <v>29.8</v>
      </c>
      <c r="K7" s="3">
        <f>'Data Sheet'!K25</f>
        <v>44.99</v>
      </c>
      <c r="L7" s="3">
        <f>SUM(Quarters!H7:K7)</f>
        <v>35.51</v>
      </c>
      <c r="M7" s="3">
        <v>0</v>
      </c>
      <c r="N7" s="3">
        <v>0</v>
      </c>
    </row>
    <row r="8" spans="1:14">
      <c r="A8" s="220" t="s">
        <v>9</v>
      </c>
      <c r="B8" s="3">
        <f>'Data Sheet'!B26</f>
        <v>6.45</v>
      </c>
      <c r="C8" s="3">
        <f>'Data Sheet'!C26</f>
        <v>7.03</v>
      </c>
      <c r="D8" s="3">
        <f>'Data Sheet'!D26</f>
        <v>9.95</v>
      </c>
      <c r="E8" s="3">
        <f>'Data Sheet'!E26</f>
        <v>15.32</v>
      </c>
      <c r="F8" s="3">
        <f>'Data Sheet'!F26</f>
        <v>17.66</v>
      </c>
      <c r="G8" s="3">
        <f>'Data Sheet'!G26</f>
        <v>18.52</v>
      </c>
      <c r="H8" s="3">
        <f>'Data Sheet'!H26</f>
        <v>21.61</v>
      </c>
      <c r="I8" s="3">
        <f>'Data Sheet'!I26</f>
        <v>23.36</v>
      </c>
      <c r="J8" s="3">
        <f>'Data Sheet'!J26</f>
        <v>27.39</v>
      </c>
      <c r="K8" s="3">
        <f>'Data Sheet'!K26</f>
        <v>33.16</v>
      </c>
      <c r="L8" s="3">
        <f>SUM(Quarters!H8:K8)</f>
        <v>41.88</v>
      </c>
      <c r="M8" s="3">
        <f>+$L8</f>
        <v>41.88</v>
      </c>
      <c r="N8" s="3">
        <f>+$L8</f>
        <v>41.88</v>
      </c>
    </row>
    <row r="9" spans="1:14">
      <c r="A9" s="220" t="s">
        <v>10</v>
      </c>
      <c r="B9" s="3">
        <f>'Data Sheet'!B27</f>
        <v>7.12</v>
      </c>
      <c r="C9" s="3">
        <f>'Data Sheet'!C27</f>
        <v>9.19</v>
      </c>
      <c r="D9" s="3">
        <f>'Data Sheet'!D27</f>
        <v>11.54</v>
      </c>
      <c r="E9" s="3">
        <f>'Data Sheet'!E27</f>
        <v>18.15</v>
      </c>
      <c r="F9" s="3">
        <f>'Data Sheet'!F27</f>
        <v>9.76</v>
      </c>
      <c r="G9" s="3">
        <f>'Data Sheet'!G27</f>
        <v>7.86</v>
      </c>
      <c r="H9" s="3">
        <f>'Data Sheet'!H27</f>
        <v>2.75</v>
      </c>
      <c r="I9" s="3">
        <f>'Data Sheet'!I27</f>
        <v>2.17</v>
      </c>
      <c r="J9" s="3">
        <f>'Data Sheet'!J27</f>
        <v>2.18</v>
      </c>
      <c r="K9" s="3">
        <f>'Data Sheet'!K27</f>
        <v>2.04</v>
      </c>
      <c r="L9" s="3">
        <f>SUM(Quarters!H9:K9)</f>
        <v>0.36</v>
      </c>
      <c r="M9" s="3">
        <f>+$L9</f>
        <v>0.36</v>
      </c>
      <c r="N9" s="3">
        <f>+$L9</f>
        <v>0.36</v>
      </c>
    </row>
    <row r="10" spans="1:14">
      <c r="A10" s="220" t="s">
        <v>11</v>
      </c>
      <c r="B10" s="3">
        <f>'Data Sheet'!B28</f>
        <v>62.5</v>
      </c>
      <c r="C10" s="3">
        <f>'Data Sheet'!C28</f>
        <v>81.6</v>
      </c>
      <c r="D10" s="3">
        <f>'Data Sheet'!D28</f>
        <v>102.61</v>
      </c>
      <c r="E10" s="3">
        <f>'Data Sheet'!E28</f>
        <v>128.59</v>
      </c>
      <c r="F10" s="3">
        <f>'Data Sheet'!F28</f>
        <v>173.5</v>
      </c>
      <c r="G10" s="3">
        <f>'Data Sheet'!G28</f>
        <v>186.56</v>
      </c>
      <c r="H10" s="3">
        <f>'Data Sheet'!H28</f>
        <v>205.96</v>
      </c>
      <c r="I10" s="3">
        <f>'Data Sheet'!I28</f>
        <v>203.38</v>
      </c>
      <c r="J10" s="3">
        <f>'Data Sheet'!J28</f>
        <v>425.24</v>
      </c>
      <c r="K10" s="3">
        <f>'Data Sheet'!K28</f>
        <v>424.67</v>
      </c>
      <c r="L10" s="3">
        <f>SUM(Quarters!H10:K10)</f>
        <v>348.33</v>
      </c>
      <c r="M10" s="3">
        <f>M6+M7-SUM(M8:M9)</f>
        <v>422.818583021477</v>
      </c>
      <c r="N10" s="3">
        <f>N6+N7-SUM(N8:N9)</f>
        <v>243.242134000935</v>
      </c>
    </row>
    <row r="11" spans="1:14">
      <c r="A11" s="220" t="s">
        <v>12</v>
      </c>
      <c r="B11" s="3">
        <f>'Data Sheet'!B29</f>
        <v>10.53</v>
      </c>
      <c r="C11" s="3">
        <f>'Data Sheet'!C29</f>
        <v>26.79</v>
      </c>
      <c r="D11" s="3">
        <f>'Data Sheet'!D29</f>
        <v>33.94</v>
      </c>
      <c r="E11" s="3">
        <f>'Data Sheet'!E29</f>
        <v>42.43</v>
      </c>
      <c r="F11" s="3">
        <f>'Data Sheet'!F29</f>
        <v>57.7</v>
      </c>
      <c r="G11" s="3">
        <f>'Data Sheet'!G29</f>
        <v>54.99</v>
      </c>
      <c r="H11" s="3">
        <f>'Data Sheet'!H29</f>
        <v>65.69</v>
      </c>
      <c r="I11" s="3">
        <f>'Data Sheet'!I29</f>
        <v>59.5</v>
      </c>
      <c r="J11" s="3">
        <f>'Data Sheet'!J29</f>
        <v>142.75</v>
      </c>
      <c r="K11" s="3">
        <f>'Data Sheet'!K29</f>
        <v>90.84</v>
      </c>
      <c r="L11" s="3">
        <f>SUM(Quarters!H11:K11)</f>
        <v>75.23</v>
      </c>
      <c r="M11" s="242">
        <f>IF($L10&gt;0,$L11/$L10,0)</f>
        <v>0.215973358596733</v>
      </c>
      <c r="N11" s="242">
        <f>IF($L10&gt;0,$L11/$L10,0)</f>
        <v>0.215973358596733</v>
      </c>
    </row>
    <row r="12" s="219" customFormat="1" spans="1:14">
      <c r="A12" s="219" t="s">
        <v>13</v>
      </c>
      <c r="B12" s="1">
        <f>'Data Sheet'!B30</f>
        <v>51.97</v>
      </c>
      <c r="C12" s="1">
        <f>'Data Sheet'!C30</f>
        <v>54.81</v>
      </c>
      <c r="D12" s="1">
        <f>'Data Sheet'!D30</f>
        <v>68.66</v>
      </c>
      <c r="E12" s="1">
        <f>'Data Sheet'!E30</f>
        <v>86.15</v>
      </c>
      <c r="F12" s="1">
        <f>'Data Sheet'!F30</f>
        <v>115.79</v>
      </c>
      <c r="G12" s="1">
        <f>'Data Sheet'!G30</f>
        <v>131.57</v>
      </c>
      <c r="H12" s="1">
        <f>'Data Sheet'!H30</f>
        <v>140.28</v>
      </c>
      <c r="I12" s="1">
        <f>'Data Sheet'!I30</f>
        <v>143.88</v>
      </c>
      <c r="J12" s="1">
        <f>'Data Sheet'!J30</f>
        <v>282.49</v>
      </c>
      <c r="K12" s="1">
        <f>'Data Sheet'!K30</f>
        <v>333.82</v>
      </c>
      <c r="L12" s="1">
        <f>SUM(Quarters!H12:K12)</f>
        <v>273.11</v>
      </c>
      <c r="M12" s="1">
        <f>M10-M11*M10</f>
        <v>331.501033569217</v>
      </c>
      <c r="N12" s="1">
        <f>N10-N11*N10</f>
        <v>190.708313368516</v>
      </c>
    </row>
    <row r="13" spans="1:14">
      <c r="A13" s="191" t="s">
        <v>14</v>
      </c>
      <c r="B13" s="3">
        <f>IF('Data Sheet'!B93&gt;0,B12/'Data Sheet'!B93,0)</f>
        <v>5.2761421319797</v>
      </c>
      <c r="C13" s="3">
        <f>IF('Data Sheet'!C93&gt;0,C12/'Data Sheet'!C93,0)</f>
        <v>5.56446700507614</v>
      </c>
      <c r="D13" s="3">
        <f>IF('Data Sheet'!D93&gt;0,D12/'Data Sheet'!D93,0)</f>
        <v>6.97055837563452</v>
      </c>
      <c r="E13" s="3">
        <f>IF('Data Sheet'!E93&gt;0,E12/'Data Sheet'!E93,0)</f>
        <v>8.74619289340102</v>
      </c>
      <c r="F13" s="3">
        <f>IF('Data Sheet'!F93&gt;0,F12/'Data Sheet'!F93,0)</f>
        <v>11.2199612403101</v>
      </c>
      <c r="G13" s="3">
        <f>IF('Data Sheet'!G93&gt;0,G12/'Data Sheet'!G93,0)</f>
        <v>12.7490310077519</v>
      </c>
      <c r="H13" s="3">
        <f>IF('Data Sheet'!H93&gt;0,H12/'Data Sheet'!H93,0)</f>
        <v>13.593023255814</v>
      </c>
      <c r="I13" s="3">
        <f>IF('Data Sheet'!I93&gt;0,I12/'Data Sheet'!I93,0)</f>
        <v>13.9961089494163</v>
      </c>
      <c r="J13" s="3">
        <f>IF('Data Sheet'!J93&gt;0,J12/'Data Sheet'!J93,0)</f>
        <v>27.4795719844358</v>
      </c>
      <c r="K13" s="3">
        <f>IF('Data Sheet'!K93&gt;0,K12/'Data Sheet'!K93,0)</f>
        <v>32.4727626459144</v>
      </c>
      <c r="L13" s="3">
        <f>IF('Data Sheet'!$B6&gt;0,'Profit &amp; Loss'!L12/'Data Sheet'!$B6,0)</f>
        <v>26.5717582529051</v>
      </c>
      <c r="M13" s="3">
        <f>IF('Data Sheet'!$B6&gt;0,'Profit &amp; Loss'!M12/'Data Sheet'!$B6,0)</f>
        <v>32.2528114114804</v>
      </c>
      <c r="N13" s="3">
        <f>IF('Data Sheet'!$B6&gt;0,'Profit &amp; Loss'!N12/'Data Sheet'!$B6,0)</f>
        <v>18.554630733578</v>
      </c>
    </row>
    <row r="14" spans="1:14">
      <c r="A14" s="220" t="s">
        <v>15</v>
      </c>
      <c r="B14" s="3">
        <f>IF(B15&gt;0,B15/B13,"")</f>
        <v>6.72840100057726</v>
      </c>
      <c r="C14" s="3">
        <f t="shared" ref="C14:K14" si="2">IF(C15&gt;0,C15/C13,"")</f>
        <v>7.49937055281883</v>
      </c>
      <c r="D14" s="3">
        <f t="shared" si="2"/>
        <v>7.44273230410719</v>
      </c>
      <c r="E14" s="3">
        <f t="shared" si="2"/>
        <v>16.0675623911782</v>
      </c>
      <c r="F14" s="3">
        <f t="shared" si="2"/>
        <v>23.3467829691683</v>
      </c>
      <c r="G14" s="3">
        <f t="shared" si="2"/>
        <v>15.2584145321882</v>
      </c>
      <c r="H14" s="3">
        <f t="shared" si="2"/>
        <v>27.8819503849444</v>
      </c>
      <c r="I14" s="3">
        <f t="shared" si="2"/>
        <v>32.2432471504031</v>
      </c>
      <c r="J14" s="3">
        <f t="shared" si="2"/>
        <v>29.9196799886722</v>
      </c>
      <c r="K14" s="3">
        <f t="shared" si="2"/>
        <v>23.8522976454377</v>
      </c>
      <c r="L14" s="3">
        <f t="shared" ref="L14" si="3">IF(L13&gt;0,L15/L13,0)</f>
        <v>63.8911427629893</v>
      </c>
      <c r="M14" s="3">
        <f>M25</f>
        <v>63.8911427629893</v>
      </c>
      <c r="N14" s="3">
        <f>N25</f>
        <v>23.102871062044</v>
      </c>
    </row>
    <row r="15" s="219" customFormat="1" spans="1:14">
      <c r="A15" s="219" t="s">
        <v>16</v>
      </c>
      <c r="B15" s="1">
        <f>'Data Sheet'!B90</f>
        <v>35.5</v>
      </c>
      <c r="C15" s="1">
        <f>'Data Sheet'!C90</f>
        <v>41.73</v>
      </c>
      <c r="D15" s="1">
        <f>'Data Sheet'!D90</f>
        <v>51.88</v>
      </c>
      <c r="E15" s="1">
        <f>'Data Sheet'!E90</f>
        <v>140.53</v>
      </c>
      <c r="F15" s="1">
        <f>'Data Sheet'!F90</f>
        <v>261.95</v>
      </c>
      <c r="G15" s="1">
        <f>'Data Sheet'!G90</f>
        <v>194.53</v>
      </c>
      <c r="H15" s="1">
        <f>'Data Sheet'!H90</f>
        <v>379</v>
      </c>
      <c r="I15" s="1">
        <f>'Data Sheet'!I90</f>
        <v>451.28</v>
      </c>
      <c r="J15" s="1">
        <f>'Data Sheet'!J90</f>
        <v>822.18</v>
      </c>
      <c r="K15" s="1">
        <f>'Data Sheet'!K90</f>
        <v>774.55</v>
      </c>
      <c r="L15" s="1">
        <f>'Data Sheet'!B8</f>
        <v>1697.7</v>
      </c>
      <c r="M15" s="243">
        <f>M13*M14</f>
        <v>2060.66897839867</v>
      </c>
      <c r="N15" s="244">
        <f>N13*N14</f>
        <v>428.665241441692</v>
      </c>
    </row>
    <row r="16" spans="1:2">
      <c r="A16" s="191" t="s">
        <v>17</v>
      </c>
      <c r="B16" s="231">
        <f>B12/B4</f>
        <v>0.16107236944057</v>
      </c>
    </row>
    <row r="17" s="219" customFormat="1" spans="1:1">
      <c r="A17" s="219" t="s">
        <v>18</v>
      </c>
    </row>
    <row r="18" spans="1:11">
      <c r="A18" s="220" t="s">
        <v>19</v>
      </c>
      <c r="B18" s="234">
        <f>IF('Data Sheet'!B30&gt;0,'Data Sheet'!B31/'Data Sheet'!B30,0)</f>
        <v>0.123532807388878</v>
      </c>
      <c r="C18" s="234">
        <f>IF('Data Sheet'!C30&gt;0,'Data Sheet'!C31/'Data Sheet'!C30,0)</f>
        <v>0.18007662835249</v>
      </c>
      <c r="D18" s="234">
        <f>IF('Data Sheet'!D30&gt;0,'Data Sheet'!D31/'Data Sheet'!D30,0)</f>
        <v>0.179726187008447</v>
      </c>
      <c r="E18" s="234">
        <f>IF('Data Sheet'!E30&gt;0,'Data Sheet'!E31/'Data Sheet'!E30,0)</f>
        <v>0.171793383633198</v>
      </c>
      <c r="F18" s="234">
        <f>IF('Data Sheet'!F30&gt;0,'Data Sheet'!F31/'Data Sheet'!F30,0)</f>
        <v>0.155972018309008</v>
      </c>
      <c r="G18" s="234">
        <f>IF('Data Sheet'!G30&gt;0,'Data Sheet'!G31/'Data Sheet'!G30,0)</f>
        <v>0.156874667477388</v>
      </c>
      <c r="H18" s="234">
        <f>IF('Data Sheet'!H30&gt;0,'Data Sheet'!H31/'Data Sheet'!H30,0)</f>
        <v>0.0183917878528657</v>
      </c>
      <c r="I18" s="234">
        <f>IF('Data Sheet'!I30&gt;0,'Data Sheet'!I31/'Data Sheet'!I30,0)</f>
        <v>0.160758965804837</v>
      </c>
      <c r="J18" s="234">
        <f>IF('Data Sheet'!J30&gt;0,'Data Sheet'!J31/'Data Sheet'!J30,0)</f>
        <v>0.12736734043683</v>
      </c>
      <c r="K18" s="234">
        <f>IF('Data Sheet'!K30&gt;0,'Data Sheet'!K31/'Data Sheet'!K30,0)</f>
        <v>0.169372715834881</v>
      </c>
    </row>
    <row r="19" spans="1:12">
      <c r="A19" s="220" t="s">
        <v>20</v>
      </c>
      <c r="B19" s="234">
        <f t="shared" ref="B19:L19" si="4">IF(B6&gt;0,B6/B4,0)</f>
        <v>0.216116534944987</v>
      </c>
      <c r="C19" s="234">
        <f t="shared" ref="C19:K19" si="5">IF(C6&gt;0,C6/C4,0)</f>
        <v>0.212354176909668</v>
      </c>
      <c r="D19" s="234">
        <f t="shared" si="5"/>
        <v>0.217114402727912</v>
      </c>
      <c r="E19" s="234">
        <f t="shared" si="5"/>
        <v>0.219628517661931</v>
      </c>
      <c r="F19" s="234">
        <f t="shared" si="5"/>
        <v>0.248895339043448</v>
      </c>
      <c r="G19" s="234">
        <f t="shared" si="5"/>
        <v>0.327728029162374</v>
      </c>
      <c r="H19" s="234">
        <f t="shared" si="5"/>
        <v>0.339955367593127</v>
      </c>
      <c r="I19" s="234">
        <f t="shared" si="5"/>
        <v>0.271749259949567</v>
      </c>
      <c r="J19" s="234">
        <f t="shared" si="5"/>
        <v>0.376808638910561</v>
      </c>
      <c r="K19" s="234">
        <f t="shared" si="5"/>
        <v>0.40323850437859</v>
      </c>
      <c r="L19" s="234">
        <f t="shared" si="4"/>
        <v>0.386010306364289</v>
      </c>
    </row>
    <row r="20" spans="1:12">
      <c r="A20" s="220" t="s">
        <v>21</v>
      </c>
      <c r="B20" s="234">
        <f>B11/B10</f>
        <v>0.16848</v>
      </c>
      <c r="C20" s="234">
        <f t="shared" ref="C20:K20" si="6">C11/C10</f>
        <v>0.328308823529412</v>
      </c>
      <c r="D20" s="234">
        <f t="shared" si="6"/>
        <v>0.330766981775655</v>
      </c>
      <c r="E20" s="234">
        <f t="shared" si="6"/>
        <v>0.329963449723929</v>
      </c>
      <c r="F20" s="234">
        <f t="shared" si="6"/>
        <v>0.332564841498559</v>
      </c>
      <c r="G20" s="234">
        <f t="shared" si="6"/>
        <v>0.294757718696398</v>
      </c>
      <c r="H20" s="234">
        <f t="shared" si="6"/>
        <v>0.318945426296368</v>
      </c>
      <c r="I20" s="234">
        <f t="shared" si="6"/>
        <v>0.292555806863998</v>
      </c>
      <c r="J20" s="234">
        <f t="shared" si="6"/>
        <v>0.335692785250682</v>
      </c>
      <c r="K20" s="234">
        <f t="shared" si="6"/>
        <v>0.213907269173711</v>
      </c>
      <c r="L20" s="234"/>
    </row>
    <row r="21" spans="1:12">
      <c r="A21" s="220" t="s">
        <v>22</v>
      </c>
      <c r="B21" s="235">
        <f>('Data Sheet'!B57+'Data Sheet'!B58)/'Data Sheet'!B93</f>
        <v>14.5878172588832</v>
      </c>
      <c r="C21" s="235">
        <f>('Data Sheet'!C57+'Data Sheet'!C58)/'Data Sheet'!C93</f>
        <v>18.9868020304569</v>
      </c>
      <c r="D21" s="235">
        <f>('Data Sheet'!D57+'Data Sheet'!D58)/'Data Sheet'!D93</f>
        <v>24.4913705583756</v>
      </c>
      <c r="E21" s="235">
        <f>('Data Sheet'!E57+'Data Sheet'!E58)/'Data Sheet'!E93</f>
        <v>31.4791878172589</v>
      </c>
      <c r="F21" s="235">
        <f>('Data Sheet'!F57+'Data Sheet'!F58)/'Data Sheet'!F93</f>
        <v>42.0591085271318</v>
      </c>
      <c r="G21" s="235">
        <f>('Data Sheet'!G57+'Data Sheet'!G58)/'Data Sheet'!G93</f>
        <v>52.4011627906977</v>
      </c>
      <c r="H21" s="235">
        <f>('Data Sheet'!H57+'Data Sheet'!H58)/'Data Sheet'!H93</f>
        <v>65.8924418604651</v>
      </c>
      <c r="I21" s="235">
        <f>('Data Sheet'!I57+'Data Sheet'!I58)/'Data Sheet'!I93</f>
        <v>77.4970817120623</v>
      </c>
      <c r="J21" s="235">
        <f>('Data Sheet'!J57+'Data Sheet'!J58)/'Data Sheet'!J93</f>
        <v>102.264591439689</v>
      </c>
      <c r="K21" s="235">
        <f>('Data Sheet'!K57+'Data Sheet'!K58)/'Data Sheet'!K93</f>
        <v>124.456225680934</v>
      </c>
      <c r="L21" s="235"/>
    </row>
    <row r="22" s="139" customFormat="1" spans="1:14">
      <c r="A22" s="221"/>
      <c r="B22" s="7"/>
      <c r="C22" s="7"/>
      <c r="D22" s="7"/>
      <c r="E22" s="7"/>
      <c r="F22" s="7"/>
      <c r="G22" s="7" t="s">
        <v>23</v>
      </c>
      <c r="H22" s="7" t="s">
        <v>24</v>
      </c>
      <c r="I22" s="7" t="s">
        <v>25</v>
      </c>
      <c r="J22" s="7" t="s">
        <v>26</v>
      </c>
      <c r="K22" s="7" t="s">
        <v>27</v>
      </c>
      <c r="L22" s="241" t="s">
        <v>28</v>
      </c>
      <c r="M22" s="241" t="s">
        <v>29</v>
      </c>
      <c r="N22" s="241" t="s">
        <v>30</v>
      </c>
    </row>
    <row r="23" s="219" customFormat="1" spans="1:14">
      <c r="A23" s="220"/>
      <c r="B23" s="220"/>
      <c r="C23" s="220"/>
      <c r="D23" s="220"/>
      <c r="E23" s="220"/>
      <c r="F23" s="220"/>
      <c r="G23" s="220" t="s">
        <v>31</v>
      </c>
      <c r="H23" s="234">
        <f>IF(B4=0,"",POWER($K4/B4,1/9)-1)</f>
        <v>0.137519261910084</v>
      </c>
      <c r="I23" s="234">
        <f>IF(D4=0,"",POWER($K4/D4,1/7)-1)</f>
        <v>0.0923882465629633</v>
      </c>
      <c r="J23" s="234">
        <f>IF(F4=0,"",POWER($K4/F4,1/5)-1)</f>
        <v>0.0592025659537954</v>
      </c>
      <c r="K23" s="234">
        <f>IF(H4=0,"",POWER($K4/H4,1/3)-1)</f>
        <v>0.170976715918455</v>
      </c>
      <c r="L23" s="234">
        <f>IF(ISERROR(MAX(IF(J4=0,"",(K4-J4)/J4),IF(K4=0,"",(L4-K4)/K4))),"",MAX(IF(J4=0,"",(K4-J4)/J4),IF(K4=0,"",(L4-K4)/K4)))</f>
        <v>-0.0878165118093483</v>
      </c>
      <c r="M23" s="245">
        <f>MAX(K23:L23)</f>
        <v>0.170976715918455</v>
      </c>
      <c r="N23" s="245">
        <f>MIN(H23:L23)</f>
        <v>-0.0878165118093483</v>
      </c>
    </row>
    <row r="24" spans="7:14">
      <c r="G24" s="220" t="s">
        <v>20</v>
      </c>
      <c r="H24" s="234">
        <f>IF(SUM(B4:$K$4)=0,"",SUMPRODUCT(B19:$K$19,B4:$K$4)/SUM(B4:$K$4))</f>
        <v>0.301111438827702</v>
      </c>
      <c r="I24" s="234">
        <f>IF(SUM(E4:$K$4)=0,"",SUMPRODUCT(E19:$K$19,E4:$K$4)/SUM(E4:$K$4))</f>
        <v>0.321320211088735</v>
      </c>
      <c r="J24" s="234">
        <f>IF(SUM(G4:$K$4)=0,"",SUMPRODUCT(G19:$K$19,G4:$K$4)/SUM(G4:$K$4))</f>
        <v>0.351785984834821</v>
      </c>
      <c r="K24" s="234">
        <f>IF(SUM(I4:$K$4)=0,"",SUMPRODUCT(I19:$K$19,I4:$K$4)/SUM(I4:$K$4))</f>
        <v>0.359671155425139</v>
      </c>
      <c r="L24" s="234">
        <f>L19</f>
        <v>0.386010306364289</v>
      </c>
      <c r="M24" s="245">
        <f>MAX(K24:L24)</f>
        <v>0.386010306364289</v>
      </c>
      <c r="N24" s="245">
        <f>MIN(H24:L24)</f>
        <v>0.301111438827702</v>
      </c>
    </row>
    <row r="25" spans="7:14">
      <c r="G25" s="220" t="s">
        <v>32</v>
      </c>
      <c r="H25" s="3">
        <f>IF(ISERROR(AVERAGEIF(B14:$L14,"&gt;0")),"",AVERAGEIF(B14:$L14,"&gt;0"))</f>
        <v>23.102871062044</v>
      </c>
      <c r="I25" s="3">
        <f>IF(ISERROR(AVERAGEIF(E14:$L14,"&gt;0")),"",AVERAGEIF(E14:$L14,"&gt;0"))</f>
        <v>29.0576347281227</v>
      </c>
      <c r="J25" s="3">
        <f>IF(ISERROR(AVERAGEIF(G14:$L14,"&gt;0")),"",AVERAGEIF(G14:$L14,"&gt;0"))</f>
        <v>32.1744554107725</v>
      </c>
      <c r="K25" s="3">
        <f>IF(ISERROR(AVERAGEIF(I14:$L14,"&gt;0")),"",AVERAGEIF(I14:$L14,"&gt;0"))</f>
        <v>37.4765918868756</v>
      </c>
      <c r="L25" s="3">
        <f>L14</f>
        <v>63.8911427629893</v>
      </c>
      <c r="M25" s="1">
        <f>MAX(K25:L25)</f>
        <v>63.8911427629893</v>
      </c>
      <c r="N25" s="1">
        <f>MIN(H25:L25)</f>
        <v>23.102871062044</v>
      </c>
    </row>
    <row r="27" spans="1:1">
      <c r="A27" s="236" t="s">
        <v>33</v>
      </c>
    </row>
    <row r="28" spans="1:11">
      <c r="A28" s="236" t="s">
        <v>5</v>
      </c>
      <c r="B28" s="237">
        <v>1</v>
      </c>
      <c r="C28" s="237">
        <v>1</v>
      </c>
      <c r="D28" s="237">
        <v>1</v>
      </c>
      <c r="E28" s="237">
        <v>1</v>
      </c>
      <c r="F28" s="237">
        <v>1</v>
      </c>
      <c r="G28" s="237">
        <v>1</v>
      </c>
      <c r="H28" s="237">
        <v>1</v>
      </c>
      <c r="I28" s="237">
        <v>1</v>
      </c>
      <c r="J28" s="237">
        <v>1</v>
      </c>
      <c r="K28" s="237">
        <v>1</v>
      </c>
    </row>
    <row r="29" spans="1:11">
      <c r="A29" s="236" t="s">
        <v>34</v>
      </c>
      <c r="B29" s="231">
        <f>'Data Sheet'!B18/'Data Sheet'!B17</f>
        <v>0.582147838214784</v>
      </c>
      <c r="C29" s="231">
        <f>'Data Sheet'!C18/'Data Sheet'!C17</f>
        <v>0.61192061860278</v>
      </c>
      <c r="D29" s="231">
        <f>'Data Sheet'!D18/'Data Sheet'!D17</f>
        <v>0.613148826384253</v>
      </c>
      <c r="E29" s="231">
        <f>'Data Sheet'!E18/'Data Sheet'!E17</f>
        <v>0.60040509674917</v>
      </c>
      <c r="F29" s="231">
        <f>'Data Sheet'!F18/'Data Sheet'!F17</f>
        <v>0.590737693234681</v>
      </c>
      <c r="G29" s="231">
        <f>'Data Sheet'!G18/'Data Sheet'!G17</f>
        <v>0.46843648466598</v>
      </c>
      <c r="H29" s="231">
        <f>'Data Sheet'!H18/'Data Sheet'!H17</f>
        <v>0.477738416641958</v>
      </c>
      <c r="I29" s="231">
        <f>'Data Sheet'!I18/'Data Sheet'!I17</f>
        <v>0.507770529547199</v>
      </c>
      <c r="J29" s="231">
        <f>'Data Sheet'!J18/'Data Sheet'!J17</f>
        <v>0.468641393006596</v>
      </c>
      <c r="K29" s="231">
        <f>'Data Sheet'!K18/'Data Sheet'!K17</f>
        <v>0.419392148667956</v>
      </c>
    </row>
    <row r="30" spans="1:11">
      <c r="A30" s="238" t="s">
        <v>35</v>
      </c>
      <c r="B30" s="231">
        <f>'Data Sheet'!B20/'Data Sheet'!B17</f>
        <v>0.061893692856036</v>
      </c>
      <c r="C30" s="231">
        <f>'Data Sheet'!C20/'Data Sheet'!C17</f>
        <v>0.0560050060340589</v>
      </c>
      <c r="D30" s="231">
        <f>'Data Sheet'!D20/'Data Sheet'!D17</f>
        <v>0.055712919696177</v>
      </c>
      <c r="E30" s="231">
        <f>'Data Sheet'!E20/'Data Sheet'!E17</f>
        <v>0.051829399681094</v>
      </c>
      <c r="F30" s="231">
        <f>'Data Sheet'!F20/'Data Sheet'!F17</f>
        <v>0.0405971000220284</v>
      </c>
      <c r="G30" s="231">
        <f>'Data Sheet'!G20/'Data Sheet'!G17</f>
        <v>0.0496394326016325</v>
      </c>
      <c r="H30" s="231">
        <f>'Data Sheet'!H20/'Data Sheet'!H17</f>
        <v>0.057663196991214</v>
      </c>
      <c r="I30" s="231">
        <f>'Data Sheet'!I20/'Data Sheet'!I17</f>
        <v>0.0656589189781822</v>
      </c>
      <c r="J30" s="231">
        <f>'Data Sheet'!J20/'Data Sheet'!J17</f>
        <v>0.0499680828427548</v>
      </c>
      <c r="K30" s="231">
        <f>'Data Sheet'!K20/'Data Sheet'!K17</f>
        <v>0.0511143293127412</v>
      </c>
    </row>
    <row r="31" spans="1:11">
      <c r="A31" s="239" t="str">
        <f>'Data Sheet'!A21</f>
        <v>Other Mfr. Exp</v>
      </c>
      <c r="B31" s="231">
        <f>'Data Sheet'!B21/'Data Sheet'!B17</f>
        <v>0.0459631179296451</v>
      </c>
      <c r="C31" s="231">
        <f>'Data Sheet'!C21/'Data Sheet'!C17</f>
        <v>0.0399812273722791</v>
      </c>
      <c r="D31" s="231">
        <f>'Data Sheet'!D21/'Data Sheet'!D17</f>
        <v>0.029137423999134</v>
      </c>
      <c r="E31" s="231">
        <f>'Data Sheet'!E21/'Data Sheet'!E17</f>
        <v>0.0322497234711907</v>
      </c>
      <c r="F31" s="231">
        <f>'Data Sheet'!F21/'Data Sheet'!F17</f>
        <v>0.0351288663133479</v>
      </c>
      <c r="G31" s="231">
        <f>'Data Sheet'!G21/'Data Sheet'!G17</f>
        <v>0.0526824629526904</v>
      </c>
      <c r="H31" s="231">
        <f>'Data Sheet'!H21/'Data Sheet'!H17</f>
        <v>0.0481749090965839</v>
      </c>
      <c r="I31" s="231">
        <f>'Data Sheet'!I21/'Data Sheet'!I17</f>
        <v>0.0590806929064796</v>
      </c>
      <c r="J31" s="231">
        <f>'Data Sheet'!J21/'Data Sheet'!J17</f>
        <v>0.0444978367260089</v>
      </c>
      <c r="K31" s="231">
        <f>'Data Sheet'!K21/'Data Sheet'!K17</f>
        <v>0.0490052193182812</v>
      </c>
    </row>
    <row r="32" spans="1:11">
      <c r="A32" s="239" t="str">
        <f>'Data Sheet'!A22</f>
        <v>Employee Cost</v>
      </c>
      <c r="B32" s="231">
        <f>'Data Sheet'!B22/'Data Sheet'!B17</f>
        <v>0.0461800712846738</v>
      </c>
      <c r="C32" s="231">
        <f>'Data Sheet'!C22/'Data Sheet'!C17</f>
        <v>0.0410092522236625</v>
      </c>
      <c r="D32" s="231">
        <f>'Data Sheet'!D22/'Data Sheet'!D17</f>
        <v>0.0408104353473939</v>
      </c>
      <c r="E32" s="231">
        <f>'Data Sheet'!E22/'Data Sheet'!E17</f>
        <v>0.0394610202117421</v>
      </c>
      <c r="F32" s="231">
        <f>'Data Sheet'!F22/'Data Sheet'!F17</f>
        <v>0.0413875319088282</v>
      </c>
      <c r="G32" s="231">
        <f>'Data Sheet'!G22/'Data Sheet'!G17</f>
        <v>0.0570409699659244</v>
      </c>
      <c r="H32" s="231">
        <f>'Data Sheet'!H22/'Data Sheet'!H17</f>
        <v>0.0654972767989513</v>
      </c>
      <c r="I32" s="231">
        <f>'Data Sheet'!I22/'Data Sheet'!I17</f>
        <v>0.0672623615831597</v>
      </c>
      <c r="J32" s="231">
        <f>'Data Sheet'!J22/'Data Sheet'!J17</f>
        <v>0.0481505780551812</v>
      </c>
      <c r="K32" s="231">
        <f>'Data Sheet'!K22/'Data Sheet'!K17</f>
        <v>0.0625832223701731</v>
      </c>
    </row>
    <row r="33" spans="1:11">
      <c r="A33" s="239" t="str">
        <f>'Data Sheet'!A23</f>
        <v>Selling and admin</v>
      </c>
      <c r="B33" s="231">
        <f>'Data Sheet'!B23/'Data Sheet'!B17</f>
        <v>0.0480396714706338</v>
      </c>
      <c r="C33" s="231">
        <f>'Data Sheet'!C23/'Data Sheet'!C17</f>
        <v>0.0387297188575515</v>
      </c>
      <c r="D33" s="231">
        <f>'Data Sheet'!D23/'Data Sheet'!D17</f>
        <v>0.041279520811157</v>
      </c>
      <c r="E33" s="231">
        <f>'Data Sheet'!E23/'Data Sheet'!E17</f>
        <v>0.0375648226624337</v>
      </c>
      <c r="F33" s="231">
        <f>'Data Sheet'!F23/'Data Sheet'!F17</f>
        <v>0.0303344433934148</v>
      </c>
      <c r="G33" s="231">
        <f>'Data Sheet'!G23/'Data Sheet'!G17</f>
        <v>0.0263887788255805</v>
      </c>
      <c r="H33" s="231">
        <f>'Data Sheet'!H23/'Data Sheet'!H17</f>
        <v>0.010580689461446</v>
      </c>
      <c r="I33" s="231">
        <f>'Data Sheet'!I23/'Data Sheet'!I17</f>
        <v>0.0112515075101414</v>
      </c>
      <c r="J33" s="231">
        <f>'Data Sheet'!J23/'Data Sheet'!J17</f>
        <v>0.0084757784240017</v>
      </c>
      <c r="K33" s="231">
        <f>'Data Sheet'!K23/'Data Sheet'!K17</f>
        <v>0.0102248097427275</v>
      </c>
    </row>
    <row r="34" spans="1:11">
      <c r="A34" s="239" t="str">
        <f>'Data Sheet'!A24</f>
        <v>Other Expenses</v>
      </c>
      <c r="B34" s="231">
        <f>'Data Sheet'!B24/'Data Sheet'!B17</f>
        <v>0.0133581280024795</v>
      </c>
      <c r="C34" s="231">
        <f>'Data Sheet'!C24/'Data Sheet'!C17</f>
        <v>0.0137218969293345</v>
      </c>
      <c r="D34" s="231">
        <f>'Data Sheet'!D24/'Data Sheet'!D17</f>
        <v>0.0113302181247407</v>
      </c>
      <c r="E34" s="231">
        <f>'Data Sheet'!E24/'Data Sheet'!E17</f>
        <v>0.0176403832617471</v>
      </c>
      <c r="F34" s="231">
        <f>'Data Sheet'!F24/'Data Sheet'!F17</f>
        <v>0.0120767625983181</v>
      </c>
      <c r="G34" s="231">
        <f>'Data Sheet'!G24/'Data Sheet'!G17</f>
        <v>0.0168951580949362</v>
      </c>
      <c r="H34" s="231">
        <f>'Data Sheet'!H24/'Data Sheet'!H17</f>
        <v>0.00909814447791008</v>
      </c>
      <c r="I34" s="231">
        <f>'Data Sheet'!I24/'Data Sheet'!I17</f>
        <v>0.00756495998245806</v>
      </c>
      <c r="J34" s="231">
        <f>'Data Sheet'!J24/'Data Sheet'!J17</f>
        <v>0.00655188311227747</v>
      </c>
      <c r="K34" s="231">
        <f>'Data Sheet'!K24/'Data Sheet'!K17</f>
        <v>0.00715347905955077</v>
      </c>
    </row>
    <row r="35" spans="1:11">
      <c r="A35" s="236" t="s">
        <v>20</v>
      </c>
      <c r="B35" s="234">
        <f>B19</f>
        <v>0.216116534944987</v>
      </c>
      <c r="C35" s="234">
        <f t="shared" ref="C35:K35" si="7">C19</f>
        <v>0.212354176909668</v>
      </c>
      <c r="D35" s="234">
        <f t="shared" si="7"/>
        <v>0.217114402727912</v>
      </c>
      <c r="E35" s="234">
        <f t="shared" si="7"/>
        <v>0.219628517661931</v>
      </c>
      <c r="F35" s="234">
        <f t="shared" si="7"/>
        <v>0.248895339043448</v>
      </c>
      <c r="G35" s="234">
        <f t="shared" si="7"/>
        <v>0.327728029162374</v>
      </c>
      <c r="H35" s="234">
        <f t="shared" si="7"/>
        <v>0.339955367593127</v>
      </c>
      <c r="I35" s="234">
        <f t="shared" si="7"/>
        <v>0.271749259949567</v>
      </c>
      <c r="J35" s="234">
        <f t="shared" si="7"/>
        <v>0.376808638910561</v>
      </c>
      <c r="K35" s="234">
        <f t="shared" si="7"/>
        <v>0.40323850437859</v>
      </c>
    </row>
    <row r="36" spans="1:11">
      <c r="A36" s="191"/>
      <c r="B36" s="231"/>
      <c r="C36" s="231"/>
      <c r="D36" s="231"/>
      <c r="E36" s="231"/>
      <c r="F36" s="231"/>
      <c r="G36" s="231"/>
      <c r="H36" s="231"/>
      <c r="I36" s="231"/>
      <c r="J36" s="231"/>
      <c r="K36" s="231"/>
    </row>
    <row r="37" spans="1:11">
      <c r="A37" s="191"/>
      <c r="B37" s="231"/>
      <c r="C37" s="231"/>
      <c r="D37" s="231"/>
      <c r="E37" s="231"/>
      <c r="F37" s="231"/>
      <c r="G37" s="231"/>
      <c r="H37" s="231"/>
      <c r="I37" s="231"/>
      <c r="J37" s="231"/>
      <c r="K37" s="231"/>
    </row>
    <row r="38" spans="1:11">
      <c r="A38" s="113"/>
      <c r="B38" s="114"/>
      <c r="C38" s="231"/>
      <c r="D38" s="231"/>
      <c r="E38" s="231"/>
      <c r="F38" s="231"/>
      <c r="G38" s="231"/>
      <c r="H38" s="231"/>
      <c r="I38" s="231"/>
      <c r="J38" s="231"/>
      <c r="K38" s="231"/>
    </row>
    <row r="39" spans="1:11">
      <c r="A39" s="113"/>
      <c r="B39" s="231"/>
      <c r="C39" s="231"/>
      <c r="D39" s="231"/>
      <c r="E39" s="231"/>
      <c r="F39" s="231"/>
      <c r="G39" s="231"/>
      <c r="H39" s="231"/>
      <c r="I39" s="231"/>
      <c r="J39" s="231"/>
      <c r="K39" s="231"/>
    </row>
    <row r="40" spans="1:11">
      <c r="A40" s="113"/>
      <c r="B40" s="231"/>
      <c r="C40" s="231"/>
      <c r="D40" s="231"/>
      <c r="E40" s="231"/>
      <c r="F40" s="231"/>
      <c r="G40" s="231"/>
      <c r="H40" s="231"/>
      <c r="I40" s="231"/>
      <c r="J40" s="231"/>
      <c r="K40" s="231"/>
    </row>
    <row r="41" spans="11:11">
      <c r="K41" s="237"/>
    </row>
  </sheetData>
  <hyperlinks>
    <hyperlink ref="M1" r:id="rId2" display="SCREENER.IN"/>
  </hyperlinks>
  <printOptions gridLines="1"/>
  <pageMargins left="0.7" right="0.7" top="0.75" bottom="0.75" header="0.3" footer="0.3"/>
  <pageSetup paperSize="9" orientation="landscape" horizontalDpi="300" verticalDpi="300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"/>
  <sheetViews>
    <sheetView workbookViewId="0">
      <selection activeCell="D1" sqref="D1"/>
    </sheetView>
  </sheetViews>
  <sheetFormatPr defaultColWidth="11.5" defaultRowHeight="14.4"/>
  <cols>
    <col min="1" max="1" width="41.5" customWidth="1"/>
  </cols>
  <sheetData>
    <row r="1" spans="1:11">
      <c r="A1" s="112" t="s">
        <v>241</v>
      </c>
      <c r="B1" s="7">
        <f>'Data Sheet'!B56</f>
        <v>40633</v>
      </c>
      <c r="C1" s="7">
        <f>'Data Sheet'!C56</f>
        <v>40999</v>
      </c>
      <c r="D1" s="7">
        <f>'Data Sheet'!D56</f>
        <v>41364</v>
      </c>
      <c r="E1" s="7">
        <f>'Data Sheet'!E56</f>
        <v>41729</v>
      </c>
      <c r="F1" s="7">
        <f>'Data Sheet'!F56</f>
        <v>42094</v>
      </c>
      <c r="G1" s="7">
        <f>'Data Sheet'!G56</f>
        <v>42460</v>
      </c>
      <c r="H1" s="7">
        <f>'Data Sheet'!H56</f>
        <v>42825</v>
      </c>
      <c r="I1" s="7">
        <f>'Data Sheet'!I56</f>
        <v>43190</v>
      </c>
      <c r="J1" s="7">
        <f>'Data Sheet'!J56</f>
        <v>43555</v>
      </c>
      <c r="K1" s="7">
        <f>'Data Sheet'!K56</f>
        <v>43921</v>
      </c>
    </row>
    <row r="2" spans="1:11">
      <c r="A2" s="113" t="s">
        <v>242</v>
      </c>
      <c r="B2" s="114"/>
      <c r="C2" s="114">
        <f>('Profit &amp; Loss'!C4-'Profit &amp; Loss'!B4)/'Profit &amp; Loss'!B4</f>
        <v>0.386827832016117</v>
      </c>
      <c r="D2" s="114">
        <f>('Profit &amp; Loss'!D4-'Profit &amp; Loss'!C4)/'Profit &amp; Loss'!C4</f>
        <v>0.23870290081795</v>
      </c>
      <c r="E2" s="114">
        <f>('Profit &amp; Loss'!E4-'Profit &amp; Loss'!D4)/'Profit &amp; Loss'!D4</f>
        <v>0.255940245728616</v>
      </c>
      <c r="F2" s="114">
        <f>('Profit &amp; Loss'!F4-'Profit &amp; Loss'!E4)/'Profit &amp; Loss'!E4</f>
        <v>0.108600405096749</v>
      </c>
      <c r="G2" s="114">
        <f>('Profit &amp; Loss'!G4-'Profit &amp; Loss'!F4)/'Profit &amp; Loss'!F4</f>
        <v>-0.182421313153564</v>
      </c>
      <c r="H2" s="114">
        <f>('Profit &amp; Loss'!H4-'Profit &amp; Loss'!G4)/'Profit &amp; Loss'!G4</f>
        <v>0.0155955305491718</v>
      </c>
      <c r="I2" s="114">
        <f>('Profit &amp; Loss'!I4-'Profit &amp; Loss'!H4)/'Profit &amp; Loss'!H4</f>
        <v>0.138719393248958</v>
      </c>
      <c r="J2" s="114">
        <f>('Profit &amp; Loss'!J4-'Profit &amp; Loss'!I4)/'Profit &amp; Loss'!I4</f>
        <v>0.545773489748931</v>
      </c>
      <c r="K2" s="114">
        <f>('Profit &amp; Loss'!K4-'Profit &amp; Loss'!J4)/'Profit &amp; Loss'!J4</f>
        <v>-0.0878165118093483</v>
      </c>
    </row>
    <row r="3" spans="1:11">
      <c r="A3" s="113" t="s">
        <v>243</v>
      </c>
      <c r="B3" s="114"/>
      <c r="C3" s="114">
        <f>('Data Sheet'!C67-'Data Sheet'!B67)/'Data Sheet'!B67</f>
        <v>0.650231124807396</v>
      </c>
      <c r="D3" s="114">
        <f>('Data Sheet'!D67-'Data Sheet'!C67)/'Data Sheet'!C67</f>
        <v>0.321078431372549</v>
      </c>
      <c r="E3" s="114">
        <f>('Data Sheet'!E67-'Data Sheet'!D67)/'Data Sheet'!D67</f>
        <v>0.0164325470447919</v>
      </c>
      <c r="F3" s="114">
        <f>('Data Sheet'!F67-'Data Sheet'!E67)/'Data Sheet'!E67</f>
        <v>0.122120817036071</v>
      </c>
      <c r="G3" s="114">
        <f>('Data Sheet'!G67-'Data Sheet'!F67)/'Data Sheet'!F67</f>
        <v>-0.110611928737413</v>
      </c>
      <c r="H3" s="114">
        <f>('Data Sheet'!H67-'Data Sheet'!G67)/'Data Sheet'!G67</f>
        <v>0.224002786970911</v>
      </c>
      <c r="I3" s="114">
        <f>('Data Sheet'!I67-'Data Sheet'!H67)/'Data Sheet'!H67</f>
        <v>0.260210616194678</v>
      </c>
      <c r="J3" s="114">
        <f>('Data Sheet'!J67-'Data Sheet'!I67)/'Data Sheet'!I67</f>
        <v>0.377561967139066</v>
      </c>
      <c r="K3" s="114">
        <f>('Data Sheet'!K67-'Data Sheet'!J67)/'Data Sheet'!J67</f>
        <v>-0.172964997130912</v>
      </c>
    </row>
    <row r="4" spans="1:11">
      <c r="A4" s="113" t="s">
        <v>244</v>
      </c>
      <c r="B4" s="114"/>
      <c r="C4" s="114">
        <f>('Balance Sheet'!C18-'Balance Sheet'!B18)/'Balance Sheet'!B18</f>
        <v>0.22879177377892</v>
      </c>
      <c r="D4" s="114">
        <f>('Balance Sheet'!D18-'Balance Sheet'!C18)/'Balance Sheet'!C18</f>
        <v>0.270106927010693</v>
      </c>
      <c r="E4" s="114">
        <f>('Balance Sheet'!E18-'Balance Sheet'!D18)/'Balance Sheet'!D18</f>
        <v>-0.146595900439239</v>
      </c>
      <c r="F4" s="114">
        <f>('Balance Sheet'!F18-'Balance Sheet'!E18)/'Balance Sheet'!E18</f>
        <v>0.16856101222389</v>
      </c>
      <c r="G4" s="114">
        <f>('Balance Sheet'!G18-'Balance Sheet'!F18)/'Balance Sheet'!F18</f>
        <v>-0.179665993760323</v>
      </c>
      <c r="H4" s="114">
        <f>('Balance Sheet'!H18-'Balance Sheet'!G18)/'Balance Sheet'!G18</f>
        <v>0.455704697986577</v>
      </c>
      <c r="I4" s="114">
        <f>('Balance Sheet'!I18-'Balance Sheet'!H18)/'Balance Sheet'!H18</f>
        <v>0.263715998155832</v>
      </c>
      <c r="J4" s="114">
        <f>('Balance Sheet'!J18-'Balance Sheet'!I18)/'Balance Sheet'!I18</f>
        <v>0.123555879849203</v>
      </c>
      <c r="K4" s="114">
        <f>('Balance Sheet'!K18-'Balance Sheet'!J18)/'Balance Sheet'!J18</f>
        <v>0.0084424721290183</v>
      </c>
    </row>
    <row r="5" spans="1:11">
      <c r="A5" s="113" t="s">
        <v>245</v>
      </c>
      <c r="B5" s="114">
        <f>'Balance Sheet'!B18/'Profit &amp; Loss'!B4</f>
        <v>0.108507670850767</v>
      </c>
      <c r="C5" s="114">
        <f>'Balance Sheet'!C18/'Profit &amp; Loss'!C4</f>
        <v>0.096142671970679</v>
      </c>
      <c r="D5" s="114">
        <f>'Balance Sheet'!D18/'Profit &amp; Loss'!D4</f>
        <v>0.0985801143846862</v>
      </c>
      <c r="E5" s="114">
        <f>'Balance Sheet'!E18/'Profit &amp; Loss'!E4</f>
        <v>0.0669846149426113</v>
      </c>
      <c r="F5" s="114">
        <f>'Balance Sheet'!F18/'Profit &amp; Loss'!F4</f>
        <v>0.0706075959208532</v>
      </c>
      <c r="G5" s="114">
        <f>'Balance Sheet'!G18/'Profit &amp; Loss'!G4</f>
        <v>0.0708455503605674</v>
      </c>
      <c r="H5" s="114">
        <f>'Balance Sheet'!H18/'Profit &amp; Loss'!H4</f>
        <v>0.101546528503878</v>
      </c>
      <c r="I5" s="114">
        <f>'Balance Sheet'!I18/'Profit &amp; Loss'!I4</f>
        <v>0.112693235390856</v>
      </c>
      <c r="J5" s="114">
        <f>'Balance Sheet'!J18/'Profit &amp; Loss'!J4</f>
        <v>0.0819118377189872</v>
      </c>
      <c r="K5" s="114">
        <f>'Balance Sheet'!K18/'Profit &amp; Loss'!K4</f>
        <v>0.0905556581492317</v>
      </c>
    </row>
    <row r="6" spans="1:11">
      <c r="A6" t="s">
        <v>246</v>
      </c>
      <c r="B6" s="115">
        <f>'Data Sheet'!B67/'Data Sheet'!B17</f>
        <v>0.160917402758407</v>
      </c>
      <c r="C6" s="115">
        <f>'Data Sheet'!C67/'Data Sheet'!C17</f>
        <v>0.191480802753319</v>
      </c>
      <c r="D6" s="115">
        <f>'Data Sheet'!D67/'Data Sheet'!D17</f>
        <v>0.204214552474426</v>
      </c>
      <c r="E6" s="115">
        <f>'Data Sheet'!E67/'Data Sheet'!E17</f>
        <v>0.165270854581759</v>
      </c>
      <c r="F6" s="115">
        <f>'Data Sheet'!F67/'Data Sheet'!F17</f>
        <v>0.167286486206316</v>
      </c>
      <c r="G6" s="115">
        <f>'Data Sheet'!G67/'Data Sheet'!G17</f>
        <v>0.181979554639829</v>
      </c>
      <c r="H6" s="115">
        <f>'Data Sheet'!H67/'Data Sheet'!H17</f>
        <v>0.219323023143307</v>
      </c>
      <c r="I6" s="115">
        <f>'Data Sheet'!I67/'Data Sheet'!I17</f>
        <v>0.242722837408179</v>
      </c>
      <c r="J6" s="115">
        <f>'Data Sheet'!J67/'Data Sheet'!J17</f>
        <v>0.216309667352294</v>
      </c>
      <c r="K6" s="115">
        <f>'Data Sheet'!K67/'Data Sheet'!K17</f>
        <v>0.196118071282086</v>
      </c>
    </row>
    <row r="7" spans="1:11">
      <c r="A7" t="s">
        <v>247</v>
      </c>
      <c r="B7" s="115">
        <f>'Data Sheet'!B25/('Data Sheet'!B64+'Data Sheet'!B69)</f>
        <v>1.24313725490196</v>
      </c>
      <c r="C7" s="115">
        <f>'Data Sheet'!C25/('Data Sheet'!C64+'Data Sheet'!C69)</f>
        <v>0.0702634880803011</v>
      </c>
      <c r="D7" s="115">
        <f>'Data Sheet'!D25/('Data Sheet'!D64+'Data Sheet'!D69)</f>
        <v>0.080790717662226</v>
      </c>
      <c r="E7" s="115">
        <f>'Data Sheet'!E25/('Data Sheet'!E64+'Data Sheet'!E69)</f>
        <v>0.201804577464789</v>
      </c>
      <c r="F7" s="115">
        <f>'Data Sheet'!F25/('Data Sheet'!F64+'Data Sheet'!F69)</f>
        <v>0.295850066934404</v>
      </c>
      <c r="G7" s="115">
        <f>'Data Sheet'!G25/('Data Sheet'!G64+'Data Sheet'!G69)</f>
        <v>0.0821661998132586</v>
      </c>
      <c r="H7" s="115">
        <f>'Data Sheet'!H25/('Data Sheet'!H64+'Data Sheet'!H69)</f>
        <v>0.187443676779814</v>
      </c>
      <c r="I7" s="115">
        <f>'Data Sheet'!I25/('Data Sheet'!I64+'Data Sheet'!I69)</f>
        <v>0.223536282669003</v>
      </c>
      <c r="J7" s="115">
        <f>'Data Sheet'!J25/('Data Sheet'!J64+'Data Sheet'!J69)</f>
        <v>0.29719756657026</v>
      </c>
      <c r="K7" s="115">
        <f>'Data Sheet'!K25/('Data Sheet'!K64+'Data Sheet'!K69)</f>
        <v>0.160055498238998</v>
      </c>
    </row>
    <row r="8" spans="1:11">
      <c r="A8" t="s">
        <v>248</v>
      </c>
      <c r="B8" s="115">
        <f>'Profit &amp; Loss'!B8/'Profit &amp; Loss'!B4</f>
        <v>0.0199907019990702</v>
      </c>
      <c r="C8" s="115">
        <f>'Profit &amp; Loss'!C8/'Profit &amp; Loss'!C4</f>
        <v>0.0157109015330979</v>
      </c>
      <c r="D8" s="115">
        <f>'Profit &amp; Loss'!D8/'Profit &amp; Loss'!D4</f>
        <v>0.0179515398632435</v>
      </c>
      <c r="E8" s="115">
        <f>'Profit &amp; Loss'!E8/'Profit &amp; Loss'!E4</f>
        <v>0.0220073836783359</v>
      </c>
      <c r="F8" s="115">
        <f>'Profit &amp; Loss'!F8/'Profit &amp; Loss'!F4</f>
        <v>0.022883651017843</v>
      </c>
      <c r="G8" s="115">
        <f>'Profit &amp; Loss'!G8/'Profit &amp; Loss'!G4</f>
        <v>0.0293525635945796</v>
      </c>
      <c r="H8" s="115">
        <f>'Profit &amp; Loss'!H8/'Profit &amp; Loss'!H4</f>
        <v>0.0337239969412756</v>
      </c>
      <c r="I8" s="115">
        <f>'Profit &amp; Loss'!I8/'Profit &amp; Loss'!I4</f>
        <v>0.032014033548953</v>
      </c>
      <c r="J8" s="115">
        <f>'Profit &amp; Loss'!J8/'Profit &amp; Loss'!J4</f>
        <v>0.0242836371373856</v>
      </c>
      <c r="K8" s="115">
        <f>'Profit &amp; Loss'!K8/'Profit &amp; Loss'!K4</f>
        <v>0.032229533371563</v>
      </c>
    </row>
    <row r="9" ht="25.8" spans="1:15">
      <c r="A9" t="s">
        <v>249</v>
      </c>
      <c r="B9" s="116">
        <f>0/('Data Sheet'!B57+'Data Sheet'!B58)</f>
        <v>0</v>
      </c>
      <c r="C9" s="116">
        <f>0/('Data Sheet'!C57+'Data Sheet'!C58)</f>
        <v>0</v>
      </c>
      <c r="D9" s="116">
        <f>0/('Data Sheet'!D57+'Data Sheet'!D58)</f>
        <v>0</v>
      </c>
      <c r="E9" s="116">
        <f>0/('Data Sheet'!E57+'Data Sheet'!E58)</f>
        <v>0</v>
      </c>
      <c r="F9" s="116">
        <f>0/('Data Sheet'!F57+'Data Sheet'!F58)</f>
        <v>0</v>
      </c>
      <c r="G9" s="116">
        <f>0/('Data Sheet'!G57+'Data Sheet'!G58)</f>
        <v>0</v>
      </c>
      <c r="H9" s="116">
        <f>0/('Data Sheet'!H57+'Data Sheet'!H58)</f>
        <v>0</v>
      </c>
      <c r="I9" s="116">
        <f>0/('Data Sheet'!I57+'Data Sheet'!I58)</f>
        <v>0</v>
      </c>
      <c r="J9" s="116">
        <f>0/('Data Sheet'!J57+'Data Sheet'!J58)</f>
        <v>0</v>
      </c>
      <c r="K9" s="116">
        <f>0/('Data Sheet'!K57+'Data Sheet'!K58)</f>
        <v>0</v>
      </c>
      <c r="L9" s="119" t="s">
        <v>250</v>
      </c>
      <c r="M9" s="119"/>
      <c r="N9" s="119"/>
      <c r="O9" s="106"/>
    </row>
    <row r="10" spans="1:12">
      <c r="A10" t="s">
        <v>251</v>
      </c>
      <c r="B10" s="115">
        <f>'Cash Flow'!B4/'Profit &amp; Loss'!B12</f>
        <v>0.602462959399654</v>
      </c>
      <c r="C10" s="115">
        <f>'Cash Flow'!C4/'Profit &amp; Loss'!C12</f>
        <v>0.360335705163291</v>
      </c>
      <c r="D10" s="115">
        <f>'Cash Flow'!D4/'Profit &amp; Loss'!D12</f>
        <v>1.34139236819109</v>
      </c>
      <c r="E10" s="115">
        <f>'Cash Flow'!E4/'Profit &amp; Loss'!E12</f>
        <v>1.52594312246082</v>
      </c>
      <c r="F10" s="115">
        <f>'Cash Flow'!F4/'Profit &amp; Loss'!F12</f>
        <v>0.97210467225149</v>
      </c>
      <c r="G10" s="115">
        <f>'Cash Flow'!G4/'Profit &amp; Loss'!G12</f>
        <v>1.2730105647184</v>
      </c>
      <c r="H10" s="115">
        <f>'Cash Flow'!H4/'Profit &amp; Loss'!H12</f>
        <v>0.929783290561734</v>
      </c>
      <c r="I10" s="115">
        <f>'Cash Flow'!I4/'Profit &amp; Loss'!I12</f>
        <v>0.961426188490409</v>
      </c>
      <c r="J10" s="115">
        <f>'Cash Flow'!J4/'Profit &amp; Loss'!J12</f>
        <v>0.709264044744947</v>
      </c>
      <c r="K10" s="115">
        <f>'Cash Flow'!K4/'Profit &amp; Loss'!K12</f>
        <v>1.24597088251153</v>
      </c>
      <c r="L10" s="120">
        <f>AVERAGE(B10:K10)</f>
        <v>0.992169379849337</v>
      </c>
    </row>
    <row r="11" spans="1:12">
      <c r="A11" t="s">
        <v>252</v>
      </c>
      <c r="B11" s="115">
        <f>'Cash Flow'!B4/Ratios!B27</f>
        <v>0.449017639466514</v>
      </c>
      <c r="C11" s="115">
        <f>'Cash Flow'!C4/Ratios!C27</f>
        <v>0.207850978741318</v>
      </c>
      <c r="D11" s="115">
        <f>'Cash Flow'!D4/Ratios!D27</f>
        <v>0.765331560578361</v>
      </c>
      <c r="E11" s="115">
        <f>'Cash Flow'!E4/Ratios!E27</f>
        <v>0.859833867486428</v>
      </c>
      <c r="F11" s="115">
        <f>'Cash Flow'!F4/Ratios!F27</f>
        <v>0.58600583090379</v>
      </c>
      <c r="G11" s="115">
        <f>'Cash Flow'!G4/Ratios!G27</f>
        <v>0.809991295096237</v>
      </c>
      <c r="H11" s="115">
        <f>'Cash Flow'!H4/Ratios!H27</f>
        <v>0.598742196107235</v>
      </c>
      <c r="I11" s="115">
        <f>'Cash Flow'!I4/Ratios!I27</f>
        <v>0.697614604871652</v>
      </c>
      <c r="J11" s="115">
        <f>'Cash Flow'!J4/Ratios!J27</f>
        <v>0.471424201783487</v>
      </c>
      <c r="K11" s="115">
        <f>'Cash Flow'!K4/Ratios!K27</f>
        <v>1.00253085229464</v>
      </c>
      <c r="L11" s="120">
        <f>AVERAGE(B11:K11)</f>
        <v>0.644834302732966</v>
      </c>
    </row>
    <row r="12" spans="1:11">
      <c r="A12" t="s">
        <v>253</v>
      </c>
      <c r="B12" s="117">
        <f>'Balance Sheet'!B20*(1-'Profit &amp; Loss'!B18)</f>
        <v>0.317001879045167</v>
      </c>
      <c r="C12" s="117">
        <f>'Balance Sheet'!C20*(1-'Profit &amp; Loss'!C18)</f>
        <v>0.240295155598332</v>
      </c>
      <c r="D12" s="117">
        <f>'Balance Sheet'!D20*(1-'Profit &amp; Loss'!D18)</f>
        <v>0.23346045431935</v>
      </c>
      <c r="E12" s="117">
        <f>'Balance Sheet'!E20*(1-'Profit &amp; Loss'!E18)</f>
        <v>0.230109330151256</v>
      </c>
      <c r="F12" s="117">
        <f>'Balance Sheet'!F20*(1-'Profit &amp; Loss'!F18)</f>
        <v>0.225158391890335</v>
      </c>
      <c r="G12" s="117">
        <f>'Balance Sheet'!G20*(1-'Profit &amp; Loss'!G18)</f>
        <v>0.205129627574984</v>
      </c>
      <c r="H12" s="117">
        <f>'Balance Sheet'!H20*(1-'Profit &amp; Loss'!H18)</f>
        <v>0.202497022102616</v>
      </c>
      <c r="I12" s="117">
        <f>'Balance Sheet'!I20*(1-'Profit &amp; Loss'!I18)</f>
        <v>0.151568403479483</v>
      </c>
      <c r="J12" s="117">
        <f>'Balance Sheet'!J20*(1-'Profit &amp; Loss'!J18)</f>
        <v>0.234485579484058</v>
      </c>
      <c r="K12" s="117">
        <f>'Balance Sheet'!K20*(1-'Profit &amp; Loss'!K18)</f>
        <v>0.216724896632041</v>
      </c>
    </row>
    <row r="13" spans="1:11">
      <c r="A13" t="s">
        <v>254</v>
      </c>
      <c r="B13">
        <f>'Data Sheet'!B31</f>
        <v>6.42</v>
      </c>
      <c r="C13">
        <f>'Data Sheet'!C31</f>
        <v>9.87</v>
      </c>
      <c r="D13">
        <f>'Data Sheet'!D31</f>
        <v>12.34</v>
      </c>
      <c r="E13">
        <f>'Data Sheet'!E31</f>
        <v>14.8</v>
      </c>
      <c r="F13">
        <f>'Data Sheet'!F31</f>
        <v>18.06</v>
      </c>
      <c r="G13">
        <f>'Data Sheet'!G31</f>
        <v>20.64</v>
      </c>
      <c r="H13">
        <f>'Data Sheet'!H31</f>
        <v>2.58</v>
      </c>
      <c r="I13">
        <f>'Data Sheet'!I31</f>
        <v>23.13</v>
      </c>
      <c r="J13">
        <f>'Data Sheet'!J31</f>
        <v>35.98</v>
      </c>
      <c r="K13">
        <f>'Data Sheet'!K31</f>
        <v>56.54</v>
      </c>
    </row>
    <row r="14" spans="1:11">
      <c r="A14" s="118" t="s">
        <v>255</v>
      </c>
      <c r="B14" s="117">
        <f>'Profit &amp; Loss'!B18</f>
        <v>0.123532807388878</v>
      </c>
      <c r="C14" s="117">
        <f>'Profit &amp; Loss'!C18</f>
        <v>0.18007662835249</v>
      </c>
      <c r="D14" s="117">
        <f>'Profit &amp; Loss'!D18</f>
        <v>0.179726187008447</v>
      </c>
      <c r="E14" s="117">
        <f>'Profit &amp; Loss'!E18</f>
        <v>0.171793383633198</v>
      </c>
      <c r="F14" s="117">
        <f>'Profit &amp; Loss'!F18</f>
        <v>0.155972018309008</v>
      </c>
      <c r="G14" s="117">
        <f>'Profit &amp; Loss'!G18</f>
        <v>0.156874667477388</v>
      </c>
      <c r="H14" s="117">
        <f>'Profit &amp; Loss'!H18</f>
        <v>0.0183917878528657</v>
      </c>
      <c r="I14" s="117">
        <f>'Profit &amp; Loss'!I18</f>
        <v>0.160758965804837</v>
      </c>
      <c r="J14" s="117">
        <f>'Profit &amp; Loss'!J18</f>
        <v>0.12736734043683</v>
      </c>
      <c r="K14" s="117">
        <f>'Profit &amp; Loss'!K18</f>
        <v>0.169372715834881</v>
      </c>
    </row>
    <row r="15" ht="28.8" spans="1:15">
      <c r="A15" s="118" t="s">
        <v>256</v>
      </c>
      <c r="B15" s="116">
        <f>0/'Profit &amp; Loss'!B4</f>
        <v>0</v>
      </c>
      <c r="C15" s="116">
        <f>0/'Profit &amp; Loss'!C4</f>
        <v>0</v>
      </c>
      <c r="D15" s="116">
        <f>0/'Profit &amp; Loss'!D4</f>
        <v>0</v>
      </c>
      <c r="E15" s="116">
        <f>0/'Profit &amp; Loss'!E4</f>
        <v>0</v>
      </c>
      <c r="F15" s="116">
        <f>0/'Profit &amp; Loss'!F4</f>
        <v>0</v>
      </c>
      <c r="G15" s="116">
        <f>0/'Profit &amp; Loss'!G4</f>
        <v>0</v>
      </c>
      <c r="H15" s="116">
        <f>0/'Profit &amp; Loss'!H4</f>
        <v>0</v>
      </c>
      <c r="I15" s="116">
        <f>0/'Profit &amp; Loss'!I4</f>
        <v>0</v>
      </c>
      <c r="J15" s="116">
        <f>0/'Profit &amp; Loss'!J4</f>
        <v>0</v>
      </c>
      <c r="K15" s="116">
        <f>0/'Profit &amp; Loss'!K4</f>
        <v>0</v>
      </c>
      <c r="L15" s="119" t="s">
        <v>250</v>
      </c>
      <c r="M15" s="119"/>
      <c r="N15" s="119"/>
      <c r="O15" s="106"/>
    </row>
    <row r="16" ht="28.8" spans="1:15">
      <c r="A16" s="118" t="s">
        <v>257</v>
      </c>
      <c r="B16">
        <f>(0/'Data Sheet'!B17)</f>
        <v>0</v>
      </c>
      <c r="C16">
        <f>(0/'Data Sheet'!C17)</f>
        <v>0</v>
      </c>
      <c r="D16">
        <f>(0/'Data Sheet'!D17)</f>
        <v>0</v>
      </c>
      <c r="E16">
        <f>(0/'Data Sheet'!E17)</f>
        <v>0</v>
      </c>
      <c r="F16">
        <f>(0/'Data Sheet'!F17)</f>
        <v>0</v>
      </c>
      <c r="G16">
        <f>(0/'Data Sheet'!G17)</f>
        <v>0</v>
      </c>
      <c r="H16">
        <f>(0/'Data Sheet'!H17)</f>
        <v>0</v>
      </c>
      <c r="I16">
        <f>(0/'Data Sheet'!I17)</f>
        <v>0</v>
      </c>
      <c r="J16">
        <f>(0/'Data Sheet'!J17)</f>
        <v>0</v>
      </c>
      <c r="K16">
        <f>(0/'Data Sheet'!K17)</f>
        <v>0</v>
      </c>
      <c r="L16" s="119" t="s">
        <v>250</v>
      </c>
      <c r="M16" s="106"/>
      <c r="N16" s="106"/>
      <c r="O16" s="106"/>
    </row>
    <row r="17" ht="25.8" spans="1:15">
      <c r="A17" t="s">
        <v>258</v>
      </c>
      <c r="B17" s="116">
        <f>0/('Data Sheet'!B57+'Data Sheet'!B58)</f>
        <v>0</v>
      </c>
      <c r="C17" s="116">
        <f>0/('Data Sheet'!C57+'Data Sheet'!C58)</f>
        <v>0</v>
      </c>
      <c r="D17" s="116">
        <f>0/('Data Sheet'!D57+'Data Sheet'!D58)</f>
        <v>0</v>
      </c>
      <c r="E17" s="116">
        <f>0/('Data Sheet'!E57+'Data Sheet'!E58)</f>
        <v>0</v>
      </c>
      <c r="F17" s="116">
        <f>0/('Data Sheet'!F57+'Data Sheet'!F58)</f>
        <v>0</v>
      </c>
      <c r="G17" s="116">
        <f>0/('Data Sheet'!G57+'Data Sheet'!G58)</f>
        <v>0</v>
      </c>
      <c r="H17" s="116">
        <f>0/('Data Sheet'!H57+'Data Sheet'!H58)</f>
        <v>0</v>
      </c>
      <c r="I17" s="116">
        <f>0/('Data Sheet'!I57+'Data Sheet'!I58)</f>
        <v>0</v>
      </c>
      <c r="J17" s="116">
        <f>0/('Data Sheet'!J57+'Data Sheet'!J58)</f>
        <v>0</v>
      </c>
      <c r="K17" s="116">
        <f>0/('Data Sheet'!K57+'Data Sheet'!K58)</f>
        <v>0</v>
      </c>
      <c r="L17" s="119" t="s">
        <v>250</v>
      </c>
      <c r="M17" s="106"/>
      <c r="N17" s="106"/>
      <c r="O17" s="106"/>
    </row>
    <row r="18" ht="25.8" spans="1:15">
      <c r="A18" t="s">
        <v>259</v>
      </c>
      <c r="B18">
        <f>0/'Data Sheet'!B67</f>
        <v>0</v>
      </c>
      <c r="C18">
        <f>0/'Data Sheet'!C67</f>
        <v>0</v>
      </c>
      <c r="D18">
        <f>0/'Data Sheet'!D67</f>
        <v>0</v>
      </c>
      <c r="E18">
        <f>0/'Data Sheet'!E67</f>
        <v>0</v>
      </c>
      <c r="F18">
        <f>0/'Data Sheet'!F67</f>
        <v>0</v>
      </c>
      <c r="G18">
        <f>0/'Data Sheet'!G67</f>
        <v>0</v>
      </c>
      <c r="H18">
        <f>0/'Data Sheet'!H67</f>
        <v>0</v>
      </c>
      <c r="I18">
        <f>0/'Data Sheet'!I67</f>
        <v>0</v>
      </c>
      <c r="J18">
        <f>0/'Data Sheet'!J67</f>
        <v>0</v>
      </c>
      <c r="K18">
        <f>0/'Data Sheet'!K67</f>
        <v>0</v>
      </c>
      <c r="L18" s="119" t="s">
        <v>250</v>
      </c>
      <c r="M18" s="106"/>
      <c r="N18" s="106"/>
      <c r="O18" s="106"/>
    </row>
    <row r="19" spans="1:11">
      <c r="A19" t="s">
        <v>260</v>
      </c>
      <c r="B19" s="115">
        <f>'Data Sheet'!B63/'Data Sheet'!B62</f>
        <v>0.32418818026446</v>
      </c>
      <c r="C19" s="115">
        <f>'Data Sheet'!C63/'Data Sheet'!C62</f>
        <v>0.393250640981221</v>
      </c>
      <c r="D19" s="115">
        <f>'Data Sheet'!D63/'Data Sheet'!D62</f>
        <v>0.0484265674008203</v>
      </c>
      <c r="E19" s="115">
        <f>'Data Sheet'!E63/'Data Sheet'!E62</f>
        <v>0.0331700581873171</v>
      </c>
      <c r="F19" s="115">
        <f>'Data Sheet'!F63/'Data Sheet'!F62</f>
        <v>0.0611764705882353</v>
      </c>
      <c r="G19" s="115">
        <f>'Data Sheet'!G63/'Data Sheet'!G62</f>
        <v>0.0650187226688313</v>
      </c>
      <c r="H19" s="115">
        <f>'Data Sheet'!H63/'Data Sheet'!H62</f>
        <v>0.0157827202737382</v>
      </c>
      <c r="I19" s="115">
        <f>'Data Sheet'!I63/'Data Sheet'!I62</f>
        <v>0.0763505822607478</v>
      </c>
      <c r="J19" s="115">
        <f>'Data Sheet'!J63/'Data Sheet'!J62</f>
        <v>0.402899833512465</v>
      </c>
      <c r="K19" s="115">
        <f>'Data Sheet'!K63/'Data Sheet'!K62</f>
        <v>0.0412515317811285</v>
      </c>
    </row>
    <row r="20" spans="1:11">
      <c r="A20" t="s">
        <v>261</v>
      </c>
      <c r="B20" s="115">
        <f>'Data Sheet'!B22/'Data Sheet'!B17</f>
        <v>0.0461800712846738</v>
      </c>
      <c r="C20" s="115">
        <f>'Data Sheet'!C22/'Data Sheet'!C17</f>
        <v>0.0410092522236625</v>
      </c>
      <c r="D20" s="115">
        <f>'Data Sheet'!D22/'Data Sheet'!D17</f>
        <v>0.0408104353473939</v>
      </c>
      <c r="E20" s="115">
        <f>'Data Sheet'!E22/'Data Sheet'!E17</f>
        <v>0.0394610202117421</v>
      </c>
      <c r="F20" s="115">
        <f>'Data Sheet'!F22/'Data Sheet'!F17</f>
        <v>0.0413875319088282</v>
      </c>
      <c r="G20" s="115">
        <f>'Data Sheet'!G22/'Data Sheet'!G17</f>
        <v>0.0570409699659244</v>
      </c>
      <c r="H20" s="115">
        <f>'Data Sheet'!H22/'Data Sheet'!H17</f>
        <v>0.0654972767989513</v>
      </c>
      <c r="I20" s="115">
        <f>'Data Sheet'!I22/'Data Sheet'!I17</f>
        <v>0.0672623615831597</v>
      </c>
      <c r="J20" s="115">
        <f>'Data Sheet'!J22/'Data Sheet'!J17</f>
        <v>0.0481505780551812</v>
      </c>
      <c r="K20" s="115">
        <f>'Data Sheet'!K22/'Data Sheet'!K17</f>
        <v>0.0625832223701731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7"/>
  <sheetViews>
    <sheetView workbookViewId="0">
      <selection activeCell="L1" sqref="L1"/>
    </sheetView>
  </sheetViews>
  <sheetFormatPr defaultColWidth="8.83333333333333" defaultRowHeight="14.4"/>
  <cols>
    <col min="2" max="2" width="23.3333333333333" customWidth="1"/>
    <col min="3" max="3" width="17.3333333333333" customWidth="1"/>
    <col min="4" max="4" width="11.5" customWidth="1"/>
    <col min="5" max="5" width="24.3333333333333" customWidth="1"/>
    <col min="9" max="9" width="24.5" customWidth="1"/>
    <col min="10" max="10" width="11.5" customWidth="1"/>
    <col min="11" max="11" width="12.5" customWidth="1"/>
  </cols>
  <sheetData>
    <row r="2" ht="18" spans="2:11">
      <c r="B2" s="75" t="s">
        <v>262</v>
      </c>
      <c r="C2" s="75"/>
      <c r="D2" s="75"/>
      <c r="E2" s="75" t="s">
        <v>263</v>
      </c>
      <c r="F2" s="76"/>
      <c r="I2" s="99" t="s">
        <v>264</v>
      </c>
      <c r="J2" s="100" t="s">
        <v>265</v>
      </c>
      <c r="K2" s="100" t="s">
        <v>266</v>
      </c>
    </row>
    <row r="3" ht="19.8" spans="2:11">
      <c r="B3" s="77" t="s">
        <v>267</v>
      </c>
      <c r="C3" s="77"/>
      <c r="D3" s="77"/>
      <c r="E3" s="78">
        <v>0.2</v>
      </c>
      <c r="F3" s="79"/>
      <c r="I3" s="99"/>
      <c r="J3" s="101"/>
      <c r="K3" s="101"/>
    </row>
    <row r="4" ht="19.8" spans="2:11">
      <c r="B4" s="77" t="s">
        <v>268</v>
      </c>
      <c r="C4" s="77"/>
      <c r="D4" s="77"/>
      <c r="E4" s="78">
        <v>0.2</v>
      </c>
      <c r="F4" s="79"/>
      <c r="I4" s="99" t="s">
        <v>269</v>
      </c>
      <c r="J4" s="102">
        <f>J18</f>
        <v>11421.773070897</v>
      </c>
      <c r="K4" s="103">
        <f>J4/E10</f>
        <v>1111.26137036146</v>
      </c>
    </row>
    <row r="5" ht="19.8" spans="2:11">
      <c r="B5" s="77" t="s">
        <v>270</v>
      </c>
      <c r="C5" s="77"/>
      <c r="D5" s="77"/>
      <c r="E5" s="80">
        <v>0.07</v>
      </c>
      <c r="F5" s="79"/>
      <c r="I5" s="99" t="s">
        <v>271</v>
      </c>
      <c r="J5" s="103">
        <f>'Profit &amp; Loss'!K12/0.07</f>
        <v>4768.85714285714</v>
      </c>
      <c r="K5" s="101">
        <f>J5/E10</f>
        <v>463.977588307421</v>
      </c>
    </row>
    <row r="6" ht="19.8" spans="2:11">
      <c r="B6" s="77" t="s">
        <v>272</v>
      </c>
      <c r="C6" s="77"/>
      <c r="D6" s="77"/>
      <c r="E6" s="78">
        <v>0.02</v>
      </c>
      <c r="F6" s="79"/>
      <c r="I6" s="99" t="s">
        <v>273</v>
      </c>
      <c r="J6" s="103">
        <f>J5+J4</f>
        <v>16190.6302137542</v>
      </c>
      <c r="K6" s="104">
        <f>K4+K5</f>
        <v>1575.23895866888</v>
      </c>
    </row>
    <row r="7" ht="19.8" spans="2:11">
      <c r="B7" s="77" t="s">
        <v>274</v>
      </c>
      <c r="C7" s="77"/>
      <c r="D7" s="77"/>
      <c r="E7" s="81">
        <f>'Data Sheet'!K69</f>
        <v>53.7</v>
      </c>
      <c r="F7" s="79"/>
      <c r="I7" s="99" t="s">
        <v>275</v>
      </c>
      <c r="J7" s="103">
        <f>J6*0.5</f>
        <v>8095.31510687709</v>
      </c>
      <c r="K7" s="101">
        <f>J7/E10</f>
        <v>787.61947933444</v>
      </c>
    </row>
    <row r="8" ht="19.8" spans="2:11">
      <c r="B8" s="77" t="s">
        <v>55</v>
      </c>
      <c r="C8" s="77"/>
      <c r="D8" s="77"/>
      <c r="E8" s="82">
        <f>'Data Sheet'!K64</f>
        <v>227.39</v>
      </c>
      <c r="F8" s="79"/>
      <c r="I8" s="99" t="str">
        <f>'Data Sheet'!A8</f>
        <v>Current Price</v>
      </c>
      <c r="J8" s="105">
        <f>'Data Sheet'!B8</f>
        <v>1697.7</v>
      </c>
      <c r="K8" s="103"/>
    </row>
    <row r="9" ht="19.8" spans="2:6">
      <c r="B9" s="77" t="s">
        <v>276</v>
      </c>
      <c r="C9" s="77"/>
      <c r="D9" s="77"/>
      <c r="E9" s="82">
        <f>'Data Sheet'!K59</f>
        <v>0.35</v>
      </c>
      <c r="F9" s="79"/>
    </row>
    <row r="10" ht="19.8" spans="2:6">
      <c r="B10" s="77" t="s">
        <v>277</v>
      </c>
      <c r="C10" s="77"/>
      <c r="D10" s="77"/>
      <c r="E10" s="83">
        <f>'Data Sheet'!B6</f>
        <v>10.2782058078577</v>
      </c>
      <c r="F10" s="84"/>
    </row>
    <row r="11" ht="19.8" spans="2:6">
      <c r="B11" s="77" t="s">
        <v>278</v>
      </c>
      <c r="C11" s="77"/>
      <c r="D11" s="77"/>
      <c r="E11" s="85">
        <f>E7+E8</f>
        <v>281.09</v>
      </c>
      <c r="F11" s="84"/>
    </row>
    <row r="12" ht="19.8" spans="2:6">
      <c r="B12" s="77" t="s">
        <v>279</v>
      </c>
      <c r="C12" s="77"/>
      <c r="D12" s="77"/>
      <c r="E12" s="86">
        <f>'Data Sheet'!B8</f>
        <v>1697.7</v>
      </c>
      <c r="F12" s="84"/>
    </row>
    <row r="13" ht="21" spans="2:17">
      <c r="B13" s="87" t="s">
        <v>280</v>
      </c>
      <c r="C13" s="87"/>
      <c r="D13" s="87"/>
      <c r="E13" s="88">
        <f>AVERAGE('Cash Flow'!I9:K9)</f>
        <v>157.54</v>
      </c>
      <c r="F13" s="89"/>
      <c r="G13" s="90" t="s">
        <v>281</v>
      </c>
      <c r="H13" s="90"/>
      <c r="I13" s="90"/>
      <c r="J13" s="90"/>
      <c r="K13" s="90"/>
      <c r="L13" s="90"/>
      <c r="M13" s="106"/>
      <c r="N13" s="107"/>
      <c r="O13" s="107"/>
      <c r="P13" s="107"/>
      <c r="Q13" s="107"/>
    </row>
    <row r="14" spans="2:6">
      <c r="B14" s="91"/>
      <c r="C14" s="91"/>
      <c r="D14" s="91"/>
      <c r="E14" s="92"/>
      <c r="F14" s="93"/>
    </row>
    <row r="15" spans="9:10">
      <c r="I15" s="108" t="s">
        <v>282</v>
      </c>
      <c r="J15" s="109">
        <f>(C26*E6)+C26</f>
        <v>845.711817238905</v>
      </c>
    </row>
    <row r="16" ht="18" spans="2:10">
      <c r="B16" s="94" t="s">
        <v>283</v>
      </c>
      <c r="C16" s="95" t="s">
        <v>284</v>
      </c>
      <c r="D16" s="95" t="s">
        <v>285</v>
      </c>
      <c r="E16" s="95" t="s">
        <v>286</v>
      </c>
      <c r="I16" s="108" t="s">
        <v>287</v>
      </c>
      <c r="J16" s="110">
        <f>SUM(E17:E26)</f>
        <v>2823.43299802979</v>
      </c>
    </row>
    <row r="17" spans="2:10">
      <c r="B17" s="96">
        <v>1</v>
      </c>
      <c r="C17" s="97">
        <f>(E13*E3)+E13</f>
        <v>189.048</v>
      </c>
      <c r="D17" s="98">
        <f>$E$3</f>
        <v>0.2</v>
      </c>
      <c r="E17" s="97">
        <f>C17/(1+E5)^B17</f>
        <v>176.680373831776</v>
      </c>
      <c r="I17" s="111" t="s">
        <v>288</v>
      </c>
      <c r="J17" s="109">
        <f>J15/(E5-E6)/(1+E5)^B26</f>
        <v>8598.34007286726</v>
      </c>
    </row>
    <row r="18" spans="2:10">
      <c r="B18" s="96">
        <v>2</v>
      </c>
      <c r="C18" s="97">
        <f>(C17*E3)+C17</f>
        <v>226.8576</v>
      </c>
      <c r="D18" s="98">
        <f t="shared" ref="D18:D21" si="0">$E$3</f>
        <v>0.2</v>
      </c>
      <c r="E18" s="96">
        <f>C18/(1+E5)^B18</f>
        <v>198.146213643113</v>
      </c>
      <c r="I18" s="111" t="s">
        <v>289</v>
      </c>
      <c r="J18" s="110">
        <f>J17+J16</f>
        <v>11421.773070897</v>
      </c>
    </row>
    <row r="19" spans="2:5">
      <c r="B19" s="96">
        <v>3</v>
      </c>
      <c r="C19" s="97">
        <f>(C18*E3)+C18</f>
        <v>272.22912</v>
      </c>
      <c r="D19" s="98">
        <f t="shared" si="0"/>
        <v>0.2</v>
      </c>
      <c r="E19" s="97">
        <f>C19/(1+E5)^B19</f>
        <v>222.220052683865</v>
      </c>
    </row>
    <row r="20" spans="2:5">
      <c r="B20" s="96">
        <v>4</v>
      </c>
      <c r="C20" s="97">
        <f>(C19*E3)+C19</f>
        <v>326.674944</v>
      </c>
      <c r="D20" s="98">
        <f t="shared" si="0"/>
        <v>0.2</v>
      </c>
      <c r="E20" s="97">
        <f>C20/(1+E5)^B20</f>
        <v>249.218750673493</v>
      </c>
    </row>
    <row r="21" spans="2:5">
      <c r="B21" s="96">
        <v>5</v>
      </c>
      <c r="C21" s="97">
        <f>(C20*E3)+C20</f>
        <v>392.0099328</v>
      </c>
      <c r="D21" s="98">
        <f t="shared" si="0"/>
        <v>0.2</v>
      </c>
      <c r="E21" s="96">
        <f>C21/(1+E5)^B21</f>
        <v>279.497664306722</v>
      </c>
    </row>
    <row r="22" spans="2:5">
      <c r="B22" s="96">
        <v>6</v>
      </c>
      <c r="C22" s="97">
        <f>(C21*E6)+C21</f>
        <v>399.850131456</v>
      </c>
      <c r="D22" s="98">
        <f>$E$4</f>
        <v>0.2</v>
      </c>
      <c r="E22" s="96">
        <f>C22/(1+E5)^B22</f>
        <v>266.437025787716</v>
      </c>
    </row>
    <row r="23" spans="2:5">
      <c r="B23" s="96">
        <v>7</v>
      </c>
      <c r="C23" s="97">
        <f>(C22*E4)+C22</f>
        <v>479.8201577472</v>
      </c>
      <c r="D23" s="98">
        <f t="shared" ref="D23:D26" si="1">$E$4</f>
        <v>0.2</v>
      </c>
      <c r="E23" s="96">
        <f>C23/(1+E5)^B23</f>
        <v>298.807879388093</v>
      </c>
    </row>
    <row r="24" spans="2:5">
      <c r="B24" s="96">
        <v>8</v>
      </c>
      <c r="C24" s="97">
        <f>(C23*E4)+C23</f>
        <v>575.78418929664</v>
      </c>
      <c r="D24" s="98">
        <f t="shared" si="1"/>
        <v>0.2</v>
      </c>
      <c r="E24" s="96">
        <f>C24/(1+E5)^B24</f>
        <v>335.111640435244</v>
      </c>
    </row>
    <row r="25" spans="2:5">
      <c r="B25" s="96">
        <v>9</v>
      </c>
      <c r="C25" s="97">
        <f>(C24*E4)+C24</f>
        <v>690.941027155968</v>
      </c>
      <c r="D25" s="98">
        <f t="shared" si="1"/>
        <v>0.2</v>
      </c>
      <c r="E25" s="96">
        <f>C25/(1+E5)^B25</f>
        <v>375.826138805881</v>
      </c>
    </row>
    <row r="26" spans="2:5">
      <c r="B26" s="96">
        <v>10</v>
      </c>
      <c r="C26" s="97">
        <f>(C25*E4)+C25</f>
        <v>829.129232587162</v>
      </c>
      <c r="D26" s="98">
        <f t="shared" si="1"/>
        <v>0.2</v>
      </c>
      <c r="E26" s="96">
        <f>C26/(1+E5)^B26</f>
        <v>421.487258473885</v>
      </c>
    </row>
    <row r="27" spans="2:5">
      <c r="B27" s="96"/>
      <c r="C27" s="96"/>
      <c r="D27" s="96"/>
      <c r="E27" s="96"/>
    </row>
  </sheetData>
  <mergeCells count="12"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</mergeCells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7"/>
  <sheetViews>
    <sheetView zoomScale="85" zoomScaleNormal="85" workbookViewId="0">
      <selection activeCell="D1" sqref="D1:M1"/>
    </sheetView>
  </sheetViews>
  <sheetFormatPr defaultColWidth="11.5" defaultRowHeight="14.4"/>
  <cols>
    <col min="1" max="1" width="20.1666666666667" customWidth="1"/>
    <col min="5" max="5" width="17.3333333333333" customWidth="1"/>
  </cols>
  <sheetData>
    <row r="1" spans="1:16">
      <c r="A1" s="9"/>
      <c r="B1" s="9"/>
      <c r="C1" s="10"/>
      <c r="D1" s="11" t="s">
        <v>290</v>
      </c>
      <c r="E1" s="12"/>
      <c r="F1" s="12"/>
      <c r="G1" s="12"/>
      <c r="H1" s="12"/>
      <c r="I1" s="12"/>
      <c r="J1" s="12"/>
      <c r="K1" s="12"/>
      <c r="L1" s="12"/>
      <c r="M1" s="56"/>
      <c r="N1" s="10"/>
      <c r="O1" s="10"/>
      <c r="P1" s="10"/>
    </row>
    <row r="2" spans="1:16">
      <c r="A2" s="13" t="s">
        <v>291</v>
      </c>
      <c r="B2" s="14"/>
      <c r="C2" s="15"/>
      <c r="D2" s="16" t="s">
        <v>292</v>
      </c>
      <c r="E2" s="16"/>
      <c r="F2" s="16"/>
      <c r="G2" s="16"/>
      <c r="H2" s="16"/>
      <c r="I2" s="16"/>
      <c r="J2" s="16"/>
      <c r="K2" s="16"/>
      <c r="L2" s="16"/>
      <c r="M2" s="16"/>
      <c r="N2" s="15"/>
      <c r="O2" s="57" t="s">
        <v>293</v>
      </c>
      <c r="P2" s="58"/>
    </row>
    <row r="3" spans="1:16">
      <c r="A3" s="17" t="s">
        <v>16</v>
      </c>
      <c r="B3" s="18">
        <f>'Data Sheet'!B8</f>
        <v>1697.7</v>
      </c>
      <c r="C3" s="10"/>
      <c r="D3" s="19" t="s">
        <v>154</v>
      </c>
      <c r="E3" s="19" t="s">
        <v>14</v>
      </c>
      <c r="F3" s="19" t="s">
        <v>294</v>
      </c>
      <c r="G3" s="19"/>
      <c r="H3" s="20"/>
      <c r="I3" s="35"/>
      <c r="J3" s="35"/>
      <c r="K3" s="35"/>
      <c r="L3" s="35"/>
      <c r="M3" s="59"/>
      <c r="N3" s="10"/>
      <c r="O3" s="19" t="s">
        <v>154</v>
      </c>
      <c r="P3" s="19" t="s">
        <v>5</v>
      </c>
    </row>
    <row r="4" spans="1:16">
      <c r="A4" s="17" t="s">
        <v>295</v>
      </c>
      <c r="B4" s="21">
        <f>'Profit &amp; Loss'!L13</f>
        <v>26.5717582529051</v>
      </c>
      <c r="C4" s="10"/>
      <c r="D4" s="19" t="s">
        <v>296</v>
      </c>
      <c r="E4" s="21">
        <f>B4</f>
        <v>26.5717582529051</v>
      </c>
      <c r="F4" s="21">
        <f>B5</f>
        <v>5.5</v>
      </c>
      <c r="G4" s="19"/>
      <c r="H4" s="21">
        <f>E14</f>
        <v>164.52532338172</v>
      </c>
      <c r="I4" s="60" t="s">
        <v>297</v>
      </c>
      <c r="J4" s="60"/>
      <c r="K4" s="60"/>
      <c r="L4" s="60"/>
      <c r="M4" s="60"/>
      <c r="N4" s="10"/>
      <c r="O4" s="19" t="s">
        <v>296</v>
      </c>
      <c r="P4" s="21">
        <f>Annual[[#This Row],[Column12]]</f>
        <v>919.82</v>
      </c>
    </row>
    <row r="5" spans="1:16">
      <c r="A5" s="17" t="s">
        <v>298</v>
      </c>
      <c r="B5" s="21">
        <f>'Data Sheet'!K31/'Data Sheet'!K93</f>
        <v>5.5</v>
      </c>
      <c r="C5" s="10"/>
      <c r="D5" s="19" t="s">
        <v>299</v>
      </c>
      <c r="E5" s="21">
        <f t="shared" ref="E5:E14" si="0">E4*(1+$B$21)</f>
        <v>31.8861099034862</v>
      </c>
      <c r="F5" s="21">
        <f t="shared" ref="F5:F14" si="1">E5*$B$36</f>
        <v>4.03528591114504</v>
      </c>
      <c r="G5" s="19"/>
      <c r="H5" s="21">
        <f>SUM(F5:F14)</f>
        <v>104.750704198446</v>
      </c>
      <c r="I5" s="60" t="s">
        <v>300</v>
      </c>
      <c r="J5" s="60"/>
      <c r="K5" s="60"/>
      <c r="L5" s="60"/>
      <c r="M5" s="60"/>
      <c r="N5" s="10"/>
      <c r="O5" s="19" t="s">
        <v>299</v>
      </c>
      <c r="P5" s="21">
        <f t="shared" ref="P5:P14" si="2">P4*(1+$B$14)</f>
        <v>1057.793</v>
      </c>
    </row>
    <row r="6" spans="1:16">
      <c r="A6" s="17" t="s">
        <v>301</v>
      </c>
      <c r="B6" s="21">
        <f>('Data Sheet'!K57+'Data Sheet'!K58)/'Data Sheet'!K93</f>
        <v>124.456225680934</v>
      </c>
      <c r="C6" s="10"/>
      <c r="D6" s="19" t="s">
        <v>302</v>
      </c>
      <c r="E6" s="21">
        <f t="shared" si="0"/>
        <v>38.2633318841834</v>
      </c>
      <c r="F6" s="21">
        <f t="shared" si="1"/>
        <v>4.84234309337404</v>
      </c>
      <c r="G6" s="19"/>
      <c r="H6" s="22"/>
      <c r="I6" s="22"/>
      <c r="J6" s="22"/>
      <c r="K6" s="22"/>
      <c r="L6" s="22"/>
      <c r="M6" s="22"/>
      <c r="N6" s="10"/>
      <c r="O6" s="19" t="s">
        <v>302</v>
      </c>
      <c r="P6" s="21">
        <f t="shared" si="2"/>
        <v>1216.46195</v>
      </c>
    </row>
    <row r="7" spans="1:16">
      <c r="A7" s="17" t="s">
        <v>303</v>
      </c>
      <c r="B7" s="23">
        <f>'Profit &amp; Loss'!L14</f>
        <v>63.8911427629893</v>
      </c>
      <c r="C7" s="10"/>
      <c r="D7" s="19" t="s">
        <v>304</v>
      </c>
      <c r="E7" s="21">
        <f t="shared" si="0"/>
        <v>45.9159982610201</v>
      </c>
      <c r="F7" s="21">
        <f t="shared" si="1"/>
        <v>5.81081171204885</v>
      </c>
      <c r="G7" s="19"/>
      <c r="H7" s="21">
        <f>$B$33*H4</f>
        <v>3290.50646763441</v>
      </c>
      <c r="I7" s="60" t="s">
        <v>305</v>
      </c>
      <c r="J7" s="60"/>
      <c r="K7" s="60"/>
      <c r="L7" s="60"/>
      <c r="M7" s="60"/>
      <c r="N7" s="10"/>
      <c r="O7" s="19" t="s">
        <v>304</v>
      </c>
      <c r="P7" s="21">
        <f t="shared" si="2"/>
        <v>1398.9312425</v>
      </c>
    </row>
    <row r="8" spans="1:16">
      <c r="A8" s="17" t="s">
        <v>306</v>
      </c>
      <c r="B8" s="24">
        <f>'Profit &amp; Loss'!L13/'Profit &amp; Loss'!L15</f>
        <v>0.0156516217546711</v>
      </c>
      <c r="C8" s="10"/>
      <c r="D8" s="19" t="s">
        <v>307</v>
      </c>
      <c r="E8" s="21">
        <f t="shared" si="0"/>
        <v>55.0991979132241</v>
      </c>
      <c r="F8" s="21">
        <f t="shared" si="1"/>
        <v>6.97297405445862</v>
      </c>
      <c r="G8" s="19"/>
      <c r="H8" s="21">
        <f>H7+H5</f>
        <v>3395.25717183285</v>
      </c>
      <c r="I8" s="60" t="s">
        <v>308</v>
      </c>
      <c r="J8" s="60"/>
      <c r="K8" s="60"/>
      <c r="L8" s="60"/>
      <c r="M8" s="60"/>
      <c r="N8" s="10"/>
      <c r="O8" s="19" t="s">
        <v>307</v>
      </c>
      <c r="P8" s="21">
        <f t="shared" si="2"/>
        <v>1608.770928875</v>
      </c>
    </row>
    <row r="9" spans="1:16">
      <c r="A9" s="17" t="s">
        <v>309</v>
      </c>
      <c r="B9" s="24">
        <f>B5/B3</f>
        <v>0.00323967721034341</v>
      </c>
      <c r="C9" s="10"/>
      <c r="D9" s="19" t="s">
        <v>310</v>
      </c>
      <c r="E9" s="21">
        <f t="shared" si="0"/>
        <v>66.1190374958689</v>
      </c>
      <c r="F9" s="21">
        <f t="shared" si="1"/>
        <v>8.36756886535035</v>
      </c>
      <c r="G9" s="19"/>
      <c r="H9" s="22"/>
      <c r="I9" s="22"/>
      <c r="J9" s="22"/>
      <c r="K9" s="22"/>
      <c r="L9" s="22"/>
      <c r="M9" s="22"/>
      <c r="N9" s="10"/>
      <c r="O9" s="19" t="s">
        <v>310</v>
      </c>
      <c r="P9" s="21">
        <f t="shared" si="2"/>
        <v>1850.08656820625</v>
      </c>
    </row>
    <row r="10" spans="1:16">
      <c r="A10" s="17" t="s">
        <v>311</v>
      </c>
      <c r="B10" s="23">
        <f>B3/B6</f>
        <v>13.6409407461252</v>
      </c>
      <c r="C10" s="10"/>
      <c r="D10" s="19" t="s">
        <v>312</v>
      </c>
      <c r="E10" s="21">
        <f t="shared" si="0"/>
        <v>79.3428449950427</v>
      </c>
      <c r="F10" s="21">
        <f t="shared" si="1"/>
        <v>10.0410826384204</v>
      </c>
      <c r="G10" s="19"/>
      <c r="H10" s="25">
        <f>POWER(H8/$B$3,1/9)-1</f>
        <v>0.0800546906951691</v>
      </c>
      <c r="I10" s="61" t="s">
        <v>313</v>
      </c>
      <c r="J10" s="61"/>
      <c r="K10" s="61"/>
      <c r="L10" s="61"/>
      <c r="M10" s="61"/>
      <c r="N10" s="10"/>
      <c r="O10" s="19" t="s">
        <v>312</v>
      </c>
      <c r="P10" s="21">
        <f t="shared" si="2"/>
        <v>2127.59955343719</v>
      </c>
    </row>
    <row r="11" spans="1:16">
      <c r="A11" s="10"/>
      <c r="B11" s="10"/>
      <c r="C11" s="10"/>
      <c r="D11" s="19" t="s">
        <v>314</v>
      </c>
      <c r="E11" s="21">
        <f t="shared" si="0"/>
        <v>95.2114139940512</v>
      </c>
      <c r="F11" s="21">
        <f t="shared" si="1"/>
        <v>12.0492991661045</v>
      </c>
      <c r="G11" s="19"/>
      <c r="H11" s="19"/>
      <c r="I11" s="60" t="s">
        <v>315</v>
      </c>
      <c r="J11" s="60"/>
      <c r="K11" s="60"/>
      <c r="L11" s="60"/>
      <c r="M11" s="60"/>
      <c r="N11" s="10"/>
      <c r="O11" s="19" t="s">
        <v>314</v>
      </c>
      <c r="P11" s="21">
        <f t="shared" si="2"/>
        <v>2446.73948645276</v>
      </c>
    </row>
    <row r="12" spans="1:16">
      <c r="A12" s="26" t="s">
        <v>316</v>
      </c>
      <c r="B12" s="27" t="s">
        <v>317</v>
      </c>
      <c r="C12" s="10"/>
      <c r="D12" s="19" t="s">
        <v>318</v>
      </c>
      <c r="E12" s="21">
        <f t="shared" si="0"/>
        <v>114.253696792861</v>
      </c>
      <c r="F12" s="21">
        <f t="shared" si="1"/>
        <v>14.4591589993254</v>
      </c>
      <c r="G12" s="19"/>
      <c r="H12" s="28"/>
      <c r="I12" s="62"/>
      <c r="J12" s="62"/>
      <c r="K12" s="62"/>
      <c r="L12" s="62"/>
      <c r="M12" s="63"/>
      <c r="N12" s="10"/>
      <c r="O12" s="19" t="s">
        <v>318</v>
      </c>
      <c r="P12" s="21">
        <f t="shared" si="2"/>
        <v>2813.75040942068</v>
      </c>
    </row>
    <row r="13" spans="1:16">
      <c r="A13" s="13" t="s">
        <v>5</v>
      </c>
      <c r="B13" s="14"/>
      <c r="C13" s="10"/>
      <c r="D13" s="19" t="s">
        <v>319</v>
      </c>
      <c r="E13" s="21">
        <f t="shared" si="0"/>
        <v>137.104436151434</v>
      </c>
      <c r="F13" s="21">
        <f t="shared" si="1"/>
        <v>17.3509907991905</v>
      </c>
      <c r="G13" s="19"/>
      <c r="H13" s="29"/>
      <c r="I13" s="64"/>
      <c r="J13" s="64"/>
      <c r="K13" s="64"/>
      <c r="L13" s="64"/>
      <c r="M13" s="65"/>
      <c r="N13" s="10"/>
      <c r="O13" s="19" t="s">
        <v>319</v>
      </c>
      <c r="P13" s="21">
        <f t="shared" si="2"/>
        <v>3235.81297083378</v>
      </c>
    </row>
    <row r="14" spans="1:16">
      <c r="A14" s="30" t="s">
        <v>320</v>
      </c>
      <c r="B14" s="31">
        <v>0.15</v>
      </c>
      <c r="C14" s="10"/>
      <c r="D14" s="19" t="s">
        <v>321</v>
      </c>
      <c r="E14" s="21">
        <f t="shared" si="0"/>
        <v>164.52532338172</v>
      </c>
      <c r="F14" s="21">
        <f t="shared" si="1"/>
        <v>20.8211889590286</v>
      </c>
      <c r="G14" s="19"/>
      <c r="H14" s="32"/>
      <c r="I14" s="66"/>
      <c r="J14" s="66"/>
      <c r="K14" s="66"/>
      <c r="L14" s="66"/>
      <c r="M14" s="67"/>
      <c r="N14" s="10"/>
      <c r="O14" s="19" t="s">
        <v>321</v>
      </c>
      <c r="P14" s="21">
        <f t="shared" si="2"/>
        <v>3721.18491645885</v>
      </c>
    </row>
    <row r="15" spans="1:16">
      <c r="A15" s="33" t="s">
        <v>322</v>
      </c>
      <c r="B15" s="34">
        <f>('Profit &amp; Loss'!L4/'Profit &amp; Loss'!B4)^(1/10)-1</f>
        <v>0.110445166065558</v>
      </c>
      <c r="C15" s="10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10"/>
      <c r="O15" s="10"/>
      <c r="P15" s="10"/>
    </row>
    <row r="16" spans="1:16">
      <c r="A16" s="17" t="s">
        <v>323</v>
      </c>
      <c r="B16" s="36">
        <f>('Profit &amp; Loss'!L4/'Profit &amp; Loss'!G4)^(1/5)-1</f>
        <v>0.0783049050034217</v>
      </c>
      <c r="C16" s="10"/>
      <c r="D16" s="16" t="s">
        <v>324</v>
      </c>
      <c r="E16" s="16"/>
      <c r="F16" s="16"/>
      <c r="G16" s="16"/>
      <c r="H16" s="16"/>
      <c r="I16" s="16"/>
      <c r="J16" s="16"/>
      <c r="K16" s="16"/>
      <c r="L16" s="16"/>
      <c r="M16" s="16"/>
      <c r="N16" s="10"/>
      <c r="O16" s="10"/>
      <c r="P16" s="10"/>
    </row>
    <row r="17" spans="1:16">
      <c r="A17" s="17" t="s">
        <v>325</v>
      </c>
      <c r="B17" s="36">
        <f>('Profit &amp; Loss'!L4/'Profit &amp; Loss'!I4)^(1/3)-1</f>
        <v>0.0802479941091039</v>
      </c>
      <c r="C17" s="10"/>
      <c r="D17" s="19" t="s">
        <v>154</v>
      </c>
      <c r="E17" s="37" t="s">
        <v>326</v>
      </c>
      <c r="F17" s="37" t="s">
        <v>14</v>
      </c>
      <c r="G17" s="37" t="s">
        <v>294</v>
      </c>
      <c r="H17" s="20"/>
      <c r="I17" s="35"/>
      <c r="J17" s="35"/>
      <c r="K17" s="35"/>
      <c r="L17" s="35"/>
      <c r="M17" s="59"/>
      <c r="N17" s="10"/>
      <c r="O17" s="10"/>
      <c r="P17" s="10"/>
    </row>
    <row r="18" spans="1:16">
      <c r="A18" s="17" t="s">
        <v>327</v>
      </c>
      <c r="B18" s="38">
        <f>('Profit &amp; Loss'!L4-'Profit &amp; Loss'!K4)/'Profit &amp; Loss'!K4</f>
        <v>-0.105990066772284</v>
      </c>
      <c r="C18" s="10"/>
      <c r="D18" s="19" t="s">
        <v>296</v>
      </c>
      <c r="E18" s="39">
        <f>B6</f>
        <v>124.456225680934</v>
      </c>
      <c r="F18" s="39">
        <f>B4</f>
        <v>26.5717582529051</v>
      </c>
      <c r="G18" s="39">
        <f>B5</f>
        <v>5.5</v>
      </c>
      <c r="H18" s="21">
        <f>F28</f>
        <v>168.135835158714</v>
      </c>
      <c r="I18" s="60" t="s">
        <v>297</v>
      </c>
      <c r="J18" s="60"/>
      <c r="K18" s="60"/>
      <c r="L18" s="60"/>
      <c r="M18" s="60"/>
      <c r="N18" s="10"/>
      <c r="O18" s="10"/>
      <c r="P18" s="10"/>
    </row>
    <row r="19" spans="1:16">
      <c r="A19" s="40" t="s">
        <v>328</v>
      </c>
      <c r="B19" s="41"/>
      <c r="C19" s="10"/>
      <c r="D19" s="19" t="s">
        <v>299</v>
      </c>
      <c r="E19" s="39">
        <f>E18+F18-G18</f>
        <v>145.527983933839</v>
      </c>
      <c r="F19" s="39">
        <f>F18*(1+B37)</f>
        <v>31.9554024816155</v>
      </c>
      <c r="G19" s="39">
        <f t="shared" ref="G19:G28" si="3">F19*$B$36</f>
        <v>4.0440551014012</v>
      </c>
      <c r="H19" s="21">
        <f>SUM(G19:G28)</f>
        <v>106.339294177918</v>
      </c>
      <c r="I19" s="68" t="s">
        <v>300</v>
      </c>
      <c r="J19" s="69"/>
      <c r="K19" s="69"/>
      <c r="L19" s="69"/>
      <c r="M19" s="70"/>
      <c r="N19" s="10"/>
      <c r="O19" s="10"/>
      <c r="P19" s="10"/>
    </row>
    <row r="20" spans="1:16">
      <c r="A20" s="13" t="s">
        <v>14</v>
      </c>
      <c r="B20" s="14"/>
      <c r="C20" s="10"/>
      <c r="D20" s="19" t="s">
        <v>302</v>
      </c>
      <c r="E20" s="39">
        <f t="shared" ref="E20:E28" si="4">E19+F19-G19</f>
        <v>173.439331314053</v>
      </c>
      <c r="F20" s="39">
        <f>F19*(1+B37)</f>
        <v>38.4298147696115</v>
      </c>
      <c r="G20" s="39">
        <f t="shared" si="3"/>
        <v>4.86341201786965</v>
      </c>
      <c r="H20" s="42"/>
      <c r="I20" s="71"/>
      <c r="J20" s="71"/>
      <c r="K20" s="71"/>
      <c r="L20" s="71"/>
      <c r="M20" s="72"/>
      <c r="N20" s="10"/>
      <c r="O20" s="10"/>
      <c r="P20" s="10"/>
    </row>
    <row r="21" spans="1:16">
      <c r="A21" s="30" t="s">
        <v>320</v>
      </c>
      <c r="B21" s="31">
        <v>0.2</v>
      </c>
      <c r="C21" s="10"/>
      <c r="D21" s="19" t="s">
        <v>304</v>
      </c>
      <c r="E21" s="39">
        <f t="shared" si="4"/>
        <v>207.005734065795</v>
      </c>
      <c r="F21" s="39">
        <f>F20*(1+B37)</f>
        <v>46.215993182258</v>
      </c>
      <c r="G21" s="39">
        <f t="shared" si="3"/>
        <v>5.8487769979602</v>
      </c>
      <c r="H21" s="21">
        <f>$B$33*H18</f>
        <v>3362.71670317428</v>
      </c>
      <c r="I21" s="68" t="s">
        <v>305</v>
      </c>
      <c r="J21" s="69"/>
      <c r="K21" s="69"/>
      <c r="L21" s="69"/>
      <c r="M21" s="70"/>
      <c r="N21" s="10"/>
      <c r="O21" s="10"/>
      <c r="P21" s="47"/>
    </row>
    <row r="22" spans="1:16">
      <c r="A22" s="33" t="s">
        <v>329</v>
      </c>
      <c r="B22" s="36">
        <f>Ratios!B53</f>
        <v>0.180479605855636</v>
      </c>
      <c r="C22" s="10"/>
      <c r="D22" s="19" t="s">
        <v>307</v>
      </c>
      <c r="E22" s="39">
        <f t="shared" si="4"/>
        <v>247.372950250093</v>
      </c>
      <c r="F22" s="39">
        <f>F21*(1+B37)</f>
        <v>55.5797117063259</v>
      </c>
      <c r="G22" s="39">
        <f t="shared" si="3"/>
        <v>7.03378456239715</v>
      </c>
      <c r="H22" s="21">
        <f>H21+H19</f>
        <v>3469.0559973522</v>
      </c>
      <c r="I22" s="68" t="s">
        <v>308</v>
      </c>
      <c r="J22" s="69"/>
      <c r="K22" s="69"/>
      <c r="L22" s="69"/>
      <c r="M22" s="70"/>
      <c r="N22" s="10"/>
      <c r="O22" s="10"/>
      <c r="P22" s="10"/>
    </row>
    <row r="23" spans="1:16">
      <c r="A23" s="17" t="s">
        <v>330</v>
      </c>
      <c r="B23" s="36">
        <f>Ratios!B54</f>
        <v>0.1572738651503</v>
      </c>
      <c r="C23" s="10"/>
      <c r="D23" s="19" t="s">
        <v>310</v>
      </c>
      <c r="E23" s="39">
        <f t="shared" si="4"/>
        <v>295.918877394022</v>
      </c>
      <c r="F23" s="39">
        <f>F22*(1+B37)</f>
        <v>66.8405921988103</v>
      </c>
      <c r="G23" s="39">
        <f t="shared" si="3"/>
        <v>8.45888384656672</v>
      </c>
      <c r="H23" s="42"/>
      <c r="I23" s="71"/>
      <c r="J23" s="71"/>
      <c r="K23" s="71"/>
      <c r="L23" s="71"/>
      <c r="M23" s="72"/>
      <c r="N23" s="10"/>
      <c r="O23" s="73"/>
      <c r="P23" s="10"/>
    </row>
    <row r="24" spans="1:16">
      <c r="A24" s="17" t="s">
        <v>331</v>
      </c>
      <c r="B24" s="36">
        <f>('Profit &amp; Loss'!L13/'Profit &amp; Loss'!I13)^(1/3)-1</f>
        <v>0.23823856509855</v>
      </c>
      <c r="C24" s="10"/>
      <c r="D24" s="19" t="s">
        <v>312</v>
      </c>
      <c r="E24" s="39">
        <f t="shared" si="4"/>
        <v>354.300585746265</v>
      </c>
      <c r="F24" s="39">
        <f>F23*(1+B37)</f>
        <v>80.3830143829113</v>
      </c>
      <c r="G24" s="39">
        <f t="shared" si="3"/>
        <v>10.1727192942801</v>
      </c>
      <c r="H24" s="25">
        <f>POWER(H22/$B$3,1/9)-1</f>
        <v>0.0826382667146286</v>
      </c>
      <c r="I24" s="61" t="s">
        <v>332</v>
      </c>
      <c r="J24" s="61"/>
      <c r="K24" s="61"/>
      <c r="L24" s="61"/>
      <c r="M24" s="61"/>
      <c r="N24" s="10"/>
      <c r="O24" s="73"/>
      <c r="P24" s="10"/>
    </row>
    <row r="25" spans="1:16">
      <c r="A25" s="17" t="s">
        <v>333</v>
      </c>
      <c r="B25" s="38">
        <f>('Profit &amp; Loss'!L13-'Profit &amp; Loss'!K13)/'Profit &amp; Loss'!K13</f>
        <v>-0.181721661854099</v>
      </c>
      <c r="C25" s="10"/>
      <c r="D25" s="19" t="s">
        <v>314</v>
      </c>
      <c r="E25" s="39">
        <f t="shared" si="4"/>
        <v>424.510880834897</v>
      </c>
      <c r="F25" s="39">
        <f>F24*(1+B37)</f>
        <v>96.6692362937852</v>
      </c>
      <c r="G25" s="39">
        <f t="shared" si="3"/>
        <v>12.2337910907976</v>
      </c>
      <c r="H25" s="19"/>
      <c r="I25" s="68" t="s">
        <v>315</v>
      </c>
      <c r="J25" s="69"/>
      <c r="K25" s="69"/>
      <c r="L25" s="69"/>
      <c r="M25" s="70"/>
      <c r="N25" s="10"/>
      <c r="O25" s="73"/>
      <c r="P25" s="10"/>
    </row>
    <row r="26" spans="1:16">
      <c r="A26" s="17" t="s">
        <v>334</v>
      </c>
      <c r="B26" s="38"/>
      <c r="C26" s="10"/>
      <c r="D26" s="19" t="s">
        <v>318</v>
      </c>
      <c r="E26" s="39">
        <f t="shared" si="4"/>
        <v>508.946326037884</v>
      </c>
      <c r="F26" s="39">
        <f>F25*(1+B37)</f>
        <v>116.255173028325</v>
      </c>
      <c r="G26" s="39">
        <f t="shared" si="3"/>
        <v>14.7124520124557</v>
      </c>
      <c r="H26" s="20"/>
      <c r="I26" s="35"/>
      <c r="J26" s="35"/>
      <c r="K26" s="35"/>
      <c r="L26" s="35"/>
      <c r="M26" s="59"/>
      <c r="N26" s="10"/>
      <c r="O26" s="73"/>
      <c r="P26" s="10"/>
    </row>
    <row r="27" spans="1:16">
      <c r="A27" s="13" t="s">
        <v>335</v>
      </c>
      <c r="B27" s="14"/>
      <c r="C27" s="10"/>
      <c r="D27" s="19" t="s">
        <v>319</v>
      </c>
      <c r="E27" s="39">
        <f t="shared" si="4"/>
        <v>610.489047053753</v>
      </c>
      <c r="F27" s="39">
        <f>F26*(1+B37)</f>
        <v>139.809372391976</v>
      </c>
      <c r="G27" s="39">
        <f t="shared" si="3"/>
        <v>17.6933088535108</v>
      </c>
      <c r="H27" s="20"/>
      <c r="I27" s="35"/>
      <c r="J27" s="35"/>
      <c r="K27" s="35"/>
      <c r="L27" s="35"/>
      <c r="M27" s="59"/>
      <c r="N27" s="10"/>
      <c r="O27" s="73"/>
      <c r="P27" s="10"/>
    </row>
    <row r="28" spans="1:16">
      <c r="A28" s="17" t="s">
        <v>336</v>
      </c>
      <c r="B28" s="43">
        <f>F31</f>
        <v>0.231963444824077</v>
      </c>
      <c r="C28" s="10"/>
      <c r="D28" s="19" t="s">
        <v>321</v>
      </c>
      <c r="E28" s="39">
        <f t="shared" si="4"/>
        <v>732.605110592218</v>
      </c>
      <c r="F28" s="39">
        <f>F27*(1+B37)</f>
        <v>168.135835158714</v>
      </c>
      <c r="G28" s="39">
        <f t="shared" si="3"/>
        <v>21.278110400679</v>
      </c>
      <c r="H28" s="20"/>
      <c r="I28" s="35"/>
      <c r="J28" s="35"/>
      <c r="K28" s="35"/>
      <c r="L28" s="35"/>
      <c r="M28" s="59"/>
      <c r="N28" s="10"/>
      <c r="O28" s="73"/>
      <c r="P28" s="10"/>
    </row>
    <row r="29" spans="1:16">
      <c r="A29" s="17" t="s">
        <v>337</v>
      </c>
      <c r="B29" s="43">
        <f>AVERAGE('Profit &amp; Loss'!G18:K18)</f>
        <v>0.12655309548136</v>
      </c>
      <c r="C29" s="10"/>
      <c r="D29" s="44" t="s">
        <v>338</v>
      </c>
      <c r="E29" s="45"/>
      <c r="F29" s="45"/>
      <c r="G29" s="45"/>
      <c r="H29" s="45"/>
      <c r="I29" s="45"/>
      <c r="J29" s="45"/>
      <c r="K29" s="45"/>
      <c r="L29" s="45"/>
      <c r="M29" s="45"/>
      <c r="N29" s="10"/>
      <c r="O29" s="73"/>
      <c r="P29" s="10"/>
    </row>
    <row r="30" spans="1:16">
      <c r="A30" s="17" t="s">
        <v>339</v>
      </c>
      <c r="B30" s="46">
        <f>MAX(Ratios!H65:L65)</f>
        <v>63.8911427629893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74"/>
      <c r="O30" s="73"/>
      <c r="P30" s="10"/>
    </row>
    <row r="31" spans="1:16">
      <c r="A31" s="17" t="s">
        <v>340</v>
      </c>
      <c r="B31" s="46">
        <f>MIN(Ratios!H65:L65)</f>
        <v>23.8522976454377</v>
      </c>
      <c r="C31" s="10"/>
      <c r="D31" s="10"/>
      <c r="E31" t="s">
        <v>341</v>
      </c>
      <c r="F31" s="47">
        <f>AVERAGE('Balance Sheet'!G20:K20)</f>
        <v>0.231963444824077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>
      <c r="A32" s="17" t="s">
        <v>342</v>
      </c>
      <c r="B32" s="46">
        <f>AVERAGE(Ratios!H65:L65)</f>
        <v>35.5576635864893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73"/>
      <c r="P32" s="10"/>
    </row>
    <row r="33" spans="1:16">
      <c r="A33" s="48" t="s">
        <v>343</v>
      </c>
      <c r="B33" s="49">
        <v>20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>
      <c r="A34" s="13" t="s">
        <v>344</v>
      </c>
      <c r="B34" s="14"/>
      <c r="C34" s="50" t="s">
        <v>345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spans="1:16">
      <c r="A35" s="51" t="s">
        <v>346</v>
      </c>
      <c r="B35" s="52">
        <f>B28</f>
        <v>0.231963444824077</v>
      </c>
      <c r="C35" s="53">
        <f>F31</f>
        <v>0.231963444824077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1:16">
      <c r="A36" s="51" t="s">
        <v>347</v>
      </c>
      <c r="B36" s="52">
        <f>B29</f>
        <v>0.12655309548136</v>
      </c>
      <c r="C36" s="53">
        <f>AVERAGE('Profit &amp; Loss'!G18:K18)</f>
        <v>0.12655309548136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>
      <c r="A37" s="17" t="s">
        <v>348</v>
      </c>
      <c r="B37" s="54">
        <f>B35*(1-B36)</f>
        <v>0.20260775284307</v>
      </c>
      <c r="C37" s="55">
        <f>C35*(1-C36)</f>
        <v>0.20260775284307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</sheetData>
  <mergeCells count="34">
    <mergeCell ref="A1:B1"/>
    <mergeCell ref="D1:M1"/>
    <mergeCell ref="A2:B2"/>
    <mergeCell ref="D2:M2"/>
    <mergeCell ref="H3:M3"/>
    <mergeCell ref="I4:M4"/>
    <mergeCell ref="I5:M5"/>
    <mergeCell ref="H6:M6"/>
    <mergeCell ref="I7:M7"/>
    <mergeCell ref="I8:M8"/>
    <mergeCell ref="H9:M9"/>
    <mergeCell ref="I10:M10"/>
    <mergeCell ref="I11:M11"/>
    <mergeCell ref="H12:M12"/>
    <mergeCell ref="A13:B13"/>
    <mergeCell ref="H13:M13"/>
    <mergeCell ref="H14:M14"/>
    <mergeCell ref="D15:M15"/>
    <mergeCell ref="D16:M16"/>
    <mergeCell ref="H17:M17"/>
    <mergeCell ref="I18:M18"/>
    <mergeCell ref="I19:M19"/>
    <mergeCell ref="A20:B20"/>
    <mergeCell ref="H20:M20"/>
    <mergeCell ref="I21:M21"/>
    <mergeCell ref="I22:M22"/>
    <mergeCell ref="H23:M23"/>
    <mergeCell ref="I25:M25"/>
    <mergeCell ref="H26:M26"/>
    <mergeCell ref="A27:B27"/>
    <mergeCell ref="H27:M27"/>
    <mergeCell ref="H28:M28"/>
    <mergeCell ref="D29:M29"/>
    <mergeCell ref="A34:B34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3"/>
  <sheetViews>
    <sheetView zoomScalePageLayoutView="120" workbookViewId="0">
      <pane xSplit="1" ySplit="1" topLeftCell="B11" activePane="bottomRight" state="frozen"/>
      <selection/>
      <selection pane="topRight"/>
      <selection pane="bottomLeft"/>
      <selection pane="bottomRight" activeCell="K18" sqref="K18"/>
    </sheetView>
  </sheetViews>
  <sheetFormatPr defaultColWidth="8.83333333333333" defaultRowHeight="14.4"/>
  <cols>
    <col min="1" max="1" width="27.6666666666667" style="3" customWidth="1"/>
    <col min="2" max="11" width="13.5" style="3" customWidth="1"/>
    <col min="12" max="16384" width="8.83333333333333" style="3"/>
  </cols>
  <sheetData>
    <row r="1" s="1" customFormat="1" spans="1:11">
      <c r="A1" s="1" t="s">
        <v>349</v>
      </c>
      <c r="B1" s="1" t="s">
        <v>350</v>
      </c>
      <c r="E1" s="4" t="str">
        <f>IF(B2&lt;&gt;B3,"A NEW VERSION OF THE WORKSHEET IS AVAILABLE","")</f>
        <v/>
      </c>
      <c r="F1" s="4"/>
      <c r="G1" s="4"/>
      <c r="H1" s="4"/>
      <c r="I1" s="4"/>
      <c r="J1" s="4"/>
      <c r="K1" s="4"/>
    </row>
    <row r="2" spans="1:11">
      <c r="A2" s="1" t="s">
        <v>351</v>
      </c>
      <c r="B2" s="3">
        <v>2.1</v>
      </c>
      <c r="E2" s="5" t="s">
        <v>352</v>
      </c>
      <c r="F2" s="5"/>
      <c r="G2" s="5"/>
      <c r="H2" s="5"/>
      <c r="I2" s="5"/>
      <c r="J2" s="5"/>
      <c r="K2" s="5"/>
    </row>
    <row r="3" spans="1:2">
      <c r="A3" s="1" t="s">
        <v>353</v>
      </c>
      <c r="B3" s="3">
        <v>2.1</v>
      </c>
    </row>
    <row r="4" spans="1:1">
      <c r="A4" s="1"/>
    </row>
    <row r="5" spans="1:1">
      <c r="A5" s="1" t="s">
        <v>354</v>
      </c>
    </row>
    <row r="6" spans="1:2">
      <c r="A6" s="3" t="s">
        <v>355</v>
      </c>
      <c r="B6" s="3">
        <f>IF(B9&gt;0,B9/B8,0)</f>
        <v>10.2782058078577</v>
      </c>
    </row>
    <row r="7" spans="1:2">
      <c r="A7" s="3" t="s">
        <v>356</v>
      </c>
      <c r="B7">
        <v>1</v>
      </c>
    </row>
    <row r="8" spans="1:2">
      <c r="A8" s="3" t="s">
        <v>357</v>
      </c>
      <c r="B8">
        <v>1697.7</v>
      </c>
    </row>
    <row r="9" spans="1:2">
      <c r="A9" s="3" t="s">
        <v>358</v>
      </c>
      <c r="B9">
        <v>17449.31</v>
      </c>
    </row>
    <row r="15" spans="1:1">
      <c r="A15" s="1" t="s">
        <v>359</v>
      </c>
    </row>
    <row r="16" s="2" customFormat="1" spans="1:11">
      <c r="A16" s="6" t="s">
        <v>360</v>
      </c>
      <c r="B16" s="7">
        <v>40633</v>
      </c>
      <c r="C16" s="7">
        <v>40999</v>
      </c>
      <c r="D16" s="7">
        <v>41364</v>
      </c>
      <c r="E16" s="7">
        <v>41729</v>
      </c>
      <c r="F16" s="7">
        <v>42094</v>
      </c>
      <c r="G16" s="7">
        <v>42460</v>
      </c>
      <c r="H16" s="7">
        <v>42825</v>
      </c>
      <c r="I16" s="7">
        <v>43190</v>
      </c>
      <c r="J16" s="7">
        <v>43555</v>
      </c>
      <c r="K16" s="7">
        <v>43921</v>
      </c>
    </row>
    <row r="17" s="3" customFormat="1" spans="1:11">
      <c r="A17" s="3" t="s">
        <v>5</v>
      </c>
      <c r="B17">
        <v>322.65</v>
      </c>
      <c r="C17">
        <v>447.46</v>
      </c>
      <c r="D17">
        <v>554.27</v>
      </c>
      <c r="E17">
        <v>696.13</v>
      </c>
      <c r="F17">
        <v>771.73</v>
      </c>
      <c r="G17">
        <v>630.95</v>
      </c>
      <c r="H17">
        <v>640.79</v>
      </c>
      <c r="I17">
        <v>729.68</v>
      </c>
      <c r="J17">
        <v>1127.92</v>
      </c>
      <c r="K17">
        <v>1028.87</v>
      </c>
    </row>
    <row r="18" s="3" customFormat="1" spans="1:11">
      <c r="A18" s="3" t="s">
        <v>361</v>
      </c>
      <c r="B18">
        <v>187.83</v>
      </c>
      <c r="C18">
        <v>273.81</v>
      </c>
      <c r="D18">
        <v>339.85</v>
      </c>
      <c r="E18">
        <v>417.96</v>
      </c>
      <c r="F18">
        <v>455.89</v>
      </c>
      <c r="G18">
        <v>295.56</v>
      </c>
      <c r="H18">
        <v>306.13</v>
      </c>
      <c r="I18">
        <v>370.51</v>
      </c>
      <c r="J18">
        <v>528.59</v>
      </c>
      <c r="K18">
        <v>431.5</v>
      </c>
    </row>
    <row r="19" s="3" customFormat="1" spans="1:11">
      <c r="A19" s="3" t="s">
        <v>362</v>
      </c>
      <c r="B19">
        <v>4.42</v>
      </c>
      <c r="C19">
        <v>6.14</v>
      </c>
      <c r="D19">
        <v>4.73</v>
      </c>
      <c r="E19">
        <v>-0.85</v>
      </c>
      <c r="F19">
        <v>-0.65</v>
      </c>
      <c r="G19">
        <v>-0.75</v>
      </c>
      <c r="H19">
        <v>5.58</v>
      </c>
      <c r="I19">
        <v>-7.05</v>
      </c>
      <c r="J19">
        <v>3.49</v>
      </c>
      <c r="K19">
        <v>2.79</v>
      </c>
    </row>
    <row r="20" s="3" customFormat="1" spans="1:11">
      <c r="A20" s="3" t="s">
        <v>363</v>
      </c>
      <c r="B20">
        <v>19.97</v>
      </c>
      <c r="C20">
        <v>25.06</v>
      </c>
      <c r="D20">
        <v>30.88</v>
      </c>
      <c r="E20">
        <v>36.08</v>
      </c>
      <c r="F20">
        <v>31.33</v>
      </c>
      <c r="G20">
        <v>31.32</v>
      </c>
      <c r="H20">
        <v>36.95</v>
      </c>
      <c r="I20">
        <v>47.91</v>
      </c>
      <c r="J20">
        <v>56.36</v>
      </c>
      <c r="K20">
        <v>52.59</v>
      </c>
    </row>
    <row r="21" s="3" customFormat="1" spans="1:11">
      <c r="A21" s="3" t="s">
        <v>364</v>
      </c>
      <c r="B21">
        <v>14.83</v>
      </c>
      <c r="C21">
        <v>17.89</v>
      </c>
      <c r="D21">
        <v>16.15</v>
      </c>
      <c r="E21">
        <v>22.45</v>
      </c>
      <c r="F21">
        <v>27.11</v>
      </c>
      <c r="G21">
        <v>33.24</v>
      </c>
      <c r="H21">
        <v>30.87</v>
      </c>
      <c r="I21">
        <v>43.11</v>
      </c>
      <c r="J21">
        <v>50.19</v>
      </c>
      <c r="K21">
        <v>50.42</v>
      </c>
    </row>
    <row r="22" s="3" customFormat="1" spans="1:11">
      <c r="A22" s="3" t="s">
        <v>365</v>
      </c>
      <c r="B22">
        <v>14.9</v>
      </c>
      <c r="C22">
        <v>18.35</v>
      </c>
      <c r="D22">
        <v>22.62</v>
      </c>
      <c r="E22">
        <v>27.47</v>
      </c>
      <c r="F22">
        <v>31.94</v>
      </c>
      <c r="G22">
        <v>35.99</v>
      </c>
      <c r="H22">
        <v>41.97</v>
      </c>
      <c r="I22">
        <v>49.08</v>
      </c>
      <c r="J22">
        <v>54.31</v>
      </c>
      <c r="K22">
        <v>64.39</v>
      </c>
    </row>
    <row r="23" s="3" customFormat="1" spans="1:11">
      <c r="A23" s="3" t="s">
        <v>366</v>
      </c>
      <c r="B23">
        <v>15.5</v>
      </c>
      <c r="C23">
        <v>17.33</v>
      </c>
      <c r="D23">
        <v>22.88</v>
      </c>
      <c r="E23">
        <v>26.15</v>
      </c>
      <c r="F23">
        <v>23.41</v>
      </c>
      <c r="G23">
        <v>16.65</v>
      </c>
      <c r="H23">
        <v>6.78</v>
      </c>
      <c r="I23">
        <v>8.21</v>
      </c>
      <c r="J23">
        <v>9.56</v>
      </c>
      <c r="K23">
        <v>10.52</v>
      </c>
    </row>
    <row r="24" s="3" customFormat="1" spans="1:11">
      <c r="A24" s="3" t="s">
        <v>367</v>
      </c>
      <c r="B24">
        <v>4.31</v>
      </c>
      <c r="C24">
        <v>6.14</v>
      </c>
      <c r="D24">
        <v>6.28</v>
      </c>
      <c r="E24">
        <v>12.28</v>
      </c>
      <c r="F24">
        <v>9.32</v>
      </c>
      <c r="G24">
        <v>10.66</v>
      </c>
      <c r="H24">
        <v>5.83</v>
      </c>
      <c r="I24">
        <v>5.52</v>
      </c>
      <c r="J24">
        <v>7.39</v>
      </c>
      <c r="K24">
        <v>7.36</v>
      </c>
    </row>
    <row r="25" s="3" customFormat="1" spans="1:11">
      <c r="A25" s="3" t="s">
        <v>8</v>
      </c>
      <c r="B25">
        <v>6.34</v>
      </c>
      <c r="C25">
        <v>2.8</v>
      </c>
      <c r="D25">
        <v>3.76</v>
      </c>
      <c r="E25">
        <v>9.17</v>
      </c>
      <c r="F25">
        <v>8.84</v>
      </c>
      <c r="G25">
        <v>6.16</v>
      </c>
      <c r="H25">
        <v>12.48</v>
      </c>
      <c r="I25">
        <v>30.62</v>
      </c>
      <c r="J25">
        <v>29.8</v>
      </c>
      <c r="K25">
        <v>44.99</v>
      </c>
    </row>
    <row r="26" s="3" customFormat="1" spans="1:11">
      <c r="A26" s="3" t="s">
        <v>9</v>
      </c>
      <c r="B26">
        <v>6.45</v>
      </c>
      <c r="C26">
        <v>7.03</v>
      </c>
      <c r="D26">
        <v>9.95</v>
      </c>
      <c r="E26">
        <v>15.32</v>
      </c>
      <c r="F26">
        <v>17.66</v>
      </c>
      <c r="G26">
        <v>18.52</v>
      </c>
      <c r="H26">
        <v>21.61</v>
      </c>
      <c r="I26">
        <v>23.36</v>
      </c>
      <c r="J26">
        <v>27.39</v>
      </c>
      <c r="K26">
        <v>33.16</v>
      </c>
    </row>
    <row r="27" s="3" customFormat="1" spans="1:11">
      <c r="A27" s="3" t="s">
        <v>10</v>
      </c>
      <c r="B27">
        <v>7.12</v>
      </c>
      <c r="C27">
        <v>9.19</v>
      </c>
      <c r="D27">
        <v>11.54</v>
      </c>
      <c r="E27">
        <v>18.15</v>
      </c>
      <c r="F27">
        <v>9.76</v>
      </c>
      <c r="G27">
        <v>7.86</v>
      </c>
      <c r="H27">
        <v>2.75</v>
      </c>
      <c r="I27">
        <v>2.17</v>
      </c>
      <c r="J27">
        <v>2.18</v>
      </c>
      <c r="K27">
        <v>2.04</v>
      </c>
    </row>
    <row r="28" s="3" customFormat="1" spans="1:11">
      <c r="A28" s="3" t="s">
        <v>11</v>
      </c>
      <c r="B28">
        <v>62.5</v>
      </c>
      <c r="C28">
        <v>81.6</v>
      </c>
      <c r="D28">
        <v>102.61</v>
      </c>
      <c r="E28">
        <v>128.59</v>
      </c>
      <c r="F28">
        <v>173.5</v>
      </c>
      <c r="G28">
        <v>186.56</v>
      </c>
      <c r="H28">
        <v>205.96</v>
      </c>
      <c r="I28">
        <v>203.38</v>
      </c>
      <c r="J28">
        <v>425.24</v>
      </c>
      <c r="K28">
        <v>424.67</v>
      </c>
    </row>
    <row r="29" s="3" customFormat="1" spans="1:11">
      <c r="A29" s="3" t="s">
        <v>12</v>
      </c>
      <c r="B29">
        <v>10.53</v>
      </c>
      <c r="C29">
        <v>26.79</v>
      </c>
      <c r="D29">
        <v>33.94</v>
      </c>
      <c r="E29">
        <v>42.43</v>
      </c>
      <c r="F29">
        <v>57.7</v>
      </c>
      <c r="G29">
        <v>54.99</v>
      </c>
      <c r="H29">
        <v>65.69</v>
      </c>
      <c r="I29">
        <v>59.5</v>
      </c>
      <c r="J29">
        <v>142.75</v>
      </c>
      <c r="K29">
        <v>90.84</v>
      </c>
    </row>
    <row r="30" s="3" customFormat="1" spans="1:11">
      <c r="A30" s="3" t="s">
        <v>13</v>
      </c>
      <c r="B30">
        <v>51.97</v>
      </c>
      <c r="C30">
        <v>54.81</v>
      </c>
      <c r="D30">
        <v>68.66</v>
      </c>
      <c r="E30">
        <v>86.15</v>
      </c>
      <c r="F30">
        <v>115.79</v>
      </c>
      <c r="G30">
        <v>131.57</v>
      </c>
      <c r="H30">
        <v>140.28</v>
      </c>
      <c r="I30">
        <v>143.88</v>
      </c>
      <c r="J30">
        <v>282.49</v>
      </c>
      <c r="K30">
        <v>333.82</v>
      </c>
    </row>
    <row r="31" s="3" customFormat="1" spans="1:11">
      <c r="A31" s="3" t="s">
        <v>368</v>
      </c>
      <c r="B31">
        <v>6.42</v>
      </c>
      <c r="C31">
        <v>9.87</v>
      </c>
      <c r="D31">
        <v>12.34</v>
      </c>
      <c r="E31">
        <v>14.8</v>
      </c>
      <c r="F31">
        <v>18.06</v>
      </c>
      <c r="G31">
        <v>20.64</v>
      </c>
      <c r="H31">
        <v>2.58</v>
      </c>
      <c r="I31">
        <v>23.13</v>
      </c>
      <c r="J31">
        <v>35.98</v>
      </c>
      <c r="K31">
        <v>56.54</v>
      </c>
    </row>
    <row r="40" spans="1:1">
      <c r="A40" s="1" t="s">
        <v>369</v>
      </c>
    </row>
    <row r="41" s="2" customFormat="1" spans="1:11">
      <c r="A41" s="6" t="s">
        <v>360</v>
      </c>
      <c r="B41" s="7">
        <v>43373</v>
      </c>
      <c r="C41" s="7">
        <v>43465</v>
      </c>
      <c r="D41" s="7">
        <v>43555</v>
      </c>
      <c r="E41" s="7">
        <v>43646</v>
      </c>
      <c r="F41" s="7">
        <v>43738</v>
      </c>
      <c r="G41" s="7">
        <v>43830</v>
      </c>
      <c r="H41" s="7">
        <v>43921</v>
      </c>
      <c r="I41" s="7">
        <v>44012</v>
      </c>
      <c r="J41" s="7">
        <v>44104</v>
      </c>
      <c r="K41" s="7">
        <v>44196</v>
      </c>
    </row>
    <row r="42" s="3" customFormat="1" spans="1:11">
      <c r="A42" s="3" t="s">
        <v>5</v>
      </c>
      <c r="B42">
        <v>248.74</v>
      </c>
      <c r="C42">
        <v>303.05</v>
      </c>
      <c r="D42">
        <v>301.92</v>
      </c>
      <c r="E42">
        <v>290.74</v>
      </c>
      <c r="F42">
        <v>249.14</v>
      </c>
      <c r="G42">
        <v>238.47</v>
      </c>
      <c r="H42">
        <v>245.34</v>
      </c>
      <c r="I42">
        <v>231.57</v>
      </c>
      <c r="J42">
        <v>219.44</v>
      </c>
      <c r="K42">
        <v>223.47</v>
      </c>
    </row>
    <row r="43" s="3" customFormat="1" spans="1:11">
      <c r="A43" s="3" t="s">
        <v>6</v>
      </c>
      <c r="B43">
        <v>157.58</v>
      </c>
      <c r="C43">
        <v>196.61</v>
      </c>
      <c r="D43">
        <v>176.83</v>
      </c>
      <c r="E43">
        <v>170.57</v>
      </c>
      <c r="F43">
        <v>145.2</v>
      </c>
      <c r="G43">
        <v>155.48</v>
      </c>
      <c r="H43">
        <v>143.68</v>
      </c>
      <c r="I43">
        <v>134.39</v>
      </c>
      <c r="J43">
        <v>135.31</v>
      </c>
      <c r="K43">
        <v>151.38</v>
      </c>
    </row>
    <row r="44" s="3" customFormat="1" spans="1:11">
      <c r="A44" s="3" t="s">
        <v>8</v>
      </c>
      <c r="B44">
        <v>14.8</v>
      </c>
      <c r="C44">
        <v>7.28</v>
      </c>
      <c r="D44">
        <v>4.96</v>
      </c>
      <c r="E44">
        <v>11.42</v>
      </c>
      <c r="F44">
        <v>7.12</v>
      </c>
      <c r="G44">
        <v>15.4</v>
      </c>
      <c r="H44">
        <v>16.22</v>
      </c>
      <c r="I44">
        <v>8.6</v>
      </c>
      <c r="J44">
        <v>1.4</v>
      </c>
      <c r="K44">
        <v>9.29</v>
      </c>
    </row>
    <row r="45" s="3" customFormat="1" spans="1:11">
      <c r="A45" s="3" t="s">
        <v>9</v>
      </c>
      <c r="B45">
        <v>6.9</v>
      </c>
      <c r="C45">
        <v>6.92</v>
      </c>
      <c r="D45">
        <v>6.81</v>
      </c>
      <c r="E45">
        <v>6.98</v>
      </c>
      <c r="F45">
        <v>7.19</v>
      </c>
      <c r="G45">
        <v>9.28</v>
      </c>
      <c r="H45">
        <v>9.7</v>
      </c>
      <c r="I45">
        <v>10.65</v>
      </c>
      <c r="J45">
        <v>10.76</v>
      </c>
      <c r="K45">
        <v>10.77</v>
      </c>
    </row>
    <row r="46" s="3" customFormat="1" spans="1:11">
      <c r="A46" s="3" t="s">
        <v>10</v>
      </c>
      <c r="B46">
        <v>0.25</v>
      </c>
      <c r="C46">
        <v>0.28</v>
      </c>
      <c r="D46">
        <v>0.23</v>
      </c>
      <c r="E46">
        <v>0.3</v>
      </c>
      <c r="F46">
        <v>0.28</v>
      </c>
      <c r="G46">
        <v>0.25</v>
      </c>
      <c r="H46">
        <v>0.26</v>
      </c>
      <c r="I46">
        <v>0.04</v>
      </c>
      <c r="J46">
        <v>0.05</v>
      </c>
      <c r="K46">
        <v>0.01</v>
      </c>
    </row>
    <row r="47" s="3" customFormat="1" spans="1:11">
      <c r="A47" s="3" t="s">
        <v>11</v>
      </c>
      <c r="B47">
        <v>98.81</v>
      </c>
      <c r="C47">
        <v>106.52</v>
      </c>
      <c r="D47">
        <v>123.01</v>
      </c>
      <c r="E47">
        <v>124.31</v>
      </c>
      <c r="F47">
        <v>103.59</v>
      </c>
      <c r="G47">
        <v>88.86</v>
      </c>
      <c r="H47">
        <v>107.92</v>
      </c>
      <c r="I47">
        <v>95.09</v>
      </c>
      <c r="J47">
        <v>74.72</v>
      </c>
      <c r="K47">
        <v>70.6</v>
      </c>
    </row>
    <row r="48" s="3" customFormat="1" spans="1:11">
      <c r="A48" s="3" t="s">
        <v>12</v>
      </c>
      <c r="B48">
        <v>33.78</v>
      </c>
      <c r="C48">
        <v>35.83</v>
      </c>
      <c r="D48">
        <v>40.47</v>
      </c>
      <c r="E48">
        <v>41.95</v>
      </c>
      <c r="F48">
        <v>-6.42</v>
      </c>
      <c r="G48">
        <v>22.03</v>
      </c>
      <c r="H48">
        <v>33.29</v>
      </c>
      <c r="I48">
        <v>22.79</v>
      </c>
      <c r="J48">
        <v>12.68</v>
      </c>
      <c r="K48">
        <v>6.47</v>
      </c>
    </row>
    <row r="49" s="3" customFormat="1" spans="1:11">
      <c r="A49" s="3" t="s">
        <v>13</v>
      </c>
      <c r="B49">
        <v>65.03</v>
      </c>
      <c r="C49">
        <v>70.68</v>
      </c>
      <c r="D49">
        <v>82.53</v>
      </c>
      <c r="E49">
        <v>82.36</v>
      </c>
      <c r="F49">
        <v>110.01</v>
      </c>
      <c r="G49">
        <v>66.82</v>
      </c>
      <c r="H49">
        <v>74.63</v>
      </c>
      <c r="I49">
        <v>72.3</v>
      </c>
      <c r="J49">
        <v>62.04</v>
      </c>
      <c r="K49">
        <v>64.14</v>
      </c>
    </row>
    <row r="50" spans="1:11">
      <c r="A50" s="3" t="s">
        <v>7</v>
      </c>
      <c r="B50">
        <v>91.16</v>
      </c>
      <c r="C50">
        <v>106.44</v>
      </c>
      <c r="D50">
        <v>125.09</v>
      </c>
      <c r="E50">
        <v>120.17</v>
      </c>
      <c r="F50">
        <v>103.94</v>
      </c>
      <c r="G50">
        <v>82.99</v>
      </c>
      <c r="H50">
        <v>101.66</v>
      </c>
      <c r="I50">
        <v>97.18</v>
      </c>
      <c r="J50">
        <v>84.13</v>
      </c>
      <c r="K50">
        <v>72.09</v>
      </c>
    </row>
    <row r="55" spans="1:1">
      <c r="A55" s="1" t="s">
        <v>370</v>
      </c>
    </row>
    <row r="56" s="2" customFormat="1" spans="1:11">
      <c r="A56" s="6" t="s">
        <v>360</v>
      </c>
      <c r="B56" s="7">
        <v>40633</v>
      </c>
      <c r="C56" s="7">
        <v>40999</v>
      </c>
      <c r="D56" s="7">
        <v>41364</v>
      </c>
      <c r="E56" s="7">
        <v>41729</v>
      </c>
      <c r="F56" s="7">
        <v>42094</v>
      </c>
      <c r="G56" s="7">
        <v>42460</v>
      </c>
      <c r="H56" s="7">
        <v>42825</v>
      </c>
      <c r="I56" s="7">
        <v>43190</v>
      </c>
      <c r="J56" s="7">
        <v>43555</v>
      </c>
      <c r="K56" s="7">
        <v>43921</v>
      </c>
    </row>
    <row r="57" spans="1:11">
      <c r="A57" s="3" t="s">
        <v>48</v>
      </c>
      <c r="B57">
        <v>9.87</v>
      </c>
      <c r="C57">
        <v>9.87</v>
      </c>
      <c r="D57">
        <v>9.87</v>
      </c>
      <c r="E57">
        <v>9.87</v>
      </c>
      <c r="F57">
        <v>10.32</v>
      </c>
      <c r="G57">
        <v>10.32</v>
      </c>
      <c r="H57">
        <v>10.32</v>
      </c>
      <c r="I57">
        <v>10.28</v>
      </c>
      <c r="J57">
        <v>10.28</v>
      </c>
      <c r="K57">
        <v>10.28</v>
      </c>
    </row>
    <row r="58" spans="1:11">
      <c r="A58" s="3" t="s">
        <v>49</v>
      </c>
      <c r="B58">
        <v>133.82</v>
      </c>
      <c r="C58">
        <v>177.15</v>
      </c>
      <c r="D58">
        <v>231.37</v>
      </c>
      <c r="E58">
        <v>300.2</v>
      </c>
      <c r="F58">
        <v>423.73</v>
      </c>
      <c r="G58">
        <v>530.46</v>
      </c>
      <c r="H58">
        <v>669.69</v>
      </c>
      <c r="I58">
        <v>786.39</v>
      </c>
      <c r="J58">
        <v>1041</v>
      </c>
      <c r="K58">
        <v>1269.13</v>
      </c>
    </row>
    <row r="59" spans="1:11">
      <c r="A59" s="3" t="s">
        <v>50</v>
      </c>
      <c r="B59">
        <v>76.96</v>
      </c>
      <c r="C59">
        <v>172.69</v>
      </c>
      <c r="D59">
        <v>237.26</v>
      </c>
      <c r="E59">
        <v>161.58</v>
      </c>
      <c r="F59">
        <v>65.3</v>
      </c>
      <c r="G59">
        <v>42.07</v>
      </c>
      <c r="H59">
        <v>2.32</v>
      </c>
      <c r="I59">
        <v>15.2</v>
      </c>
      <c r="J59">
        <v>3.68</v>
      </c>
      <c r="K59">
        <v>0.35</v>
      </c>
    </row>
    <row r="60" spans="1:11">
      <c r="A60" s="3" t="s">
        <v>51</v>
      </c>
      <c r="B60">
        <v>37.16</v>
      </c>
      <c r="C60">
        <v>44.85</v>
      </c>
      <c r="D60">
        <v>67.13</v>
      </c>
      <c r="E60">
        <v>80.46</v>
      </c>
      <c r="F60">
        <v>99.84</v>
      </c>
      <c r="G60">
        <v>104.11</v>
      </c>
      <c r="H60">
        <v>138.8</v>
      </c>
      <c r="I60">
        <v>168.08</v>
      </c>
      <c r="J60">
        <v>172.62</v>
      </c>
      <c r="K60">
        <v>163.22</v>
      </c>
    </row>
    <row r="61" s="1" customFormat="1" spans="1:11">
      <c r="A61" s="1" t="s">
        <v>52</v>
      </c>
      <c r="B61">
        <v>257.81</v>
      </c>
      <c r="C61">
        <v>404.56</v>
      </c>
      <c r="D61">
        <v>545.63</v>
      </c>
      <c r="E61">
        <v>552.11</v>
      </c>
      <c r="F61">
        <v>599.19</v>
      </c>
      <c r="G61">
        <v>686.96</v>
      </c>
      <c r="H61">
        <v>821.13</v>
      </c>
      <c r="I61">
        <v>979.95</v>
      </c>
      <c r="J61">
        <v>1227.58</v>
      </c>
      <c r="K61">
        <v>1442.98</v>
      </c>
    </row>
    <row r="62" spans="1:11">
      <c r="A62" s="3" t="s">
        <v>53</v>
      </c>
      <c r="B62">
        <v>111.17</v>
      </c>
      <c r="C62">
        <v>144.31</v>
      </c>
      <c r="D62">
        <v>290.13</v>
      </c>
      <c r="E62">
        <v>304.19</v>
      </c>
      <c r="F62">
        <v>327.25</v>
      </c>
      <c r="G62">
        <v>381.89</v>
      </c>
      <c r="H62">
        <v>467.6</v>
      </c>
      <c r="I62">
        <v>456.84</v>
      </c>
      <c r="J62">
        <v>474.51</v>
      </c>
      <c r="K62">
        <v>750.76</v>
      </c>
    </row>
    <row r="63" spans="1:11">
      <c r="A63" s="3" t="s">
        <v>54</v>
      </c>
      <c r="B63">
        <v>36.04</v>
      </c>
      <c r="C63">
        <v>56.75</v>
      </c>
      <c r="D63">
        <v>14.05</v>
      </c>
      <c r="E63">
        <v>10.09</v>
      </c>
      <c r="F63">
        <v>20.02</v>
      </c>
      <c r="G63">
        <v>24.83</v>
      </c>
      <c r="H63">
        <v>7.38</v>
      </c>
      <c r="I63">
        <v>34.88</v>
      </c>
      <c r="J63">
        <v>191.18</v>
      </c>
      <c r="K63">
        <v>30.97</v>
      </c>
    </row>
    <row r="64" spans="1:11">
      <c r="A64" s="3" t="s">
        <v>55</v>
      </c>
      <c r="B64">
        <v>3.16</v>
      </c>
      <c r="C64">
        <v>7.9</v>
      </c>
      <c r="D64">
        <v>12.77</v>
      </c>
      <c r="E64">
        <v>2.74</v>
      </c>
      <c r="F64">
        <v>2.74</v>
      </c>
      <c r="G64">
        <v>2.74</v>
      </c>
      <c r="H64">
        <v>61.83</v>
      </c>
      <c r="I64">
        <v>131.74</v>
      </c>
      <c r="J64">
        <v>96.47</v>
      </c>
      <c r="K64">
        <v>227.39</v>
      </c>
    </row>
    <row r="65" spans="1:11">
      <c r="A65" s="3" t="s">
        <v>56</v>
      </c>
      <c r="B65">
        <v>107.44</v>
      </c>
      <c r="C65">
        <v>195.6</v>
      </c>
      <c r="D65">
        <v>228.68</v>
      </c>
      <c r="E65">
        <v>235.09</v>
      </c>
      <c r="F65">
        <v>249.18</v>
      </c>
      <c r="G65">
        <v>277.5</v>
      </c>
      <c r="H65">
        <v>284.32</v>
      </c>
      <c r="I65">
        <v>356.49</v>
      </c>
      <c r="J65">
        <v>465.42</v>
      </c>
      <c r="K65">
        <v>433.86</v>
      </c>
    </row>
    <row r="66" s="1" customFormat="1" spans="1:11">
      <c r="A66" s="1" t="s">
        <v>52</v>
      </c>
      <c r="B66">
        <v>257.81</v>
      </c>
      <c r="C66">
        <v>404.56</v>
      </c>
      <c r="D66">
        <v>545.63</v>
      </c>
      <c r="E66">
        <v>552.11</v>
      </c>
      <c r="F66">
        <v>599.19</v>
      </c>
      <c r="G66">
        <v>686.96</v>
      </c>
      <c r="H66">
        <v>821.13</v>
      </c>
      <c r="I66">
        <v>979.95</v>
      </c>
      <c r="J66">
        <v>1227.58</v>
      </c>
      <c r="K66">
        <v>1442.98</v>
      </c>
    </row>
    <row r="67" s="3" customFormat="1" spans="1:11">
      <c r="A67" s="3" t="s">
        <v>371</v>
      </c>
      <c r="B67">
        <v>51.92</v>
      </c>
      <c r="C67">
        <v>85.68</v>
      </c>
      <c r="D67">
        <v>113.19</v>
      </c>
      <c r="E67">
        <v>115.05</v>
      </c>
      <c r="F67">
        <v>129.1</v>
      </c>
      <c r="G67">
        <v>114.82</v>
      </c>
      <c r="H67">
        <v>140.54</v>
      </c>
      <c r="I67">
        <v>177.11</v>
      </c>
      <c r="J67">
        <v>243.98</v>
      </c>
      <c r="K67">
        <v>201.78</v>
      </c>
    </row>
    <row r="68" spans="1:11">
      <c r="A68" s="3" t="s">
        <v>59</v>
      </c>
      <c r="B68">
        <v>35.01</v>
      </c>
      <c r="C68">
        <v>43.02</v>
      </c>
      <c r="D68">
        <v>54.64</v>
      </c>
      <c r="E68">
        <v>46.63</v>
      </c>
      <c r="F68">
        <v>54.49</v>
      </c>
      <c r="G68">
        <v>44.7</v>
      </c>
      <c r="H68">
        <v>65.07</v>
      </c>
      <c r="I68">
        <v>82.23</v>
      </c>
      <c r="J68">
        <v>92.39</v>
      </c>
      <c r="K68">
        <v>93.17</v>
      </c>
    </row>
    <row r="69" spans="1:11">
      <c r="A69" s="3" t="s">
        <v>372</v>
      </c>
      <c r="B69">
        <v>1.94</v>
      </c>
      <c r="C69">
        <v>31.95</v>
      </c>
      <c r="D69">
        <v>33.77</v>
      </c>
      <c r="E69">
        <v>42.7</v>
      </c>
      <c r="F69">
        <v>27.14</v>
      </c>
      <c r="G69">
        <v>72.23</v>
      </c>
      <c r="H69">
        <v>4.75</v>
      </c>
      <c r="I69">
        <v>5.24</v>
      </c>
      <c r="J69">
        <v>3.8</v>
      </c>
      <c r="K69">
        <v>53.7</v>
      </c>
    </row>
    <row r="70" spans="1:11">
      <c r="A70" s="3" t="s">
        <v>373</v>
      </c>
      <c r="B70">
        <v>49372500</v>
      </c>
      <c r="C70">
        <v>49372500</v>
      </c>
      <c r="D70">
        <v>49372500</v>
      </c>
      <c r="E70">
        <v>49372500</v>
      </c>
      <c r="F70">
        <v>51591025</v>
      </c>
      <c r="G70">
        <v>51591025</v>
      </c>
      <c r="H70">
        <v>51591025</v>
      </c>
      <c r="I70">
        <v>51391000</v>
      </c>
      <c r="J70">
        <v>51391000</v>
      </c>
      <c r="K70">
        <v>102782050</v>
      </c>
    </row>
    <row r="71" spans="1:10">
      <c r="A71" s="3" t="s">
        <v>374</v>
      </c>
      <c r="F71"/>
      <c r="G71"/>
      <c r="J71">
        <v>16457500</v>
      </c>
    </row>
    <row r="72" spans="1:11">
      <c r="A72" s="3" t="s">
        <v>375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1</v>
      </c>
    </row>
    <row r="80" spans="1:1">
      <c r="A80" s="1" t="s">
        <v>376</v>
      </c>
    </row>
    <row r="81" s="2" customFormat="1" spans="1:11">
      <c r="A81" s="6" t="s">
        <v>360</v>
      </c>
      <c r="B81" s="7">
        <v>40633</v>
      </c>
      <c r="C81" s="7">
        <v>40999</v>
      </c>
      <c r="D81" s="7">
        <v>41364</v>
      </c>
      <c r="E81" s="7">
        <v>41729</v>
      </c>
      <c r="F81" s="7">
        <v>42094</v>
      </c>
      <c r="G81" s="7">
        <v>42460</v>
      </c>
      <c r="H81" s="7">
        <v>42825</v>
      </c>
      <c r="I81" s="7">
        <v>43190</v>
      </c>
      <c r="J81" s="7">
        <v>43555</v>
      </c>
      <c r="K81" s="7">
        <v>43921</v>
      </c>
    </row>
    <row r="82" s="1" customFormat="1" spans="1:11">
      <c r="A82" s="3" t="s">
        <v>36</v>
      </c>
      <c r="B82">
        <v>31.31</v>
      </c>
      <c r="C82">
        <v>19.75</v>
      </c>
      <c r="D82">
        <v>92.1</v>
      </c>
      <c r="E82">
        <v>131.46</v>
      </c>
      <c r="F82">
        <v>112.56</v>
      </c>
      <c r="G82">
        <v>167.49</v>
      </c>
      <c r="H82">
        <v>130.43</v>
      </c>
      <c r="I82">
        <v>138.33</v>
      </c>
      <c r="J82">
        <v>200.36</v>
      </c>
      <c r="K82">
        <v>415.93</v>
      </c>
    </row>
    <row r="83" s="3" customFormat="1" spans="1:11">
      <c r="A83" s="3" t="s">
        <v>37</v>
      </c>
      <c r="B83">
        <v>-38.51</v>
      </c>
      <c r="C83">
        <v>-61.25</v>
      </c>
      <c r="D83">
        <v>-112.58</v>
      </c>
      <c r="E83">
        <v>-9.04</v>
      </c>
      <c r="F83">
        <v>-53.49</v>
      </c>
      <c r="G83">
        <v>-72.19</v>
      </c>
      <c r="H83">
        <v>-26.79</v>
      </c>
      <c r="I83">
        <v>-38.78</v>
      </c>
      <c r="J83">
        <v>-242.71</v>
      </c>
      <c r="K83">
        <v>-197.46</v>
      </c>
    </row>
    <row r="84" s="3" customFormat="1" spans="1:11">
      <c r="A84" s="3" t="s">
        <v>38</v>
      </c>
      <c r="B84">
        <v>7.35</v>
      </c>
      <c r="C84">
        <v>71.51</v>
      </c>
      <c r="D84">
        <v>22.3</v>
      </c>
      <c r="E84">
        <v>-113.49</v>
      </c>
      <c r="F84">
        <v>-74.63</v>
      </c>
      <c r="G84">
        <v>-50.22</v>
      </c>
      <c r="H84">
        <v>-45.08</v>
      </c>
      <c r="I84">
        <v>-29.86</v>
      </c>
      <c r="J84">
        <v>-40.26</v>
      </c>
      <c r="K84">
        <v>-109.05</v>
      </c>
    </row>
    <row r="85" s="1" customFormat="1" spans="1:11">
      <c r="A85" s="3" t="s">
        <v>39</v>
      </c>
      <c r="B85">
        <v>0.15</v>
      </c>
      <c r="C85">
        <v>30.01</v>
      </c>
      <c r="D85">
        <v>1.82</v>
      </c>
      <c r="E85">
        <v>8.93</v>
      </c>
      <c r="F85">
        <v>-15.56</v>
      </c>
      <c r="G85">
        <v>45.09</v>
      </c>
      <c r="H85">
        <v>58.57</v>
      </c>
      <c r="I85">
        <v>69.69</v>
      </c>
      <c r="J85">
        <v>-82.62</v>
      </c>
      <c r="K85">
        <v>109.42</v>
      </c>
    </row>
    <row r="90" s="1" customFormat="1" spans="1:11">
      <c r="A90" s="1" t="s">
        <v>377</v>
      </c>
      <c r="B90">
        <v>35.5</v>
      </c>
      <c r="C90">
        <v>41.73</v>
      </c>
      <c r="D90">
        <v>51.88</v>
      </c>
      <c r="E90">
        <v>140.53</v>
      </c>
      <c r="F90">
        <v>261.95</v>
      </c>
      <c r="G90">
        <v>194.53</v>
      </c>
      <c r="H90">
        <v>379</v>
      </c>
      <c r="I90">
        <v>451.28</v>
      </c>
      <c r="J90">
        <v>822.18</v>
      </c>
      <c r="K90">
        <v>774.55</v>
      </c>
    </row>
    <row r="92" s="1" customFormat="1" spans="1:1">
      <c r="A92" s="1" t="s">
        <v>378</v>
      </c>
    </row>
    <row r="93" spans="1:11">
      <c r="A93" s="3" t="s">
        <v>379</v>
      </c>
      <c r="B93" s="8">
        <v>9.85</v>
      </c>
      <c r="C93" s="8">
        <v>9.85</v>
      </c>
      <c r="D93" s="8">
        <v>9.85</v>
      </c>
      <c r="E93" s="8">
        <v>9.85</v>
      </c>
      <c r="F93" s="8">
        <v>10.32</v>
      </c>
      <c r="G93" s="8">
        <v>10.32</v>
      </c>
      <c r="H93" s="8">
        <v>10.32</v>
      </c>
      <c r="I93" s="8">
        <v>10.28</v>
      </c>
      <c r="J93" s="8">
        <v>10.28</v>
      </c>
      <c r="K93" s="8">
        <v>10.28</v>
      </c>
    </row>
  </sheetData>
  <mergeCells count="2">
    <mergeCell ref="E1:K1"/>
    <mergeCell ref="E2:K2"/>
  </mergeCells>
  <conditionalFormatting sqref="E1:K1">
    <cfRule type="cellIs" dxfId="3" priority="1" operator="notEqual">
      <formula>""</formula>
    </cfRule>
  </conditionalFormatting>
  <hyperlinks>
    <hyperlink ref="E1:K1" r:id="rId1" display="=IF(B2&lt;&gt;B3,&quot;A NEW VERSION OF THE WORKSHEET IS AVAILABLE&quot;,&quot;&quot;)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pageSetUpPr fitToPage="1"/>
  </sheetPr>
  <dimension ref="A1:K22"/>
  <sheetViews>
    <sheetView zoomScale="150" zoomScaleNormal="150" workbookViewId="0">
      <pane xSplit="1" ySplit="3" topLeftCell="B4" activePane="bottomRight" state="frozen"/>
      <selection/>
      <selection pane="topRight"/>
      <selection pane="bottomLeft"/>
      <selection pane="bottomRight" activeCell="A7" sqref="A7"/>
    </sheetView>
  </sheetViews>
  <sheetFormatPr defaultColWidth="8.83333333333333" defaultRowHeight="14.4"/>
  <cols>
    <col min="1" max="1" width="20.6666666666667" style="220" customWidth="1"/>
    <col min="2" max="11" width="13.5" style="220" customWidth="1"/>
    <col min="12" max="16384" width="8.83333333333333" style="220"/>
  </cols>
  <sheetData>
    <row r="1" s="219" customFormat="1" spans="1:11">
      <c r="A1" s="219" t="str">
        <f>'Profit &amp; Loss'!A1</f>
        <v>VINATI ORGANICS LTD</v>
      </c>
      <c r="E1" t="str">
        <f>UPDATE</f>
        <v/>
      </c>
      <c r="J1" s="226" t="s">
        <v>0</v>
      </c>
      <c r="K1" s="226"/>
    </row>
    <row r="3" s="139" customFormat="1" spans="1:11">
      <c r="A3" s="221" t="s">
        <v>1</v>
      </c>
      <c r="B3" s="7">
        <f>'Data Sheet'!B41</f>
        <v>43373</v>
      </c>
      <c r="C3" s="7">
        <f>'Data Sheet'!C41</f>
        <v>43465</v>
      </c>
      <c r="D3" s="7">
        <f>'Data Sheet'!D41</f>
        <v>43555</v>
      </c>
      <c r="E3" s="7">
        <f>'Data Sheet'!E41</f>
        <v>43646</v>
      </c>
      <c r="F3" s="7">
        <f>'Data Sheet'!F41</f>
        <v>43738</v>
      </c>
      <c r="G3" s="7">
        <f>'Data Sheet'!G41</f>
        <v>43830</v>
      </c>
      <c r="H3" s="7">
        <f>'Data Sheet'!H41</f>
        <v>43921</v>
      </c>
      <c r="I3" s="7">
        <f>'Data Sheet'!I41</f>
        <v>44012</v>
      </c>
      <c r="J3" s="7">
        <f>'Data Sheet'!J41</f>
        <v>44104</v>
      </c>
      <c r="K3" s="7">
        <f>'Data Sheet'!K41</f>
        <v>44196</v>
      </c>
    </row>
    <row r="4" s="219" customFormat="1" spans="1:11">
      <c r="A4" s="219" t="s">
        <v>5</v>
      </c>
      <c r="B4" s="1">
        <f>'Data Sheet'!B42</f>
        <v>248.74</v>
      </c>
      <c r="C4" s="1">
        <f>'Data Sheet'!C42</f>
        <v>303.05</v>
      </c>
      <c r="D4" s="1">
        <f>'Data Sheet'!D42</f>
        <v>301.92</v>
      </c>
      <c r="E4" s="1">
        <f>'Data Sheet'!E42</f>
        <v>290.74</v>
      </c>
      <c r="F4" s="1">
        <f>'Data Sheet'!F42</f>
        <v>249.14</v>
      </c>
      <c r="G4" s="1">
        <f>'Data Sheet'!G42</f>
        <v>238.47</v>
      </c>
      <c r="H4" s="1">
        <f>'Data Sheet'!H42</f>
        <v>245.34</v>
      </c>
      <c r="I4" s="1">
        <f>'Data Sheet'!I42</f>
        <v>231.57</v>
      </c>
      <c r="J4" s="1">
        <f>'Data Sheet'!J42</f>
        <v>219.44</v>
      </c>
      <c r="K4" s="1">
        <f>'Data Sheet'!K42</f>
        <v>223.47</v>
      </c>
    </row>
    <row r="5" spans="1:11">
      <c r="A5" s="220" t="s">
        <v>6</v>
      </c>
      <c r="B5" s="3">
        <f>'Data Sheet'!B43</f>
        <v>157.58</v>
      </c>
      <c r="C5" s="3">
        <f>'Data Sheet'!C43</f>
        <v>196.61</v>
      </c>
      <c r="D5" s="3">
        <f>'Data Sheet'!D43</f>
        <v>176.83</v>
      </c>
      <c r="E5" s="3">
        <f>'Data Sheet'!E43</f>
        <v>170.57</v>
      </c>
      <c r="F5" s="3">
        <f>'Data Sheet'!F43</f>
        <v>145.2</v>
      </c>
      <c r="G5" s="3">
        <f>'Data Sheet'!G43</f>
        <v>155.48</v>
      </c>
      <c r="H5" s="3">
        <f>'Data Sheet'!H43</f>
        <v>143.68</v>
      </c>
      <c r="I5" s="3">
        <f>'Data Sheet'!I43</f>
        <v>134.39</v>
      </c>
      <c r="J5" s="3">
        <f>'Data Sheet'!J43</f>
        <v>135.31</v>
      </c>
      <c r="K5" s="3">
        <f>'Data Sheet'!K43</f>
        <v>151.38</v>
      </c>
    </row>
    <row r="6" s="219" customFormat="1" spans="1:11">
      <c r="A6" s="219" t="s">
        <v>7</v>
      </c>
      <c r="B6" s="1">
        <f>'Data Sheet'!B50</f>
        <v>91.16</v>
      </c>
      <c r="C6" s="1">
        <f>'Data Sheet'!C50</f>
        <v>106.44</v>
      </c>
      <c r="D6" s="1">
        <f>'Data Sheet'!D50</f>
        <v>125.09</v>
      </c>
      <c r="E6" s="1">
        <f>'Data Sheet'!E50</f>
        <v>120.17</v>
      </c>
      <c r="F6" s="1">
        <f>'Data Sheet'!F50</f>
        <v>103.94</v>
      </c>
      <c r="G6" s="1">
        <f>'Data Sheet'!G50</f>
        <v>82.99</v>
      </c>
      <c r="H6" s="1">
        <f>'Data Sheet'!H50</f>
        <v>101.66</v>
      </c>
      <c r="I6" s="1">
        <f>'Data Sheet'!I50</f>
        <v>97.18</v>
      </c>
      <c r="J6" s="1">
        <f>'Data Sheet'!J50</f>
        <v>84.13</v>
      </c>
      <c r="K6" s="1">
        <f>'Data Sheet'!K50</f>
        <v>72.09</v>
      </c>
    </row>
    <row r="7" spans="1:11">
      <c r="A7" s="220" t="s">
        <v>8</v>
      </c>
      <c r="B7" s="3">
        <f>'Data Sheet'!B44</f>
        <v>14.8</v>
      </c>
      <c r="C7" s="3">
        <f>'Data Sheet'!C44</f>
        <v>7.28</v>
      </c>
      <c r="D7" s="3">
        <f>'Data Sheet'!D44</f>
        <v>4.96</v>
      </c>
      <c r="E7" s="3">
        <f>'Data Sheet'!E44</f>
        <v>11.42</v>
      </c>
      <c r="F7" s="3">
        <f>'Data Sheet'!F44</f>
        <v>7.12</v>
      </c>
      <c r="G7" s="3">
        <f>'Data Sheet'!G44</f>
        <v>15.4</v>
      </c>
      <c r="H7" s="3">
        <f>'Data Sheet'!H44</f>
        <v>16.22</v>
      </c>
      <c r="I7" s="3">
        <f>'Data Sheet'!I44</f>
        <v>8.6</v>
      </c>
      <c r="J7" s="3">
        <f>'Data Sheet'!J44</f>
        <v>1.4</v>
      </c>
      <c r="K7" s="3">
        <f>'Data Sheet'!K44</f>
        <v>9.29</v>
      </c>
    </row>
    <row r="8" spans="1:11">
      <c r="A8" s="220" t="s">
        <v>9</v>
      </c>
      <c r="B8" s="3">
        <f>'Data Sheet'!B45</f>
        <v>6.9</v>
      </c>
      <c r="C8" s="3">
        <f>'Data Sheet'!C45</f>
        <v>6.92</v>
      </c>
      <c r="D8" s="3">
        <f>'Data Sheet'!D45</f>
        <v>6.81</v>
      </c>
      <c r="E8" s="3">
        <f>'Data Sheet'!E45</f>
        <v>6.98</v>
      </c>
      <c r="F8" s="3">
        <f>'Data Sheet'!F45</f>
        <v>7.19</v>
      </c>
      <c r="G8" s="3">
        <f>'Data Sheet'!G45</f>
        <v>9.28</v>
      </c>
      <c r="H8" s="3">
        <f>'Data Sheet'!H45</f>
        <v>9.7</v>
      </c>
      <c r="I8" s="3">
        <f>'Data Sheet'!I45</f>
        <v>10.65</v>
      </c>
      <c r="J8" s="3">
        <f>'Data Sheet'!J45</f>
        <v>10.76</v>
      </c>
      <c r="K8" s="3">
        <f>'Data Sheet'!K45</f>
        <v>10.77</v>
      </c>
    </row>
    <row r="9" spans="1:11">
      <c r="A9" s="220" t="s">
        <v>10</v>
      </c>
      <c r="B9" s="3">
        <f>'Data Sheet'!B46</f>
        <v>0.25</v>
      </c>
      <c r="C9" s="3">
        <f>'Data Sheet'!C46</f>
        <v>0.28</v>
      </c>
      <c r="D9" s="3">
        <f>'Data Sheet'!D46</f>
        <v>0.23</v>
      </c>
      <c r="E9" s="3">
        <f>'Data Sheet'!E46</f>
        <v>0.3</v>
      </c>
      <c r="F9" s="3">
        <f>'Data Sheet'!F46</f>
        <v>0.28</v>
      </c>
      <c r="G9" s="3">
        <f>'Data Sheet'!G46</f>
        <v>0.25</v>
      </c>
      <c r="H9" s="3">
        <f>'Data Sheet'!H46</f>
        <v>0.26</v>
      </c>
      <c r="I9" s="3">
        <f>'Data Sheet'!I46</f>
        <v>0.04</v>
      </c>
      <c r="J9" s="3">
        <f>'Data Sheet'!J46</f>
        <v>0.05</v>
      </c>
      <c r="K9" s="3">
        <f>'Data Sheet'!K46</f>
        <v>0.01</v>
      </c>
    </row>
    <row r="10" spans="1:11">
      <c r="A10" s="220" t="s">
        <v>11</v>
      </c>
      <c r="B10" s="3">
        <f>'Data Sheet'!B47</f>
        <v>98.81</v>
      </c>
      <c r="C10" s="3">
        <f>'Data Sheet'!C47</f>
        <v>106.52</v>
      </c>
      <c r="D10" s="3">
        <f>'Data Sheet'!D47</f>
        <v>123.01</v>
      </c>
      <c r="E10" s="3">
        <f>'Data Sheet'!E47</f>
        <v>124.31</v>
      </c>
      <c r="F10" s="3">
        <f>'Data Sheet'!F47</f>
        <v>103.59</v>
      </c>
      <c r="G10" s="3">
        <f>'Data Sheet'!G47</f>
        <v>88.86</v>
      </c>
      <c r="H10" s="3">
        <f>'Data Sheet'!H47</f>
        <v>107.92</v>
      </c>
      <c r="I10" s="3">
        <f>'Data Sheet'!I47</f>
        <v>95.09</v>
      </c>
      <c r="J10" s="3">
        <f>'Data Sheet'!J47</f>
        <v>74.72</v>
      </c>
      <c r="K10" s="3">
        <f>'Data Sheet'!K47</f>
        <v>70.6</v>
      </c>
    </row>
    <row r="11" spans="1:11">
      <c r="A11" s="220" t="s">
        <v>12</v>
      </c>
      <c r="B11" s="3">
        <f>'Data Sheet'!B48</f>
        <v>33.78</v>
      </c>
      <c r="C11" s="3">
        <f>'Data Sheet'!C48</f>
        <v>35.83</v>
      </c>
      <c r="D11" s="3">
        <f>'Data Sheet'!D48</f>
        <v>40.47</v>
      </c>
      <c r="E11" s="3">
        <f>'Data Sheet'!E48</f>
        <v>41.95</v>
      </c>
      <c r="F11" s="3">
        <f>'Data Sheet'!F48</f>
        <v>-6.42</v>
      </c>
      <c r="G11" s="3">
        <f>'Data Sheet'!G48</f>
        <v>22.03</v>
      </c>
      <c r="H11" s="3">
        <f>'Data Sheet'!H48</f>
        <v>33.29</v>
      </c>
      <c r="I11" s="3">
        <f>'Data Sheet'!I48</f>
        <v>22.79</v>
      </c>
      <c r="J11" s="3">
        <f>'Data Sheet'!J48</f>
        <v>12.68</v>
      </c>
      <c r="K11" s="3">
        <f>'Data Sheet'!K48</f>
        <v>6.47</v>
      </c>
    </row>
    <row r="12" s="219" customFormat="1" spans="1:11">
      <c r="A12" s="219" t="s">
        <v>13</v>
      </c>
      <c r="B12" s="1">
        <f>'Data Sheet'!B49</f>
        <v>65.03</v>
      </c>
      <c r="C12" s="1">
        <f>'Data Sheet'!C49</f>
        <v>70.68</v>
      </c>
      <c r="D12" s="1">
        <f>'Data Sheet'!D49</f>
        <v>82.53</v>
      </c>
      <c r="E12" s="1">
        <f>'Data Sheet'!E49</f>
        <v>82.36</v>
      </c>
      <c r="F12" s="1">
        <f>'Data Sheet'!F49</f>
        <v>110.01</v>
      </c>
      <c r="G12" s="1">
        <f>'Data Sheet'!G49</f>
        <v>66.82</v>
      </c>
      <c r="H12" s="1">
        <f>'Data Sheet'!H49</f>
        <v>74.63</v>
      </c>
      <c r="I12" s="1">
        <f>'Data Sheet'!I49</f>
        <v>72.3</v>
      </c>
      <c r="J12" s="1">
        <f>'Data Sheet'!J49</f>
        <v>62.04</v>
      </c>
      <c r="K12" s="1">
        <f>'Data Sheet'!K49</f>
        <v>64.14</v>
      </c>
    </row>
    <row r="14" s="219" customFormat="1" spans="1:11">
      <c r="A14" s="139" t="s">
        <v>20</v>
      </c>
      <c r="B14" s="225">
        <f>IF(B4&gt;0,B6/B4,"")</f>
        <v>0.366487094958591</v>
      </c>
      <c r="C14" s="225">
        <f t="shared" ref="C14:K14" si="0">IF(C4&gt;0,C6/C4,"")</f>
        <v>0.351229170103943</v>
      </c>
      <c r="D14" s="225">
        <f t="shared" si="0"/>
        <v>0.414315050344462</v>
      </c>
      <c r="E14" s="225">
        <f t="shared" si="0"/>
        <v>0.413324619935337</v>
      </c>
      <c r="F14" s="225">
        <f t="shared" si="0"/>
        <v>0.417195151320543</v>
      </c>
      <c r="G14" s="225">
        <f t="shared" si="0"/>
        <v>0.348010231894997</v>
      </c>
      <c r="H14" s="225">
        <f t="shared" si="0"/>
        <v>0.414363740115758</v>
      </c>
      <c r="I14" s="225">
        <f t="shared" si="0"/>
        <v>0.41965712311612</v>
      </c>
      <c r="J14" s="225">
        <f t="shared" si="0"/>
        <v>0.383384979948961</v>
      </c>
      <c r="K14" s="225">
        <f t="shared" si="0"/>
        <v>0.322593636729762</v>
      </c>
    </row>
    <row r="22" s="233" customFormat="1"/>
  </sheetData>
  <hyperlinks>
    <hyperlink ref="J1" r:id="rId2" display="SCREENER.IN"/>
  </hyperlinks>
  <printOptions gridLines="1"/>
  <pageMargins left="0.7" right="0.7" top="0.75" bottom="0.75" header="0.3" footer="0.3"/>
  <pageSetup paperSize="9" scale="83" orientation="landscape" horizontalDpi="300" verticalDpi="300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pageSetUpPr fitToPage="1"/>
  </sheetPr>
  <dimension ref="A1:K23"/>
  <sheetViews>
    <sheetView zoomScale="115" zoomScaleNormal="115" zoomScalePageLayoutView="150" workbookViewId="0">
      <pane xSplit="1" ySplit="3" topLeftCell="B4" activePane="bottomRight" state="frozen"/>
      <selection/>
      <selection pane="topRight"/>
      <selection pane="bottomLeft"/>
      <selection pane="bottomRight" activeCell="K8" sqref="K8"/>
    </sheetView>
  </sheetViews>
  <sheetFormatPr defaultColWidth="8.83333333333333" defaultRowHeight="14.4"/>
  <cols>
    <col min="1" max="1" width="26.8333333333333" style="220" customWidth="1"/>
    <col min="2" max="11" width="13.5" style="220" customWidth="1"/>
    <col min="12" max="16384" width="8.83333333333333" style="220"/>
  </cols>
  <sheetData>
    <row r="1" s="219" customFormat="1" spans="1:11">
      <c r="A1" s="219" t="str">
        <f>'Balance Sheet'!A1</f>
        <v>VINATI ORGANICS LTD</v>
      </c>
      <c r="E1" t="str">
        <f>UPDATE</f>
        <v/>
      </c>
      <c r="F1"/>
      <c r="J1" s="226" t="s">
        <v>0</v>
      </c>
      <c r="K1" s="226"/>
    </row>
    <row r="3" s="139" customFormat="1" spans="1:11">
      <c r="A3" s="221" t="s">
        <v>1</v>
      </c>
      <c r="B3" s="7">
        <f>'Data Sheet'!B81</f>
        <v>40633</v>
      </c>
      <c r="C3" s="7">
        <f>'Data Sheet'!C81</f>
        <v>40999</v>
      </c>
      <c r="D3" s="7">
        <f>'Data Sheet'!D81</f>
        <v>41364</v>
      </c>
      <c r="E3" s="7">
        <f>'Data Sheet'!E81</f>
        <v>41729</v>
      </c>
      <c r="F3" s="7">
        <f>'Data Sheet'!F81</f>
        <v>42094</v>
      </c>
      <c r="G3" s="7">
        <f>'Data Sheet'!G81</f>
        <v>42460</v>
      </c>
      <c r="H3" s="7">
        <f>'Data Sheet'!H81</f>
        <v>42825</v>
      </c>
      <c r="I3" s="7">
        <f>'Data Sheet'!I81</f>
        <v>43190</v>
      </c>
      <c r="J3" s="7">
        <f>'Data Sheet'!J81</f>
        <v>43555</v>
      </c>
      <c r="K3" s="7">
        <f>'Data Sheet'!K81</f>
        <v>43921</v>
      </c>
    </row>
    <row r="4" s="219" customFormat="1" spans="1:11">
      <c r="A4" s="219" t="s">
        <v>36</v>
      </c>
      <c r="B4" s="1">
        <f>'Data Sheet'!B82</f>
        <v>31.31</v>
      </c>
      <c r="C4" s="1">
        <f>'Data Sheet'!C82</f>
        <v>19.75</v>
      </c>
      <c r="D4" s="1">
        <f>'Data Sheet'!D82</f>
        <v>92.1</v>
      </c>
      <c r="E4" s="1">
        <f>'Data Sheet'!E82</f>
        <v>131.46</v>
      </c>
      <c r="F4" s="1">
        <f>'Data Sheet'!F82</f>
        <v>112.56</v>
      </c>
      <c r="G4" s="1">
        <f>'Data Sheet'!G82</f>
        <v>167.49</v>
      </c>
      <c r="H4" s="1">
        <f>'Data Sheet'!H82</f>
        <v>130.43</v>
      </c>
      <c r="I4" s="1">
        <f>'Data Sheet'!I82</f>
        <v>138.33</v>
      </c>
      <c r="J4" s="1">
        <f>'Data Sheet'!J82</f>
        <v>200.36</v>
      </c>
      <c r="K4" s="1">
        <f>'Data Sheet'!K82</f>
        <v>415.93</v>
      </c>
    </row>
    <row r="5" spans="1:11">
      <c r="A5" s="220" t="s">
        <v>37</v>
      </c>
      <c r="B5" s="3">
        <f>'Data Sheet'!B83</f>
        <v>-38.51</v>
      </c>
      <c r="C5" s="3">
        <f>'Data Sheet'!C83</f>
        <v>-61.25</v>
      </c>
      <c r="D5" s="3">
        <f>'Data Sheet'!D83</f>
        <v>-112.58</v>
      </c>
      <c r="E5" s="3">
        <f>'Data Sheet'!E83</f>
        <v>-9.04</v>
      </c>
      <c r="F5" s="3">
        <f>'Data Sheet'!F83</f>
        <v>-53.49</v>
      </c>
      <c r="G5" s="3">
        <f>'Data Sheet'!G83</f>
        <v>-72.19</v>
      </c>
      <c r="H5" s="3">
        <f>'Data Sheet'!H83</f>
        <v>-26.79</v>
      </c>
      <c r="I5" s="3">
        <f>'Data Sheet'!I83</f>
        <v>-38.78</v>
      </c>
      <c r="J5" s="3">
        <f>'Data Sheet'!J83</f>
        <v>-242.71</v>
      </c>
      <c r="K5" s="3">
        <f>'Data Sheet'!K83</f>
        <v>-197.46</v>
      </c>
    </row>
    <row r="6" spans="1:11">
      <c r="A6" s="220" t="s">
        <v>38</v>
      </c>
      <c r="B6" s="3">
        <f>'Data Sheet'!B84</f>
        <v>7.35</v>
      </c>
      <c r="C6" s="3">
        <f>'Data Sheet'!C84</f>
        <v>71.51</v>
      </c>
      <c r="D6" s="3">
        <f>'Data Sheet'!D84</f>
        <v>22.3</v>
      </c>
      <c r="E6" s="3">
        <f>'Data Sheet'!E84</f>
        <v>-113.49</v>
      </c>
      <c r="F6" s="3">
        <f>'Data Sheet'!F84</f>
        <v>-74.63</v>
      </c>
      <c r="G6" s="3">
        <f>'Data Sheet'!G84</f>
        <v>-50.22</v>
      </c>
      <c r="H6" s="3">
        <f>'Data Sheet'!H84</f>
        <v>-45.08</v>
      </c>
      <c r="I6" s="3">
        <f>'Data Sheet'!I84</f>
        <v>-29.86</v>
      </c>
      <c r="J6" s="3">
        <f>'Data Sheet'!J84</f>
        <v>-40.26</v>
      </c>
      <c r="K6" s="3">
        <f>'Data Sheet'!K84</f>
        <v>-109.05</v>
      </c>
    </row>
    <row r="7" s="219" customFormat="1" spans="1:11">
      <c r="A7" s="219" t="s">
        <v>39</v>
      </c>
      <c r="B7" s="1">
        <f>'Data Sheet'!B85</f>
        <v>0.15</v>
      </c>
      <c r="C7" s="1">
        <f>'Data Sheet'!C85</f>
        <v>30.01</v>
      </c>
      <c r="D7" s="1">
        <f>'Data Sheet'!D85</f>
        <v>1.82</v>
      </c>
      <c r="E7" s="1">
        <f>'Data Sheet'!E85</f>
        <v>8.93</v>
      </c>
      <c r="F7" s="1">
        <f>'Data Sheet'!F85</f>
        <v>-15.56</v>
      </c>
      <c r="G7" s="1">
        <f>'Data Sheet'!G85</f>
        <v>45.09</v>
      </c>
      <c r="H7" s="1">
        <f>'Data Sheet'!H85</f>
        <v>58.57</v>
      </c>
      <c r="I7" s="1">
        <f>'Data Sheet'!I85</f>
        <v>69.69</v>
      </c>
      <c r="J7" s="1">
        <f>'Data Sheet'!J85</f>
        <v>-82.62</v>
      </c>
      <c r="K7" s="1">
        <f>'Data Sheet'!K85</f>
        <v>109.42</v>
      </c>
    </row>
    <row r="8" ht="28.8" spans="1:11">
      <c r="A8" s="227" t="s">
        <v>40</v>
      </c>
      <c r="B8" s="228">
        <v>19</v>
      </c>
      <c r="C8" s="228">
        <v>15</v>
      </c>
      <c r="D8" s="228">
        <v>24</v>
      </c>
      <c r="E8" s="228">
        <v>26</v>
      </c>
      <c r="F8" s="228">
        <v>41</v>
      </c>
      <c r="G8" s="228">
        <v>35</v>
      </c>
      <c r="H8" s="228">
        <v>66</v>
      </c>
      <c r="I8" s="228">
        <v>136</v>
      </c>
      <c r="J8" s="228">
        <v>69</v>
      </c>
      <c r="K8" s="228">
        <v>77</v>
      </c>
    </row>
    <row r="9" spans="1:11">
      <c r="A9" s="220" t="s">
        <v>41</v>
      </c>
      <c r="B9" s="229">
        <f t="shared" ref="B9:K9" si="0">B4-(B8)</f>
        <v>12.31</v>
      </c>
      <c r="C9" s="229">
        <f t="shared" si="0"/>
        <v>4.75</v>
      </c>
      <c r="D9" s="229">
        <f t="shared" si="0"/>
        <v>68.1</v>
      </c>
      <c r="E9" s="229">
        <f t="shared" si="0"/>
        <v>105.46</v>
      </c>
      <c r="F9" s="229">
        <f t="shared" si="0"/>
        <v>71.56</v>
      </c>
      <c r="G9" s="229">
        <f t="shared" si="0"/>
        <v>132.49</v>
      </c>
      <c r="H9" s="229">
        <f t="shared" si="0"/>
        <v>64.43</v>
      </c>
      <c r="I9" s="229">
        <f t="shared" si="0"/>
        <v>2.33000000000001</v>
      </c>
      <c r="J9" s="229">
        <f t="shared" si="0"/>
        <v>131.36</v>
      </c>
      <c r="K9" s="232">
        <f t="shared" si="0"/>
        <v>338.93</v>
      </c>
    </row>
    <row r="10" spans="1:11">
      <c r="A10" s="74" t="s">
        <v>42</v>
      </c>
      <c r="B10" s="230">
        <f>B4/'Data Sheet'!B93</f>
        <v>3.17868020304568</v>
      </c>
      <c r="C10" s="230">
        <f>C4/'Data Sheet'!C93</f>
        <v>2.00507614213198</v>
      </c>
      <c r="D10" s="230">
        <f>D4/'Data Sheet'!D93</f>
        <v>9.3502538071066</v>
      </c>
      <c r="E10" s="230">
        <f>E4/'Data Sheet'!E93</f>
        <v>13.346192893401</v>
      </c>
      <c r="F10" s="230">
        <f>F4/'Data Sheet'!F93</f>
        <v>10.906976744186</v>
      </c>
      <c r="G10" s="230">
        <f>G4/'Data Sheet'!G93</f>
        <v>16.2296511627907</v>
      </c>
      <c r="H10" s="230">
        <f>H4/'Data Sheet'!H93</f>
        <v>12.6385658914729</v>
      </c>
      <c r="I10" s="230">
        <f>I4/'Data Sheet'!I93</f>
        <v>13.4562256809339</v>
      </c>
      <c r="J10" s="230">
        <f>J4/'Data Sheet'!J93</f>
        <v>19.4902723735409</v>
      </c>
      <c r="K10" s="230">
        <f>K4/'Data Sheet'!K93</f>
        <v>40.4601167315175</v>
      </c>
    </row>
    <row r="11" spans="1:11">
      <c r="A11" s="74" t="s">
        <v>43</v>
      </c>
      <c r="B11" s="231">
        <f>B8/B4</f>
        <v>0.606834877036091</v>
      </c>
      <c r="C11" s="231">
        <f t="shared" ref="C11:K11" si="1">C8/C4</f>
        <v>0.759493670886076</v>
      </c>
      <c r="D11" s="231">
        <f t="shared" si="1"/>
        <v>0.260586319218241</v>
      </c>
      <c r="E11" s="231">
        <f t="shared" si="1"/>
        <v>0.197778792027993</v>
      </c>
      <c r="F11" s="231">
        <f t="shared" si="1"/>
        <v>0.364250177683013</v>
      </c>
      <c r="G11" s="231">
        <f t="shared" si="1"/>
        <v>0.208967699564153</v>
      </c>
      <c r="H11" s="231">
        <f t="shared" si="1"/>
        <v>0.506018554013647</v>
      </c>
      <c r="I11" s="231">
        <f t="shared" si="1"/>
        <v>0.983156220631822</v>
      </c>
      <c r="J11" s="231">
        <f t="shared" si="1"/>
        <v>0.344380115791575</v>
      </c>
      <c r="K11" s="231">
        <f t="shared" si="1"/>
        <v>0.185127305075373</v>
      </c>
    </row>
    <row r="12" spans="1:1">
      <c r="A12" s="74" t="s">
        <v>44</v>
      </c>
    </row>
    <row r="13" spans="1:2">
      <c r="A13" s="74" t="s">
        <v>45</v>
      </c>
      <c r="B13" s="230">
        <f>SUM(B4:K4)</f>
        <v>1439.72</v>
      </c>
    </row>
    <row r="14" spans="1:2">
      <c r="A14" s="74" t="s">
        <v>46</v>
      </c>
      <c r="B14" s="230">
        <f>SUM(B5:K5)</f>
        <v>-852.8</v>
      </c>
    </row>
    <row r="15" spans="1:2">
      <c r="A15" s="74" t="s">
        <v>47</v>
      </c>
      <c r="B15" s="230">
        <f>SUM(B6:K6)</f>
        <v>-361.43</v>
      </c>
    </row>
    <row r="23" s="74" customFormat="1"/>
  </sheetData>
  <hyperlinks>
    <hyperlink ref="J1" r:id="rId1" display="SCREENER.IN"/>
  </hyperlinks>
  <printOptions gridLines="1"/>
  <pageMargins left="0.7" right="0.7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1:K23"/>
  <sheetViews>
    <sheetView zoomScale="125" zoomScaleNormal="125" workbookViewId="0">
      <pane xSplit="1" ySplit="3" topLeftCell="B4" activePane="bottomRight" state="frozen"/>
      <selection/>
      <selection pane="topRight"/>
      <selection pane="bottomLeft"/>
      <selection pane="bottomRight" activeCell="B20" sqref="B20"/>
    </sheetView>
  </sheetViews>
  <sheetFormatPr defaultColWidth="8.83333333333333" defaultRowHeight="14.4"/>
  <cols>
    <col min="1" max="1" width="26" style="191" customWidth="1"/>
    <col min="2" max="2" width="13.5" style="191" customWidth="1"/>
    <col min="3" max="11" width="15.5" style="191" customWidth="1"/>
    <col min="12" max="16384" width="8.83333333333333" style="191"/>
  </cols>
  <sheetData>
    <row r="1" s="219" customFormat="1" spans="1:11">
      <c r="A1" s="219" t="str">
        <f>'Profit &amp; Loss'!A1</f>
        <v>VINATI ORGANICS LTD</v>
      </c>
      <c r="E1" t="str">
        <f>UPDATE</f>
        <v/>
      </c>
      <c r="G1"/>
      <c r="J1" s="226" t="s">
        <v>0</v>
      </c>
      <c r="K1" s="226"/>
    </row>
    <row r="2" spans="7:8">
      <c r="G2" s="219"/>
      <c r="H2" s="219"/>
    </row>
    <row r="3" s="113" customFormat="1" spans="1:11">
      <c r="A3" s="221" t="s">
        <v>1</v>
      </c>
      <c r="B3" s="7">
        <f>'Data Sheet'!B56</f>
        <v>40633</v>
      </c>
      <c r="C3" s="7">
        <f>'Data Sheet'!C56</f>
        <v>40999</v>
      </c>
      <c r="D3" s="7">
        <f>'Data Sheet'!D56</f>
        <v>41364</v>
      </c>
      <c r="E3" s="7">
        <f>'Data Sheet'!E56</f>
        <v>41729</v>
      </c>
      <c r="F3" s="7">
        <f>'Data Sheet'!F56</f>
        <v>42094</v>
      </c>
      <c r="G3" s="7">
        <f>'Data Sheet'!G56</f>
        <v>42460</v>
      </c>
      <c r="H3" s="7">
        <f>'Data Sheet'!H56</f>
        <v>42825</v>
      </c>
      <c r="I3" s="7">
        <f>'Data Sheet'!I56</f>
        <v>43190</v>
      </c>
      <c r="J3" s="7">
        <f>'Data Sheet'!J56</f>
        <v>43555</v>
      </c>
      <c r="K3" s="7">
        <f>'Data Sheet'!K56</f>
        <v>43921</v>
      </c>
    </row>
    <row r="4" spans="1:11">
      <c r="A4" s="220" t="s">
        <v>48</v>
      </c>
      <c r="B4" s="222">
        <f>'Data Sheet'!B57</f>
        <v>9.87</v>
      </c>
      <c r="C4" s="222">
        <f>'Data Sheet'!C57</f>
        <v>9.87</v>
      </c>
      <c r="D4" s="222">
        <f>'Data Sheet'!D57</f>
        <v>9.87</v>
      </c>
      <c r="E4" s="222">
        <f>'Data Sheet'!E57</f>
        <v>9.87</v>
      </c>
      <c r="F4" s="222">
        <f>'Data Sheet'!F57</f>
        <v>10.32</v>
      </c>
      <c r="G4" s="222">
        <f>'Data Sheet'!G57</f>
        <v>10.32</v>
      </c>
      <c r="H4" s="222">
        <f>'Data Sheet'!H57</f>
        <v>10.32</v>
      </c>
      <c r="I4" s="222">
        <f>'Data Sheet'!I57</f>
        <v>10.28</v>
      </c>
      <c r="J4" s="222">
        <f>'Data Sheet'!J57</f>
        <v>10.28</v>
      </c>
      <c r="K4" s="222">
        <f>'Data Sheet'!K57</f>
        <v>10.28</v>
      </c>
    </row>
    <row r="5" s="220" customFormat="1" spans="1:11">
      <c r="A5" s="220" t="s">
        <v>49</v>
      </c>
      <c r="B5" s="222">
        <f>'Data Sheet'!B58</f>
        <v>133.82</v>
      </c>
      <c r="C5" s="222">
        <f>'Data Sheet'!C58</f>
        <v>177.15</v>
      </c>
      <c r="D5" s="222">
        <f>'Data Sheet'!D58</f>
        <v>231.37</v>
      </c>
      <c r="E5" s="222">
        <f>'Data Sheet'!E58</f>
        <v>300.2</v>
      </c>
      <c r="F5" s="222">
        <f>'Data Sheet'!F58</f>
        <v>423.73</v>
      </c>
      <c r="G5" s="222">
        <f>'Data Sheet'!G58</f>
        <v>530.46</v>
      </c>
      <c r="H5" s="222">
        <f>'Data Sheet'!H58</f>
        <v>669.69</v>
      </c>
      <c r="I5" s="222">
        <f>'Data Sheet'!I58</f>
        <v>786.39</v>
      </c>
      <c r="J5" s="222">
        <f>'Data Sheet'!J58</f>
        <v>1041</v>
      </c>
      <c r="K5" s="222">
        <f>'Data Sheet'!K58</f>
        <v>1269.13</v>
      </c>
    </row>
    <row r="6" spans="1:11">
      <c r="A6" s="191" t="s">
        <v>50</v>
      </c>
      <c r="B6" s="222">
        <f>'Data Sheet'!B59</f>
        <v>76.96</v>
      </c>
      <c r="C6" s="222">
        <f>'Data Sheet'!C59</f>
        <v>172.69</v>
      </c>
      <c r="D6" s="222">
        <f>'Data Sheet'!D59</f>
        <v>237.26</v>
      </c>
      <c r="E6" s="222">
        <f>'Data Sheet'!E59</f>
        <v>161.58</v>
      </c>
      <c r="F6" s="222">
        <f>'Data Sheet'!F59</f>
        <v>65.3</v>
      </c>
      <c r="G6" s="222">
        <f>'Data Sheet'!G59</f>
        <v>42.07</v>
      </c>
      <c r="H6" s="222">
        <f>'Data Sheet'!H59</f>
        <v>2.32</v>
      </c>
      <c r="I6" s="222">
        <f>'Data Sheet'!I59</f>
        <v>15.2</v>
      </c>
      <c r="J6" s="222">
        <f>'Data Sheet'!J59</f>
        <v>3.68</v>
      </c>
      <c r="K6" s="222">
        <f>'Data Sheet'!K59</f>
        <v>0.35</v>
      </c>
    </row>
    <row r="7" s="220" customFormat="1" spans="1:11">
      <c r="A7" s="191" t="s">
        <v>51</v>
      </c>
      <c r="B7" s="222">
        <f>'Data Sheet'!B60</f>
        <v>37.16</v>
      </c>
      <c r="C7" s="222">
        <f>'Data Sheet'!C60</f>
        <v>44.85</v>
      </c>
      <c r="D7" s="222">
        <f>'Data Sheet'!D60</f>
        <v>67.13</v>
      </c>
      <c r="E7" s="222">
        <f>'Data Sheet'!E60</f>
        <v>80.46</v>
      </c>
      <c r="F7" s="222">
        <f>'Data Sheet'!F60</f>
        <v>99.84</v>
      </c>
      <c r="G7" s="222">
        <f>'Data Sheet'!G60</f>
        <v>104.11</v>
      </c>
      <c r="H7" s="222">
        <f>'Data Sheet'!H60</f>
        <v>138.8</v>
      </c>
      <c r="I7" s="222">
        <f>'Data Sheet'!I60</f>
        <v>168.08</v>
      </c>
      <c r="J7" s="222">
        <f>'Data Sheet'!J60</f>
        <v>172.62</v>
      </c>
      <c r="K7" s="222">
        <f>'Data Sheet'!K60</f>
        <v>163.22</v>
      </c>
    </row>
    <row r="8" s="219" customFormat="1" spans="1:11">
      <c r="A8" s="219" t="s">
        <v>52</v>
      </c>
      <c r="B8" s="223">
        <f>'Data Sheet'!B61</f>
        <v>257.81</v>
      </c>
      <c r="C8" s="223">
        <f>'Data Sheet'!C61</f>
        <v>404.56</v>
      </c>
      <c r="D8" s="223">
        <f>'Data Sheet'!D61</f>
        <v>545.63</v>
      </c>
      <c r="E8" s="223">
        <f>'Data Sheet'!E61</f>
        <v>552.11</v>
      </c>
      <c r="F8" s="223">
        <f>'Data Sheet'!F61</f>
        <v>599.19</v>
      </c>
      <c r="G8" s="223">
        <f>'Data Sheet'!G61</f>
        <v>686.96</v>
      </c>
      <c r="H8" s="223">
        <f>'Data Sheet'!H61</f>
        <v>821.13</v>
      </c>
      <c r="I8" s="223">
        <f>'Data Sheet'!I61</f>
        <v>979.95</v>
      </c>
      <c r="J8" s="223">
        <f>'Data Sheet'!J61</f>
        <v>1227.58</v>
      </c>
      <c r="K8" s="223">
        <f>'Data Sheet'!K61</f>
        <v>1442.98</v>
      </c>
    </row>
    <row r="9" s="219" customFormat="1" spans="2:11">
      <c r="B9" s="223"/>
      <c r="C9" s="223"/>
      <c r="D9" s="223"/>
      <c r="E9" s="223"/>
      <c r="F9" s="223"/>
      <c r="G9" s="223"/>
      <c r="H9" s="223"/>
      <c r="I9" s="223"/>
      <c r="J9" s="223"/>
      <c r="K9" s="223"/>
    </row>
    <row r="10" spans="1:11">
      <c r="A10" s="220" t="s">
        <v>53</v>
      </c>
      <c r="B10" s="222">
        <f>'Data Sheet'!B62</f>
        <v>111.17</v>
      </c>
      <c r="C10" s="222">
        <f>'Data Sheet'!C62</f>
        <v>144.31</v>
      </c>
      <c r="D10" s="222">
        <f>'Data Sheet'!D62</f>
        <v>290.13</v>
      </c>
      <c r="E10" s="222">
        <f>'Data Sheet'!E62</f>
        <v>304.19</v>
      </c>
      <c r="F10" s="222">
        <f>'Data Sheet'!F62</f>
        <v>327.25</v>
      </c>
      <c r="G10" s="222">
        <f>'Data Sheet'!G62</f>
        <v>381.89</v>
      </c>
      <c r="H10" s="222">
        <f>'Data Sheet'!H62</f>
        <v>467.6</v>
      </c>
      <c r="I10" s="222">
        <f>'Data Sheet'!I62</f>
        <v>456.84</v>
      </c>
      <c r="J10" s="222">
        <f>'Data Sheet'!J62</f>
        <v>474.51</v>
      </c>
      <c r="K10" s="222">
        <f>'Data Sheet'!K62</f>
        <v>750.76</v>
      </c>
    </row>
    <row r="11" spans="1:11">
      <c r="A11" s="220" t="s">
        <v>54</v>
      </c>
      <c r="B11" s="222">
        <f>'Data Sheet'!B63</f>
        <v>36.04</v>
      </c>
      <c r="C11" s="222">
        <f>'Data Sheet'!C63</f>
        <v>56.75</v>
      </c>
      <c r="D11" s="222">
        <f>'Data Sheet'!D63</f>
        <v>14.05</v>
      </c>
      <c r="E11" s="222">
        <f>'Data Sheet'!E63</f>
        <v>10.09</v>
      </c>
      <c r="F11" s="222">
        <f>'Data Sheet'!F63</f>
        <v>20.02</v>
      </c>
      <c r="G11" s="222">
        <f>'Data Sheet'!G63</f>
        <v>24.83</v>
      </c>
      <c r="H11" s="222">
        <f>'Data Sheet'!H63</f>
        <v>7.38</v>
      </c>
      <c r="I11" s="222">
        <f>'Data Sheet'!I63</f>
        <v>34.88</v>
      </c>
      <c r="J11" s="222">
        <f>'Data Sheet'!J63</f>
        <v>191.18</v>
      </c>
      <c r="K11" s="222">
        <f>'Data Sheet'!K63</f>
        <v>30.97</v>
      </c>
    </row>
    <row r="12" spans="1:11">
      <c r="A12" s="220" t="s">
        <v>55</v>
      </c>
      <c r="B12" s="222">
        <f>'Data Sheet'!B64</f>
        <v>3.16</v>
      </c>
      <c r="C12" s="222">
        <f>'Data Sheet'!C64</f>
        <v>7.9</v>
      </c>
      <c r="D12" s="222">
        <f>'Data Sheet'!D64</f>
        <v>12.77</v>
      </c>
      <c r="E12" s="222">
        <f>'Data Sheet'!E64</f>
        <v>2.74</v>
      </c>
      <c r="F12" s="222">
        <f>'Data Sheet'!F64</f>
        <v>2.74</v>
      </c>
      <c r="G12" s="222">
        <f>'Data Sheet'!G64</f>
        <v>2.74</v>
      </c>
      <c r="H12" s="222">
        <f>'Data Sheet'!H64</f>
        <v>61.83</v>
      </c>
      <c r="I12" s="222">
        <f>'Data Sheet'!I64</f>
        <v>131.74</v>
      </c>
      <c r="J12" s="222">
        <f>'Data Sheet'!J64</f>
        <v>96.47</v>
      </c>
      <c r="K12" s="222">
        <f>'Data Sheet'!K64</f>
        <v>227.39</v>
      </c>
    </row>
    <row r="13" spans="1:11">
      <c r="A13" s="191" t="s">
        <v>56</v>
      </c>
      <c r="B13" s="222">
        <f>'Data Sheet'!B65</f>
        <v>107.44</v>
      </c>
      <c r="C13" s="222">
        <f>'Data Sheet'!C65</f>
        <v>195.6</v>
      </c>
      <c r="D13" s="222">
        <f>'Data Sheet'!D65</f>
        <v>228.68</v>
      </c>
      <c r="E13" s="222">
        <f>'Data Sheet'!E65</f>
        <v>235.09</v>
      </c>
      <c r="F13" s="222">
        <f>'Data Sheet'!F65</f>
        <v>249.18</v>
      </c>
      <c r="G13" s="222">
        <f>'Data Sheet'!G65</f>
        <v>277.5</v>
      </c>
      <c r="H13" s="222">
        <f>'Data Sheet'!H65</f>
        <v>284.32</v>
      </c>
      <c r="I13" s="222">
        <f>'Data Sheet'!I65</f>
        <v>356.49</v>
      </c>
      <c r="J13" s="222">
        <f>'Data Sheet'!J65</f>
        <v>465.42</v>
      </c>
      <c r="K13" s="222">
        <f>'Data Sheet'!K65</f>
        <v>433.86</v>
      </c>
    </row>
    <row r="14" s="219" customFormat="1" spans="1:11">
      <c r="A14" s="219" t="s">
        <v>52</v>
      </c>
      <c r="B14" s="222">
        <f>'Data Sheet'!B66</f>
        <v>257.81</v>
      </c>
      <c r="C14" s="222">
        <f>'Data Sheet'!C66</f>
        <v>404.56</v>
      </c>
      <c r="D14" s="222">
        <f>'Data Sheet'!D66</f>
        <v>545.63</v>
      </c>
      <c r="E14" s="222">
        <f>'Data Sheet'!E66</f>
        <v>552.11</v>
      </c>
      <c r="F14" s="222">
        <f>'Data Sheet'!F66</f>
        <v>599.19</v>
      </c>
      <c r="G14" s="222">
        <f>'Data Sheet'!G66</f>
        <v>686.96</v>
      </c>
      <c r="H14" s="222">
        <f>'Data Sheet'!H66</f>
        <v>821.13</v>
      </c>
      <c r="I14" s="222">
        <f>'Data Sheet'!I66</f>
        <v>979.95</v>
      </c>
      <c r="J14" s="222">
        <f>'Data Sheet'!J66</f>
        <v>1227.58</v>
      </c>
      <c r="K14" s="222">
        <f>'Data Sheet'!K66</f>
        <v>1442.98</v>
      </c>
    </row>
    <row r="15" spans="1:11">
      <c r="A15" s="220"/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6" spans="1:11">
      <c r="A16" s="74" t="s">
        <v>57</v>
      </c>
      <c r="B16" s="224">
        <f>B13-B7</f>
        <v>70.28</v>
      </c>
      <c r="C16" s="224">
        <f t="shared" ref="C16:K16" si="0">C13-C7</f>
        <v>150.75</v>
      </c>
      <c r="D16" s="224">
        <f t="shared" si="0"/>
        <v>161.55</v>
      </c>
      <c r="E16" s="224">
        <f t="shared" si="0"/>
        <v>154.63</v>
      </c>
      <c r="F16" s="224">
        <f t="shared" si="0"/>
        <v>149.34</v>
      </c>
      <c r="G16" s="224">
        <f t="shared" si="0"/>
        <v>173.39</v>
      </c>
      <c r="H16" s="224">
        <f t="shared" si="0"/>
        <v>145.52</v>
      </c>
      <c r="I16" s="224">
        <f t="shared" si="0"/>
        <v>188.41</v>
      </c>
      <c r="J16" s="224">
        <f t="shared" si="0"/>
        <v>292.8</v>
      </c>
      <c r="K16" s="224">
        <f t="shared" si="0"/>
        <v>270.64</v>
      </c>
    </row>
    <row r="17" spans="1:11">
      <c r="A17" s="191" t="s">
        <v>58</v>
      </c>
      <c r="B17" s="224">
        <f>'Data Sheet'!B67</f>
        <v>51.92</v>
      </c>
      <c r="C17" s="224">
        <f>'Data Sheet'!C67</f>
        <v>85.68</v>
      </c>
      <c r="D17" s="224">
        <f>'Data Sheet'!D67</f>
        <v>113.19</v>
      </c>
      <c r="E17" s="224">
        <f>'Data Sheet'!E67</f>
        <v>115.05</v>
      </c>
      <c r="F17" s="224">
        <f>'Data Sheet'!F67</f>
        <v>129.1</v>
      </c>
      <c r="G17" s="224">
        <f>'Data Sheet'!G67</f>
        <v>114.82</v>
      </c>
      <c r="H17" s="224">
        <f>'Data Sheet'!H67</f>
        <v>140.54</v>
      </c>
      <c r="I17" s="224">
        <f>'Data Sheet'!I67</f>
        <v>177.11</v>
      </c>
      <c r="J17" s="224">
        <f>'Data Sheet'!J67</f>
        <v>243.98</v>
      </c>
      <c r="K17" s="224">
        <f>'Data Sheet'!K67</f>
        <v>201.78</v>
      </c>
    </row>
    <row r="18" spans="1:11">
      <c r="A18" s="191" t="s">
        <v>59</v>
      </c>
      <c r="B18" s="224">
        <f>'Data Sheet'!B68</f>
        <v>35.01</v>
      </c>
      <c r="C18" s="224">
        <f>'Data Sheet'!C68</f>
        <v>43.02</v>
      </c>
      <c r="D18" s="224">
        <f>'Data Sheet'!D68</f>
        <v>54.64</v>
      </c>
      <c r="E18" s="224">
        <f>'Data Sheet'!E68</f>
        <v>46.63</v>
      </c>
      <c r="F18" s="224">
        <f>'Data Sheet'!F68</f>
        <v>54.49</v>
      </c>
      <c r="G18" s="224">
        <f>'Data Sheet'!G68</f>
        <v>44.7</v>
      </c>
      <c r="H18" s="224">
        <f>'Data Sheet'!H68</f>
        <v>65.07</v>
      </c>
      <c r="I18" s="224">
        <f>'Data Sheet'!I68</f>
        <v>82.23</v>
      </c>
      <c r="J18" s="224">
        <f>'Data Sheet'!J68</f>
        <v>92.39</v>
      </c>
      <c r="K18" s="224">
        <f>'Data Sheet'!K68</f>
        <v>93.17</v>
      </c>
    </row>
    <row r="19" spans="1:11">
      <c r="A19" s="191" t="s">
        <v>60</v>
      </c>
      <c r="B19" s="3">
        <f>IF('Profit &amp; Loss'!B4&gt;0,'Balance Sheet'!B17/('Profit &amp; Loss'!B4/365),0)</f>
        <v>58.7348520068185</v>
      </c>
      <c r="C19" s="3">
        <f>IF('Profit &amp; Loss'!C4&gt;0,'Balance Sheet'!C17/('Profit &amp; Loss'!C4/365),0)</f>
        <v>69.8904930049614</v>
      </c>
      <c r="D19" s="3">
        <f>IF('Profit &amp; Loss'!D4&gt;0,'Balance Sheet'!D17/('Profit &amp; Loss'!D4/365),0)</f>
        <v>74.5383116531654</v>
      </c>
      <c r="E19" s="3">
        <f>IF('Profit &amp; Loss'!E4&gt;0,'Balance Sheet'!E17/('Profit &amp; Loss'!E4/365),0)</f>
        <v>60.3238619223421</v>
      </c>
      <c r="F19" s="3">
        <f>IF('Profit &amp; Loss'!F4&gt;0,'Balance Sheet'!F17/('Profit &amp; Loss'!F4/365),0)</f>
        <v>61.0595674653052</v>
      </c>
      <c r="G19" s="3">
        <f>IF('Profit &amp; Loss'!G4&gt;0,'Balance Sheet'!G17/('Profit &amp; Loss'!G4/365),0)</f>
        <v>66.4225374435375</v>
      </c>
      <c r="H19" s="3">
        <f>IF('Profit &amp; Loss'!H4&gt;0,'Balance Sheet'!H17/('Profit &amp; Loss'!H4/365),0)</f>
        <v>80.0529034473072</v>
      </c>
      <c r="I19" s="3">
        <f>IF('Profit &amp; Loss'!I4&gt;0,'Balance Sheet'!I17/('Profit &amp; Loss'!I4/365),0)</f>
        <v>88.5938356539853</v>
      </c>
      <c r="J19" s="3">
        <f>IF('Profit &amp; Loss'!J4&gt;0,'Balance Sheet'!J17/('Profit &amp; Loss'!J4/365),0)</f>
        <v>78.9530285835875</v>
      </c>
      <c r="K19" s="3">
        <f>IF('Profit &amp; Loss'!K4&gt;0,'Balance Sheet'!K17/('Profit &amp; Loss'!K4/365),0)</f>
        <v>71.5830960179615</v>
      </c>
    </row>
    <row r="20" s="219" customFormat="1" spans="1:11">
      <c r="A20" s="219" t="s">
        <v>61</v>
      </c>
      <c r="B20" s="225">
        <f>IF(SUM('Balance Sheet'!B4:B5)&gt;0,'Profit &amp; Loss'!B12/SUM('Balance Sheet'!B4:B5),"")</f>
        <v>0.36168139745285</v>
      </c>
      <c r="C20" s="225">
        <f>IF(SUM('Balance Sheet'!C4:C5)&gt;0,'Profit &amp; Loss'!C12/SUM('Balance Sheet'!C4:C5),"")</f>
        <v>0.293070259865255</v>
      </c>
      <c r="D20" s="225">
        <f>IF(SUM('Balance Sheet'!D4:D5)&gt;0,'Profit &amp; Loss'!D12/SUM('Balance Sheet'!D4:D5),"")</f>
        <v>0.284612833692588</v>
      </c>
      <c r="E20" s="225">
        <f>IF(SUM('Balance Sheet'!E4:E5)&gt;0,'Profit &amp; Loss'!E12/SUM('Balance Sheet'!E4:E5),"")</f>
        <v>0.277840487631825</v>
      </c>
      <c r="F20" s="225">
        <f>IF(SUM('Balance Sheet'!F4:F5)&gt;0,'Profit &amp; Loss'!F12/SUM('Balance Sheet'!F4:F5),"")</f>
        <v>0.26676650155512</v>
      </c>
      <c r="G20" s="225">
        <f>IF(SUM('Balance Sheet'!G4:G5)&gt;0,'Profit &amp; Loss'!G12/SUM('Balance Sheet'!G4:G5),"")</f>
        <v>0.243296719553238</v>
      </c>
      <c r="H20" s="225">
        <f>IF(SUM('Balance Sheet'!H4:H5)&gt;0,'Profit &amp; Loss'!H12/SUM('Balance Sheet'!H4:H5),"")</f>
        <v>0.206291083954648</v>
      </c>
      <c r="I20" s="225">
        <f>IF(SUM('Balance Sheet'!I4:I5)&gt;0,'Profit &amp; Loss'!I12/SUM('Balance Sheet'!I4:I5),"")</f>
        <v>0.180601754804373</v>
      </c>
      <c r="J20" s="225">
        <f>IF(SUM('Balance Sheet'!J4:J5)&gt;0,'Profit &amp; Loss'!J12/SUM('Balance Sheet'!J4:J5),"")</f>
        <v>0.268710524313218</v>
      </c>
      <c r="K20" s="225">
        <f>IF(SUM('Balance Sheet'!K4:K5)&gt;0,'Profit &amp; Loss'!K12/SUM('Balance Sheet'!K4:K5),"")</f>
        <v>0.260917141494908</v>
      </c>
    </row>
    <row r="21" s="219" customFormat="1" spans="1:11">
      <c r="A21" s="219" t="s">
        <v>62</v>
      </c>
      <c r="B21" s="225"/>
      <c r="C21" s="225">
        <f>IF((B4+B5+B6+C4+C5+C6)&gt;0,('Profit &amp; Loss'!C10+'Profit &amp; Loss'!C9)*2/(B4+B5+B6+C4+C5+C6),"")</f>
        <v>0.312874767385761</v>
      </c>
      <c r="D21" s="225">
        <f>IF((C4+C5+C6+D4+D5+D6)&gt;0,('Profit &amp; Loss'!D10+'Profit &amp; Loss'!D9)*2/(C4+C5+C6+D4+D5+D6),"")</f>
        <v>0.272366113503776</v>
      </c>
      <c r="E21" s="225">
        <f>IF((D4+D5+D6+E4+E5+E6)&gt;0,('Profit &amp; Loss'!E10+'Profit &amp; Loss'!E9)*2/(D4+D5+D6+E4+E5+E6),"")</f>
        <v>0.308877545650687</v>
      </c>
      <c r="F21" s="225">
        <f>IF((E4+E5+E6+F4+F5+F6)&gt;0,('Profit &amp; Loss'!F10+'Profit &amp; Loss'!F9)*2/(E4+E5+E6+F4+F5+F6),"")</f>
        <v>0.377466529351184</v>
      </c>
      <c r="G21" s="225">
        <f>IF((F4+F5+F6+G4+G5+G6)&gt;0,('Profit &amp; Loss'!G10+'Profit &amp; Loss'!G9)*2/(F4+F5+F6+G4+G5+G6),"")</f>
        <v>0.359305119201626</v>
      </c>
      <c r="H21" s="225">
        <f>IF((G4+G5+G6+H4+H5+H6)&gt;0,('Profit &amp; Loss'!H10+'Profit &amp; Loss'!H9)*2/(G4+G5+G6+H4+H5+H6),"")</f>
        <v>0.329929338117896</v>
      </c>
      <c r="I21" s="225">
        <f>IF((H4+H5+H6+I4+I5+I6)&gt;0,('Profit &amp; Loss'!I10+'Profit &amp; Loss'!I9)*2/(H4+H5+H6+I4+I5+I6),"")</f>
        <v>0.275130504617856</v>
      </c>
      <c r="J21" s="225">
        <f>IF((I4+I5+I6+J4+J5+J6)&gt;0,('Profit &amp; Loss'!J10+'Profit &amp; Loss'!J9)*2/(I4+I5+I6+J4+J5+J6),"")</f>
        <v>0.457909932880873</v>
      </c>
      <c r="K21" s="225">
        <f>IF((J4+J5+J6+K4+K5+K6)&gt;0,('Profit &amp; Loss'!K10+'Profit &amp; Loss'!K9)*2/(J4+J5+J6+K4+K5+K6),"")</f>
        <v>0.365534196820176</v>
      </c>
    </row>
    <row r="22" s="113" customFormat="1"/>
    <row r="23" spans="1:1">
      <c r="A23" s="113"/>
    </row>
  </sheetData>
  <hyperlinks>
    <hyperlink ref="J1" r:id="rId1" display="SCREENER.IN"/>
  </hyperlinks>
  <printOptions gridLines="1"/>
  <pageMargins left="0.7" right="0.7" top="0.75" bottom="0.75" header="0.3" footer="0.3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workbookViewId="0">
      <selection activeCell="K16" sqref="K16"/>
    </sheetView>
  </sheetViews>
  <sheetFormatPr defaultColWidth="8.83333333333333" defaultRowHeight="14.4"/>
  <cols>
    <col min="1" max="1" width="19.8333333333333" customWidth="1"/>
    <col min="2" max="2" width="18.5" customWidth="1"/>
    <col min="3" max="3" width="13.8333333333333" customWidth="1"/>
    <col min="4" max="4" width="14.3333333333333" customWidth="1"/>
    <col min="5" max="5" width="14.1666666666667" customWidth="1"/>
    <col min="6" max="6" width="14" customWidth="1"/>
    <col min="7" max="7" width="13" customWidth="1"/>
    <col min="8" max="8" width="15.1666666666667" customWidth="1"/>
    <col min="9" max="9" width="14.3333333333333" customWidth="1"/>
    <col min="10" max="10" width="12.1666666666667" customWidth="1"/>
    <col min="11" max="11" width="13.6666666666667" customWidth="1"/>
  </cols>
  <sheetData>
    <row r="1" spans="1:12">
      <c r="A1" s="199" t="str">
        <f>'Data Sheet'!A56</f>
        <v>Report Date</v>
      </c>
      <c r="B1" s="7">
        <f>'Balance Sheet'!B3</f>
        <v>40633</v>
      </c>
      <c r="C1" s="7">
        <f>'Balance Sheet'!C3</f>
        <v>40999</v>
      </c>
      <c r="D1" s="7">
        <f>'Balance Sheet'!D3</f>
        <v>41364</v>
      </c>
      <c r="E1" s="7">
        <f>'Balance Sheet'!E3</f>
        <v>41729</v>
      </c>
      <c r="F1" s="7">
        <f>'Balance Sheet'!F3</f>
        <v>42094</v>
      </c>
      <c r="G1" s="7">
        <f>'Balance Sheet'!G3</f>
        <v>42460</v>
      </c>
      <c r="H1" s="7">
        <f>'Balance Sheet'!H3</f>
        <v>42825</v>
      </c>
      <c r="I1" s="7">
        <f>'Balance Sheet'!I3</f>
        <v>43190</v>
      </c>
      <c r="J1" s="7">
        <f>'Balance Sheet'!J3</f>
        <v>43555</v>
      </c>
      <c r="K1" s="7">
        <f>'Balance Sheet'!K3</f>
        <v>43921</v>
      </c>
      <c r="L1" s="122"/>
    </row>
    <row r="2" spans="1:12">
      <c r="A2" s="200" t="str">
        <f>'Data Sheet'!B1</f>
        <v>VINATI ORGANICS LTD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122"/>
    </row>
    <row r="3" ht="15.15" spans="1:12">
      <c r="A3" s="202" t="s">
        <v>63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122"/>
    </row>
    <row r="4" spans="1:11">
      <c r="A4" s="203" t="str">
        <f>'Data Sheet'!A57</f>
        <v>Equity Share Capital</v>
      </c>
      <c r="B4" s="204">
        <f>'Data Sheet'!B57/'Data Sheet'!B61</f>
        <v>0.038284007602498</v>
      </c>
      <c r="C4" s="204">
        <f>'Data Sheet'!C57/'Data Sheet'!C61</f>
        <v>0.0243968756179553</v>
      </c>
      <c r="D4" s="204">
        <f>'Data Sheet'!D57/'Data Sheet'!D61</f>
        <v>0.0180891813133442</v>
      </c>
      <c r="E4" s="204">
        <f>'Data Sheet'!E57/'Data Sheet'!E61</f>
        <v>0.0178768723623915</v>
      </c>
      <c r="F4" s="204">
        <f>'Data Sheet'!F57/'Data Sheet'!F61</f>
        <v>0.0172232513893757</v>
      </c>
      <c r="G4" s="204">
        <f>'Data Sheet'!G57/'Data Sheet'!G61</f>
        <v>0.0150227087457785</v>
      </c>
      <c r="H4" s="204">
        <f>'Data Sheet'!H57/'Data Sheet'!H61</f>
        <v>0.0125680464725439</v>
      </c>
      <c r="I4" s="204">
        <f>'Data Sheet'!I57/'Data Sheet'!I61</f>
        <v>0.0104903311393438</v>
      </c>
      <c r="J4" s="204">
        <f>'Data Sheet'!J57/'Data Sheet'!J61</f>
        <v>0.00837419964482966</v>
      </c>
      <c r="K4" s="204">
        <f>'Data Sheet'!K57/'Data Sheet'!K61</f>
        <v>0.00712414586480755</v>
      </c>
    </row>
    <row r="5" spans="1:11">
      <c r="A5" s="205" t="str">
        <f>'Data Sheet'!A58</f>
        <v>Reserves</v>
      </c>
      <c r="B5" s="206">
        <f>'Data Sheet'!B58/'Data Sheet'!B61</f>
        <v>0.519064427291416</v>
      </c>
      <c r="C5" s="206">
        <f>'Data Sheet'!C58/'Data Sheet'!C61</f>
        <v>0.437883132291873</v>
      </c>
      <c r="D5" s="206">
        <f>'Data Sheet'!D58/'Data Sheet'!D61</f>
        <v>0.424041933178161</v>
      </c>
      <c r="E5" s="206">
        <f>'Data Sheet'!E58/'Data Sheet'!E61</f>
        <v>0.543732227273551</v>
      </c>
      <c r="F5" s="206">
        <f>'Data Sheet'!F58/'Data Sheet'!F61</f>
        <v>0.707171347986448</v>
      </c>
      <c r="G5" s="206">
        <f>'Data Sheet'!G58/'Data Sheet'!G61</f>
        <v>0.772184697798998</v>
      </c>
      <c r="H5" s="206">
        <f>'Data Sheet'!H58/'Data Sheet'!H61</f>
        <v>0.815571225019181</v>
      </c>
      <c r="I5" s="206">
        <f>'Data Sheet'!I58/'Data Sheet'!I61</f>
        <v>0.802479718352977</v>
      </c>
      <c r="J5" s="206">
        <f>'Data Sheet'!J58/'Data Sheet'!J61</f>
        <v>0.848009905668062</v>
      </c>
      <c r="K5" s="206">
        <f>'Data Sheet'!K58/'Data Sheet'!K61</f>
        <v>0.879520159669573</v>
      </c>
    </row>
    <row r="6" ht="15.15" spans="1:11">
      <c r="A6" s="205" t="str">
        <f>'Data Sheet'!A59</f>
        <v>Borrowings</v>
      </c>
      <c r="B6" s="206">
        <f>'Data Sheet'!B59/'Data Sheet'!B61</f>
        <v>0.298514409836701</v>
      </c>
      <c r="C6" s="206">
        <f>'Data Sheet'!C59/'Data Sheet'!C61</f>
        <v>0.426858809570892</v>
      </c>
      <c r="D6" s="206">
        <f>'Data Sheet'!D59/'Data Sheet'!D61</f>
        <v>0.434836794164544</v>
      </c>
      <c r="E6" s="206">
        <f>'Data Sheet'!E59/'Data Sheet'!E61</f>
        <v>0.292659071561826</v>
      </c>
      <c r="F6" s="206">
        <f>'Data Sheet'!F59/'Data Sheet'!F61</f>
        <v>0.108980456950216</v>
      </c>
      <c r="G6" s="206">
        <f>'Data Sheet'!G59/'Data Sheet'!G61</f>
        <v>0.0612408291603587</v>
      </c>
      <c r="H6" s="206">
        <f>'Data Sheet'!H59/'Data Sheet'!H61</f>
        <v>0.00282537478840135</v>
      </c>
      <c r="I6" s="206">
        <f>'Data Sheet'!I59/'Data Sheet'!I61</f>
        <v>0.015510995458952</v>
      </c>
      <c r="J6" s="206">
        <f>'Data Sheet'!J59/'Data Sheet'!J61</f>
        <v>0.00299776796624253</v>
      </c>
      <c r="K6" s="206">
        <f>'Data Sheet'!K59/'Data Sheet'!K61</f>
        <v>0.000242553604346561</v>
      </c>
    </row>
    <row r="7" ht="15.15" spans="1:11">
      <c r="A7" s="207" t="str">
        <f>'Data Sheet'!A60</f>
        <v>Other Liabilities</v>
      </c>
      <c r="B7" s="208">
        <f>'Data Sheet'!B60/'Data Sheet'!B61</f>
        <v>0.144137155269384</v>
      </c>
      <c r="C7" s="208">
        <f>'Data Sheet'!C60/'Data Sheet'!C61</f>
        <v>0.11086118251928</v>
      </c>
      <c r="D7" s="208">
        <f>'Data Sheet'!D60/'Data Sheet'!D61</f>
        <v>0.123032091343951</v>
      </c>
      <c r="E7" s="208">
        <f>'Data Sheet'!E60/'Data Sheet'!E61</f>
        <v>0.145731828802231</v>
      </c>
      <c r="F7" s="208">
        <f>'Data Sheet'!F60/'Data Sheet'!F61</f>
        <v>0.16662494367396</v>
      </c>
      <c r="G7" s="208">
        <f>'Data Sheet'!G60/'Data Sheet'!G61</f>
        <v>0.151551764294864</v>
      </c>
      <c r="H7" s="208">
        <f>'Data Sheet'!H60/'Data Sheet'!H61</f>
        <v>0.169035353719874</v>
      </c>
      <c r="I7" s="208">
        <f>'Data Sheet'!I60/'Data Sheet'!I61</f>
        <v>0.171518955048727</v>
      </c>
      <c r="J7" s="208">
        <f>'Data Sheet'!J60/'Data Sheet'!J61</f>
        <v>0.140618126720865</v>
      </c>
      <c r="K7" s="208">
        <f>'Data Sheet'!K60/'Data Sheet'!K61</f>
        <v>0.113113140861273</v>
      </c>
    </row>
    <row r="8" spans="1:11">
      <c r="A8" s="209"/>
      <c r="B8" s="206"/>
      <c r="C8" s="206"/>
      <c r="D8" s="206"/>
      <c r="E8" s="206"/>
      <c r="F8" s="206"/>
      <c r="G8" s="206"/>
      <c r="H8" s="206"/>
      <c r="I8" s="206"/>
      <c r="J8" s="206"/>
      <c r="K8" s="217"/>
    </row>
    <row r="9" spans="1:11">
      <c r="A9" s="210" t="s">
        <v>64</v>
      </c>
      <c r="B9" s="211">
        <f>SUM(B4:B7)</f>
        <v>1</v>
      </c>
      <c r="C9" s="211">
        <f t="shared" ref="C9:K9" si="0">SUM(C4:C7)</f>
        <v>1</v>
      </c>
      <c r="D9" s="211">
        <f t="shared" si="0"/>
        <v>1</v>
      </c>
      <c r="E9" s="211">
        <f t="shared" si="0"/>
        <v>1</v>
      </c>
      <c r="F9" s="211">
        <f t="shared" si="0"/>
        <v>1</v>
      </c>
      <c r="G9" s="211">
        <f t="shared" si="0"/>
        <v>1</v>
      </c>
      <c r="H9" s="211">
        <f t="shared" si="0"/>
        <v>1</v>
      </c>
      <c r="I9" s="211">
        <f t="shared" si="0"/>
        <v>1</v>
      </c>
      <c r="J9" s="211">
        <f t="shared" si="0"/>
        <v>1</v>
      </c>
      <c r="K9" s="211">
        <f t="shared" si="0"/>
        <v>1</v>
      </c>
    </row>
    <row r="10" spans="1:11">
      <c r="A10" s="209"/>
      <c r="B10" s="206"/>
      <c r="C10" s="206"/>
      <c r="D10" s="206"/>
      <c r="E10" s="206"/>
      <c r="F10" s="206"/>
      <c r="G10" s="206"/>
      <c r="H10" s="206"/>
      <c r="I10" s="206"/>
      <c r="J10" s="206"/>
      <c r="K10" s="217"/>
    </row>
    <row r="11" spans="1:11">
      <c r="A11" s="205" t="str">
        <f>'Data Sheet'!A62</f>
        <v>Net Block</v>
      </c>
      <c r="B11" s="206">
        <f>'Data Sheet'!B62/'Data Sheet'!B66</f>
        <v>0.431209029905745</v>
      </c>
      <c r="C11" s="206">
        <f>'Data Sheet'!C62/'Data Sheet'!C66</f>
        <v>0.356708522839628</v>
      </c>
      <c r="D11" s="206">
        <f>'Data Sheet'!D62/'Data Sheet'!D66</f>
        <v>0.531733958909884</v>
      </c>
      <c r="E11" s="206">
        <f>'Data Sheet'!E62/'Data Sheet'!E66</f>
        <v>0.550959048015794</v>
      </c>
      <c r="F11" s="206">
        <f>'Data Sheet'!F62/'Data Sheet'!F66</f>
        <v>0.546153974532285</v>
      </c>
      <c r="G11" s="206">
        <f>'Data Sheet'!G62/'Data Sheet'!G66</f>
        <v>0.555913008035402</v>
      </c>
      <c r="H11" s="206">
        <f>'Data Sheet'!H62/'Data Sheet'!H66</f>
        <v>0.569459159938134</v>
      </c>
      <c r="I11" s="206">
        <f>'Data Sheet'!I62/'Data Sheet'!I66</f>
        <v>0.466187050359712</v>
      </c>
      <c r="J11" s="206">
        <f>'Data Sheet'!J62/'Data Sheet'!J66</f>
        <v>0.386540999364604</v>
      </c>
      <c r="K11" s="206">
        <f>'Data Sheet'!K62/'Data Sheet'!K66</f>
        <v>0.520284411426354</v>
      </c>
    </row>
    <row r="12" spans="1:11">
      <c r="A12" s="205" t="str">
        <f>'Data Sheet'!A63</f>
        <v>Capital Work in Progress</v>
      </c>
      <c r="B12" s="206">
        <f>'Data Sheet'!B63/'Data Sheet'!B66</f>
        <v>0.139792870718746</v>
      </c>
      <c r="C12" s="206">
        <f>'Data Sheet'!C63/'Data Sheet'!C66</f>
        <v>0.140275855250148</v>
      </c>
      <c r="D12" s="206">
        <f>'Data Sheet'!D63/'Data Sheet'!D66</f>
        <v>0.0257500504004545</v>
      </c>
      <c r="E12" s="206">
        <f>'Data Sheet'!E63/'Data Sheet'!E66</f>
        <v>0.0182753436815127</v>
      </c>
      <c r="F12" s="206">
        <f>'Data Sheet'!F63/'Data Sheet'!F66</f>
        <v>0.0334117725596222</v>
      </c>
      <c r="G12" s="206">
        <f>'Data Sheet'!G63/'Data Sheet'!G66</f>
        <v>0.0361447536974496</v>
      </c>
      <c r="H12" s="206">
        <f>'Data Sheet'!H63/'Data Sheet'!H66</f>
        <v>0.00898761462862153</v>
      </c>
      <c r="I12" s="206">
        <f>'Data Sheet'!I63/'Data Sheet'!I66</f>
        <v>0.0355936527373846</v>
      </c>
      <c r="J12" s="206">
        <f>'Data Sheet'!J63/'Data Sheet'!J66</f>
        <v>0.155737304289741</v>
      </c>
      <c r="K12" s="206">
        <f>'Data Sheet'!K63/'Data Sheet'!K66</f>
        <v>0.0214625289331799</v>
      </c>
    </row>
    <row r="13" ht="15.15" spans="1:11">
      <c r="A13" s="205" t="str">
        <f>'Data Sheet'!A64</f>
        <v>Investments</v>
      </c>
      <c r="B13" s="206">
        <f>'Data Sheet'!B64/'Data Sheet'!B66</f>
        <v>0.012257088553586</v>
      </c>
      <c r="C13" s="206">
        <f>'Data Sheet'!C64/'Data Sheet'!C66</f>
        <v>0.0195273877793158</v>
      </c>
      <c r="D13" s="206">
        <f>'Data Sheet'!D64/'Data Sheet'!D66</f>
        <v>0.0234041383355021</v>
      </c>
      <c r="E13" s="206">
        <f>'Data Sheet'!E64/'Data Sheet'!E66</f>
        <v>0.00496277915632754</v>
      </c>
      <c r="F13" s="206">
        <f>'Data Sheet'!F64/'Data Sheet'!F66</f>
        <v>0.00457284000066757</v>
      </c>
      <c r="G13" s="206">
        <f>'Data Sheet'!G64/'Data Sheet'!G66</f>
        <v>0.00398858739955747</v>
      </c>
      <c r="H13" s="206">
        <f>'Data Sheet'!H64/'Data Sheet'!H66</f>
        <v>0.075298673778817</v>
      </c>
      <c r="I13" s="206">
        <f>'Data Sheet'!I64/'Data Sheet'!I66</f>
        <v>0.134435430379101</v>
      </c>
      <c r="J13" s="206">
        <f>'Data Sheet'!J64/'Data Sheet'!J66</f>
        <v>0.0785855097020153</v>
      </c>
      <c r="K13" s="206">
        <f>'Data Sheet'!K64/'Data Sheet'!K66</f>
        <v>0.15758361169247</v>
      </c>
    </row>
    <row r="14" ht="15.15" spans="1:11">
      <c r="A14" s="207" t="str">
        <f>'Data Sheet'!A65</f>
        <v>Other Assets</v>
      </c>
      <c r="B14" s="208">
        <f>'Data Sheet'!B65/'Data Sheet'!B66</f>
        <v>0.416741010821923</v>
      </c>
      <c r="C14" s="208">
        <f>'Data Sheet'!C65/'Data Sheet'!C66</f>
        <v>0.483488234130908</v>
      </c>
      <c r="D14" s="208">
        <f>'Data Sheet'!D65/'Data Sheet'!D66</f>
        <v>0.419111852354159</v>
      </c>
      <c r="E14" s="208">
        <f>'Data Sheet'!E65/'Data Sheet'!E66</f>
        <v>0.425802829146366</v>
      </c>
      <c r="F14" s="208">
        <f>'Data Sheet'!F65/'Data Sheet'!F66</f>
        <v>0.415861412907425</v>
      </c>
      <c r="G14" s="208">
        <f>'Data Sheet'!G65/'Data Sheet'!G66</f>
        <v>0.40395365086759</v>
      </c>
      <c r="H14" s="208">
        <f>'Data Sheet'!H65/'Data Sheet'!H66</f>
        <v>0.346254551654427</v>
      </c>
      <c r="I14" s="208">
        <f>'Data Sheet'!I65/'Data Sheet'!I66</f>
        <v>0.363783866523802</v>
      </c>
      <c r="J14" s="208">
        <f>'Data Sheet'!J65/'Data Sheet'!J66</f>
        <v>0.37913618664364</v>
      </c>
      <c r="K14" s="208">
        <f>'Data Sheet'!K65/'Data Sheet'!K66</f>
        <v>0.300669447947996</v>
      </c>
    </row>
    <row r="15" spans="1:11">
      <c r="A15" s="212" t="s">
        <v>65</v>
      </c>
      <c r="B15" s="213"/>
      <c r="C15" s="213"/>
      <c r="D15" s="213"/>
      <c r="E15" s="213"/>
      <c r="F15" s="213"/>
      <c r="G15" s="213"/>
      <c r="H15" s="213"/>
      <c r="I15" s="213"/>
      <c r="J15" s="213"/>
      <c r="K15" s="218"/>
    </row>
    <row r="16" spans="1:11">
      <c r="A16" s="214" t="str">
        <f>'Data Sheet'!A67</f>
        <v>Receivables</v>
      </c>
      <c r="B16" s="206">
        <f>'Data Sheet'!B67/'Data Sheet'!B66</f>
        <v>0.201388619526008</v>
      </c>
      <c r="C16" s="206">
        <f>'Data Sheet'!C67/'Data Sheet'!C66</f>
        <v>0.21178564366225</v>
      </c>
      <c r="D16" s="206">
        <f>'Data Sheet'!D67/'Data Sheet'!D66</f>
        <v>0.207448270806224</v>
      </c>
      <c r="E16" s="206">
        <f>'Data Sheet'!E67/'Data Sheet'!E66</f>
        <v>0.208382387567695</v>
      </c>
      <c r="F16" s="206">
        <f>'Data Sheet'!F67/'Data Sheet'!F66</f>
        <v>0.215457534338023</v>
      </c>
      <c r="G16" s="206">
        <f>'Data Sheet'!G67/'Data Sheet'!G66</f>
        <v>0.167142191685105</v>
      </c>
      <c r="H16" s="206">
        <f>'Data Sheet'!H67/'Data Sheet'!H66</f>
        <v>0.171154384811175</v>
      </c>
      <c r="I16" s="206">
        <f>'Data Sheet'!I67/'Data Sheet'!I66</f>
        <v>0.180733710903618</v>
      </c>
      <c r="J16" s="206">
        <f>'Data Sheet'!J67/'Data Sheet'!J66</f>
        <v>0.198748757718438</v>
      </c>
      <c r="K16" s="206">
        <f>'Data Sheet'!K67/'Data Sheet'!K66</f>
        <v>0.139835617957283</v>
      </c>
    </row>
    <row r="17" spans="1:11">
      <c r="A17" s="214" t="str">
        <f>'Data Sheet'!A68</f>
        <v>Inventory</v>
      </c>
      <c r="B17" s="206">
        <f>'Data Sheet'!B68/'Data Sheet'!B66</f>
        <v>0.135797680462356</v>
      </c>
      <c r="C17" s="206">
        <f>'Data Sheet'!C68/'Data Sheet'!C66</f>
        <v>0.106337749653945</v>
      </c>
      <c r="D17" s="206">
        <f>'Data Sheet'!D68/'Data Sheet'!D66</f>
        <v>0.100141121272657</v>
      </c>
      <c r="E17" s="206">
        <f>'Data Sheet'!E68/'Data Sheet'!E66</f>
        <v>0.0844578073210049</v>
      </c>
      <c r="F17" s="206">
        <f>'Data Sheet'!F68/'Data Sheet'!F66</f>
        <v>0.0909394349037868</v>
      </c>
      <c r="G17" s="206">
        <f>'Data Sheet'!G68/'Data Sheet'!G66</f>
        <v>0.0650692907884011</v>
      </c>
      <c r="H17" s="206">
        <f>'Data Sheet'!H68/'Data Sheet'!H66</f>
        <v>0.0792444558108947</v>
      </c>
      <c r="I17" s="206">
        <f>'Data Sheet'!I68/'Data Sheet'!I66</f>
        <v>0.0839124445124751</v>
      </c>
      <c r="J17" s="206">
        <f>'Data Sheet'!J68/'Data Sheet'!J66</f>
        <v>0.075261897391616</v>
      </c>
      <c r="K17" s="206">
        <f>'Data Sheet'!K68/'Data Sheet'!K66</f>
        <v>0.0645677694770544</v>
      </c>
    </row>
    <row r="18" spans="1:11">
      <c r="A18" s="214" t="str">
        <f>'Data Sheet'!A69</f>
        <v>Cash &amp; Bank</v>
      </c>
      <c r="B18" s="206">
        <f>'Data Sheet'!B69/'Data Sheet'!B66</f>
        <v>0.00752492145378379</v>
      </c>
      <c r="C18" s="206">
        <f>'Data Sheet'!C69/'Data Sheet'!C66</f>
        <v>0.078974688550524</v>
      </c>
      <c r="D18" s="206">
        <f>'Data Sheet'!D69/'Data Sheet'!D66</f>
        <v>0.0618917581511281</v>
      </c>
      <c r="E18" s="206">
        <f>'Data Sheet'!E69/'Data Sheet'!E66</f>
        <v>0.0773396605748854</v>
      </c>
      <c r="F18" s="206">
        <f>'Data Sheet'!F69/'Data Sheet'!F66</f>
        <v>0.0452944808825247</v>
      </c>
      <c r="G18" s="206">
        <f>'Data Sheet'!G69/'Data Sheet'!G66</f>
        <v>0.10514440433213</v>
      </c>
      <c r="H18" s="206">
        <f>'Data Sheet'!H69/'Data Sheet'!H66</f>
        <v>0.00578471131245966</v>
      </c>
      <c r="I18" s="206">
        <f>'Data Sheet'!I69/'Data Sheet'!I66</f>
        <v>0.00534721159242818</v>
      </c>
      <c r="J18" s="206">
        <f>'Data Sheet'!J69/'Data Sheet'!J66</f>
        <v>0.00309552126948956</v>
      </c>
      <c r="K18" s="206">
        <f>'Data Sheet'!K69/'Data Sheet'!K66</f>
        <v>0.0372146530097437</v>
      </c>
    </row>
    <row r="19" spans="1:11">
      <c r="A19" s="214"/>
      <c r="B19" s="206"/>
      <c r="C19" s="206"/>
      <c r="D19" s="206"/>
      <c r="E19" s="206"/>
      <c r="F19" s="206"/>
      <c r="G19" s="206"/>
      <c r="H19" s="206"/>
      <c r="I19" s="206"/>
      <c r="J19" s="206"/>
      <c r="K19" s="217"/>
    </row>
    <row r="20" ht="15.15" spans="1:11">
      <c r="A20" s="215" t="s">
        <v>66</v>
      </c>
      <c r="B20" s="216">
        <f>SUM(B11:B14)</f>
        <v>1</v>
      </c>
      <c r="C20" s="216">
        <f t="shared" ref="C20:K20" si="1">SUM(C11:C14)</f>
        <v>1</v>
      </c>
      <c r="D20" s="216">
        <f t="shared" si="1"/>
        <v>1</v>
      </c>
      <c r="E20" s="216">
        <f t="shared" si="1"/>
        <v>1</v>
      </c>
      <c r="F20" s="216">
        <f t="shared" si="1"/>
        <v>1</v>
      </c>
      <c r="G20" s="216">
        <f t="shared" si="1"/>
        <v>1</v>
      </c>
      <c r="H20" s="216">
        <f t="shared" si="1"/>
        <v>1</v>
      </c>
      <c r="I20" s="216">
        <f t="shared" si="1"/>
        <v>1</v>
      </c>
      <c r="J20" s="216">
        <f t="shared" si="1"/>
        <v>1</v>
      </c>
      <c r="K20" s="216">
        <f t="shared" si="1"/>
        <v>1</v>
      </c>
    </row>
  </sheetData>
  <mergeCells count="2">
    <mergeCell ref="A2:K2"/>
    <mergeCell ref="A3:K3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3"/>
  <sheetViews>
    <sheetView tabSelected="1" zoomScale="115" zoomScaleNormal="115" topLeftCell="A15" workbookViewId="0">
      <selection activeCell="B31" sqref="B31"/>
    </sheetView>
  </sheetViews>
  <sheetFormatPr defaultColWidth="11.5" defaultRowHeight="14.4"/>
  <cols>
    <col min="1" max="1" width="19.6666666666667" customWidth="1"/>
    <col min="2" max="2" width="18.5" customWidth="1"/>
  </cols>
  <sheetData>
    <row r="1" spans="1:11">
      <c r="A1" s="6" t="str">
        <f>'Data Sheet'!A16</f>
        <v>Report Date</v>
      </c>
      <c r="B1" s="7">
        <f>'Data Sheet'!B16</f>
        <v>40633</v>
      </c>
      <c r="C1" s="7">
        <f>'Data Sheet'!C16</f>
        <v>40999</v>
      </c>
      <c r="D1" s="7">
        <f>'Data Sheet'!D16</f>
        <v>41364</v>
      </c>
      <c r="E1" s="7">
        <f>'Data Sheet'!E16</f>
        <v>41729</v>
      </c>
      <c r="F1" s="7">
        <f>'Data Sheet'!F16</f>
        <v>42094</v>
      </c>
      <c r="G1" s="7">
        <f>'Data Sheet'!G16</f>
        <v>42460</v>
      </c>
      <c r="H1" s="7">
        <f>'Data Sheet'!H16</f>
        <v>42825</v>
      </c>
      <c r="I1" s="7">
        <f>'Data Sheet'!I16</f>
        <v>43190</v>
      </c>
      <c r="J1" s="7">
        <f>'Data Sheet'!J16</f>
        <v>43555</v>
      </c>
      <c r="K1" s="7">
        <f>'Data Sheet'!K16</f>
        <v>43921</v>
      </c>
    </row>
    <row r="2" spans="1:1">
      <c r="A2" s="170" t="s">
        <v>67</v>
      </c>
    </row>
    <row r="4" spans="1:11">
      <c r="A4" t="s">
        <v>68</v>
      </c>
      <c r="B4" s="171">
        <f>'Balance Sheet'!B6/('Balance Sheet'!B4+'Balance Sheet'!B5)</f>
        <v>0.535597466768738</v>
      </c>
      <c r="C4" s="171">
        <f>'Balance Sheet'!C6/('Balance Sheet'!C4+'Balance Sheet'!C5)</f>
        <v>0.923377178911346</v>
      </c>
      <c r="D4" s="171">
        <f>'Balance Sheet'!D6/('Balance Sheet'!D4+'Balance Sheet'!D5)</f>
        <v>0.98350190681479</v>
      </c>
      <c r="E4" s="171">
        <f>'Balance Sheet'!E6/('Balance Sheet'!E4+'Balance Sheet'!E5)</f>
        <v>0.521108136872319</v>
      </c>
      <c r="F4" s="171">
        <f>'Balance Sheet'!F6/('Balance Sheet'!F4+'Balance Sheet'!F5)</f>
        <v>0.150443497292939</v>
      </c>
      <c r="G4" s="171">
        <f>'Balance Sheet'!G6/('Balance Sheet'!G4+'Balance Sheet'!G5)</f>
        <v>0.0777950367986982</v>
      </c>
      <c r="H4" s="171">
        <f>'Balance Sheet'!H6/('Balance Sheet'!H4+'Balance Sheet'!H5)</f>
        <v>0.0034117145336098</v>
      </c>
      <c r="I4" s="171">
        <f>'Balance Sheet'!I6/('Balance Sheet'!I4+'Balance Sheet'!I5)</f>
        <v>0.0190794180777486</v>
      </c>
      <c r="J4" s="171">
        <f>'Balance Sheet'!J6/('Balance Sheet'!J4+'Balance Sheet'!J5)</f>
        <v>0.00350049463511148</v>
      </c>
      <c r="K4" s="171">
        <f>'Balance Sheet'!K6/('Balance Sheet'!K4+'Balance Sheet'!K5)</f>
        <v>0.000273563595719902</v>
      </c>
    </row>
    <row r="5" spans="1:11">
      <c r="A5" t="s">
        <v>69</v>
      </c>
      <c r="B5" s="171">
        <f>'Data Sheet'!B59/'Data Sheet'!B66</f>
        <v>0.298514409836701</v>
      </c>
      <c r="C5" s="171">
        <f>'Data Sheet'!C59/'Data Sheet'!C66</f>
        <v>0.426858809570892</v>
      </c>
      <c r="D5" s="171">
        <f>'Data Sheet'!D59/'Data Sheet'!D66</f>
        <v>0.434836794164544</v>
      </c>
      <c r="E5" s="171">
        <f>'Data Sheet'!E59/'Data Sheet'!E66</f>
        <v>0.292659071561826</v>
      </c>
      <c r="F5" s="171">
        <f>'Data Sheet'!F59/'Data Sheet'!F66</f>
        <v>0.108980456950216</v>
      </c>
      <c r="G5" s="171">
        <f>'Data Sheet'!G59/'Data Sheet'!G66</f>
        <v>0.0612408291603587</v>
      </c>
      <c r="H5" s="171">
        <f>'Data Sheet'!H59/'Data Sheet'!H66</f>
        <v>0.00282537478840135</v>
      </c>
      <c r="I5" s="171">
        <f>'Data Sheet'!I59/'Data Sheet'!I66</f>
        <v>0.015510995458952</v>
      </c>
      <c r="J5" s="171">
        <f>'Data Sheet'!J59/'Data Sheet'!J66</f>
        <v>0.00299776796624253</v>
      </c>
      <c r="K5" s="171">
        <f>'Data Sheet'!K59/'Data Sheet'!K66</f>
        <v>0.000242553604346561</v>
      </c>
    </row>
    <row r="6" spans="1:11">
      <c r="A6" t="s">
        <v>70</v>
      </c>
      <c r="B6" s="171">
        <f>'Data Sheet'!B59/Ratios!B27</f>
        <v>1.10368564462929</v>
      </c>
      <c r="C6" s="171">
        <f>'Data Sheet'!C59/Ratios!C27</f>
        <v>1.81740686171332</v>
      </c>
      <c r="D6" s="171">
        <f>'Data Sheet'!D59/Ratios!D27</f>
        <v>1.97158052185474</v>
      </c>
      <c r="E6" s="171">
        <f>'Data Sheet'!E59/Ratios!E27</f>
        <v>1.05683824972202</v>
      </c>
      <c r="F6" s="171">
        <f>'Data Sheet'!F59/Ratios!F27</f>
        <v>0.339962515618492</v>
      </c>
      <c r="G6" s="171">
        <f>'Data Sheet'!G59/Ratios!G27</f>
        <v>0.203452945159106</v>
      </c>
      <c r="H6" s="171">
        <f>'Data Sheet'!H59/Ratios!H27</f>
        <v>0.0106500183621006</v>
      </c>
      <c r="I6" s="171">
        <f>'Data Sheet'!I59/Ratios!I27</f>
        <v>0.0766554037016491</v>
      </c>
      <c r="J6" s="171">
        <f>'Data Sheet'!J59/Ratios!J27</f>
        <v>0.00865861979718124</v>
      </c>
      <c r="K6" s="171">
        <f>'Data Sheet'!K59/Ratios!K27</f>
        <v>0.000843617431546471</v>
      </c>
    </row>
    <row r="7" spans="1:11">
      <c r="A7" t="s">
        <v>71</v>
      </c>
      <c r="B7" s="115">
        <f>'Data Sheet'!B59/('Data Sheet'!B57+'Data Sheet'!B58+'Data Sheet'!B59)</f>
        <v>0.348787672784954</v>
      </c>
      <c r="C7" s="115">
        <f>'Data Sheet'!C59/('Data Sheet'!C57+'Data Sheet'!C58+'Data Sheet'!C59)</f>
        <v>0.480081176503294</v>
      </c>
      <c r="D7" s="115">
        <f>'Data Sheet'!D59/('Data Sheet'!D57+'Data Sheet'!D58+'Data Sheet'!D59)</f>
        <v>0.495841170323929</v>
      </c>
      <c r="E7" s="115">
        <f>'Data Sheet'!E59/('Data Sheet'!E57+'Data Sheet'!E58+'Data Sheet'!E59)</f>
        <v>0.34258454362345</v>
      </c>
      <c r="F7" s="115">
        <f>'Data Sheet'!F59/('Data Sheet'!F57+'Data Sheet'!F58+'Data Sheet'!F59)</f>
        <v>0.130770001001302</v>
      </c>
      <c r="G7" s="115">
        <f>'Data Sheet'!G59/('Data Sheet'!G57+'Data Sheet'!G58+'Data Sheet'!G59)</f>
        <v>0.072179806125075</v>
      </c>
      <c r="H7" s="115">
        <f>'Data Sheet'!H59/('Data Sheet'!H57+'Data Sheet'!H58+'Data Sheet'!H59)</f>
        <v>0.00340011431418815</v>
      </c>
      <c r="I7" s="115">
        <f>'Data Sheet'!I59/('Data Sheet'!I57+'Data Sheet'!I58+'Data Sheet'!I59)</f>
        <v>0.018722209220688</v>
      </c>
      <c r="J7" s="115">
        <f>'Data Sheet'!J59/('Data Sheet'!J57+'Data Sheet'!J58+'Data Sheet'!J59)</f>
        <v>0.00348828391597786</v>
      </c>
      <c r="K7" s="115">
        <f>'Data Sheet'!K59/('Data Sheet'!K57+'Data Sheet'!K58+'Data Sheet'!K59)</f>
        <v>0.00027348877914609</v>
      </c>
    </row>
    <row r="8" spans="1:11">
      <c r="A8" t="s">
        <v>72</v>
      </c>
      <c r="B8" s="171">
        <f>'Data Sheet'!B82/'Data Sheet'!B59</f>
        <v>0.406834719334719</v>
      </c>
      <c r="C8" s="171">
        <f>'Data Sheet'!C82/'Data Sheet'!C59</f>
        <v>0.114366784411373</v>
      </c>
      <c r="D8" s="171">
        <f>'Data Sheet'!D82/'Data Sheet'!D59</f>
        <v>0.388181741549355</v>
      </c>
      <c r="E8" s="171">
        <f>'Data Sheet'!E82/'Data Sheet'!E59</f>
        <v>0.813590790939473</v>
      </c>
      <c r="F8" s="171">
        <f>'Data Sheet'!F82/'Data Sheet'!F59</f>
        <v>1.72373660030628</v>
      </c>
      <c r="G8" s="171">
        <f>'Data Sheet'!G82/'Data Sheet'!G59</f>
        <v>3.98122177323508</v>
      </c>
      <c r="H8" s="171">
        <f>'Data Sheet'!H82/'Data Sheet'!H59</f>
        <v>56.2198275862069</v>
      </c>
      <c r="I8" s="171">
        <f>'Data Sheet'!I82/'Data Sheet'!I59</f>
        <v>9.10065789473684</v>
      </c>
      <c r="J8" s="171">
        <f>'Data Sheet'!J82/'Data Sheet'!J59</f>
        <v>54.445652173913</v>
      </c>
      <c r="K8" s="171">
        <f>'Data Sheet'!K82/'Data Sheet'!K59</f>
        <v>1188.37142857143</v>
      </c>
    </row>
    <row r="9" spans="1:11">
      <c r="A9" t="s">
        <v>73</v>
      </c>
      <c r="B9" s="172">
        <f>B31/'Data Sheet'!B27</f>
        <v>9.77808988764045</v>
      </c>
      <c r="C9" s="172">
        <f>C31/'Data Sheet'!C27</f>
        <v>9.87921653971708</v>
      </c>
      <c r="D9" s="172">
        <f>D31/'Data Sheet'!D27</f>
        <v>9.89168110918544</v>
      </c>
      <c r="E9" s="172">
        <f>E31/'Data Sheet'!E27</f>
        <v>8.08484848484849</v>
      </c>
      <c r="F9" s="172">
        <f>F31/'Data Sheet'!F27</f>
        <v>18.7766393442623</v>
      </c>
      <c r="G9" s="172">
        <f>G31/'Data Sheet'!G27</f>
        <v>24.735368956743</v>
      </c>
      <c r="H9" s="172">
        <f>H31/'Data Sheet'!H27</f>
        <v>75.8945454545455</v>
      </c>
      <c r="I9" s="172">
        <f>I31/'Data Sheet'!I27</f>
        <v>94.7235023041475</v>
      </c>
      <c r="J9" s="172">
        <f>J31/'Data Sheet'!J27</f>
        <v>196.064220183486</v>
      </c>
      <c r="K9" s="172">
        <f>K31/'Data Sheet'!K27</f>
        <v>209.171568627451</v>
      </c>
    </row>
    <row r="10" spans="1:11">
      <c r="A10" t="s">
        <v>74</v>
      </c>
      <c r="B10" s="172"/>
      <c r="C10" s="115">
        <f>('Data Sheet'!C17-'Data Sheet'!B17)/'Data Sheet'!B17</f>
        <v>0.386827832016117</v>
      </c>
      <c r="D10" s="115">
        <f>('Data Sheet'!D17-'Data Sheet'!C17)/'Data Sheet'!C17</f>
        <v>0.23870290081795</v>
      </c>
      <c r="E10" s="115">
        <f>('Data Sheet'!E17-'Data Sheet'!D17)/'Data Sheet'!D17</f>
        <v>0.255940245728616</v>
      </c>
      <c r="F10" s="115">
        <f>('Data Sheet'!F17-'Data Sheet'!E17)/'Data Sheet'!E17</f>
        <v>0.108600405096749</v>
      </c>
      <c r="G10" s="115">
        <f>('Data Sheet'!G17-'Data Sheet'!F17)/'Data Sheet'!F17</f>
        <v>-0.182421313153564</v>
      </c>
      <c r="H10" s="115">
        <f>('Data Sheet'!H17-'Data Sheet'!G17)/'Data Sheet'!G17</f>
        <v>0.0155955305491718</v>
      </c>
      <c r="I10" s="115">
        <f>('Data Sheet'!I17-'Data Sheet'!H17)/'Data Sheet'!H17</f>
        <v>0.138719393248958</v>
      </c>
      <c r="J10" s="115">
        <f>('Data Sheet'!J17-'Data Sheet'!I17)/'Data Sheet'!I17</f>
        <v>0.545773489748931</v>
      </c>
      <c r="K10" s="115">
        <f>('Data Sheet'!K17-'Data Sheet'!J17)/'Data Sheet'!J17</f>
        <v>-0.0878165118093483</v>
      </c>
    </row>
    <row r="11" spans="1:11">
      <c r="A11" t="s">
        <v>75</v>
      </c>
      <c r="B11" s="172"/>
      <c r="C11" s="115">
        <f>(C31-B31)/B31</f>
        <v>0.304079287561045</v>
      </c>
      <c r="D11" s="115">
        <f t="shared" ref="D11:K11" si="0">(D31-C31)/C31</f>
        <v>0.257297059147483</v>
      </c>
      <c r="E11" s="115">
        <f t="shared" si="0"/>
        <v>0.285501533070521</v>
      </c>
      <c r="F11" s="115">
        <f t="shared" si="0"/>
        <v>0.24887556221889</v>
      </c>
      <c r="G11" s="115">
        <f t="shared" si="0"/>
        <v>0.0608970861071703</v>
      </c>
      <c r="H11" s="115">
        <f t="shared" si="0"/>
        <v>0.0735006686554881</v>
      </c>
      <c r="I11" s="115">
        <f t="shared" si="0"/>
        <v>-0.0151406257486466</v>
      </c>
      <c r="J11" s="115">
        <f t="shared" si="0"/>
        <v>1.07939674045244</v>
      </c>
      <c r="K11" s="115">
        <f t="shared" si="0"/>
        <v>-0.00166112956810626</v>
      </c>
    </row>
    <row r="12" spans="1:11">
      <c r="A12" t="s">
        <v>76</v>
      </c>
      <c r="B12" s="172"/>
      <c r="C12" s="172">
        <f>C11/C10</f>
        <v>0.786084305196469</v>
      </c>
      <c r="D12" s="172">
        <f t="shared" ref="D12:K12" si="1">D11/D10</f>
        <v>1.07789665842274</v>
      </c>
      <c r="E12" s="172">
        <f t="shared" si="1"/>
        <v>1.11550073829831</v>
      </c>
      <c r="F12" s="172">
        <f t="shared" si="1"/>
        <v>2.29166329533646</v>
      </c>
      <c r="G12" s="172">
        <f t="shared" si="1"/>
        <v>-0.333826596544158</v>
      </c>
      <c r="H12" s="172">
        <f t="shared" si="1"/>
        <v>4.7129315943273</v>
      </c>
      <c r="I12" s="172">
        <f t="shared" si="1"/>
        <v>-0.109145703380304</v>
      </c>
      <c r="J12" s="172">
        <f t="shared" si="1"/>
        <v>1.97773757928219</v>
      </c>
      <c r="K12" s="172">
        <f t="shared" si="1"/>
        <v>0.0189159138057387</v>
      </c>
    </row>
    <row r="13" spans="1:11">
      <c r="A13" t="s">
        <v>77</v>
      </c>
      <c r="B13" s="172">
        <f>B39</f>
        <v>1.79420975711601</v>
      </c>
      <c r="C13" s="172">
        <f t="shared" ref="C13:K13" si="2">C39</f>
        <v>2.16319110255588</v>
      </c>
      <c r="D13" s="172">
        <f t="shared" si="2"/>
        <v>2.26177250870502</v>
      </c>
      <c r="E13" s="172">
        <f t="shared" si="2"/>
        <v>1.78059792949979</v>
      </c>
      <c r="F13" s="172">
        <f t="shared" si="2"/>
        <v>1.38046308029029</v>
      </c>
      <c r="G13" s="172">
        <f t="shared" si="2"/>
        <v>1.27031325122971</v>
      </c>
      <c r="H13" s="172">
        <f t="shared" si="2"/>
        <v>1.20752635990647</v>
      </c>
      <c r="I13" s="172">
        <f t="shared" si="2"/>
        <v>1.2300576148217</v>
      </c>
      <c r="J13" s="172">
        <f t="shared" si="2"/>
        <v>1.16770032722015</v>
      </c>
      <c r="K13" s="172">
        <f t="shared" si="2"/>
        <v>1.12784799243401</v>
      </c>
    </row>
    <row r="14" spans="1:11">
      <c r="A14" t="s">
        <v>78</v>
      </c>
      <c r="B14" s="173">
        <f>'Cash Flow'!B9/'Balance Sheet'!B6</f>
        <v>0.159953222453222</v>
      </c>
      <c r="C14" s="173">
        <f>'Cash Flow'!C9/'Balance Sheet'!C6</f>
        <v>0.0275059354913429</v>
      </c>
      <c r="D14" s="173">
        <f>'Cash Flow'!D9/'Balance Sheet'!D6</f>
        <v>0.287026890331282</v>
      </c>
      <c r="E14" s="173">
        <f>'Cash Flow'!E9/'Balance Sheet'!E6</f>
        <v>0.652679787102364</v>
      </c>
      <c r="F14" s="173">
        <f>'Cash Flow'!F9/'Balance Sheet'!F6</f>
        <v>1.095865237366</v>
      </c>
      <c r="G14" s="173">
        <f>'Cash Flow'!G9/'Balance Sheet'!G6</f>
        <v>3.14927501782743</v>
      </c>
      <c r="H14" s="173">
        <f>'Cash Flow'!H9/'Balance Sheet'!H6</f>
        <v>27.7715517241379</v>
      </c>
      <c r="I14" s="173">
        <f>'Cash Flow'!I9/'Balance Sheet'!I6</f>
        <v>0.153289473684211</v>
      </c>
      <c r="J14" s="173">
        <f>'Cash Flow'!J9/'Balance Sheet'!J6</f>
        <v>35.695652173913</v>
      </c>
      <c r="K14" s="173">
        <f>'Cash Flow'!K9/'Balance Sheet'!K6</f>
        <v>968.371428571429</v>
      </c>
    </row>
    <row r="15" spans="1:1">
      <c r="A15" s="170" t="s">
        <v>79</v>
      </c>
    </row>
    <row r="16" spans="1:11">
      <c r="A16" s="174" t="str">
        <f>'Data Sheet'!A56</f>
        <v>Report Date</v>
      </c>
      <c r="B16" s="174">
        <f>'Data Sheet'!B56</f>
        <v>40633</v>
      </c>
      <c r="C16" s="174">
        <f>'Data Sheet'!C56</f>
        <v>40999</v>
      </c>
      <c r="D16" s="174">
        <f>'Data Sheet'!D56</f>
        <v>41364</v>
      </c>
      <c r="E16" s="174">
        <f>'Data Sheet'!E56</f>
        <v>41729</v>
      </c>
      <c r="F16" s="174">
        <f>'Data Sheet'!F56</f>
        <v>42094</v>
      </c>
      <c r="G16" s="174">
        <f>'Data Sheet'!G56</f>
        <v>42460</v>
      </c>
      <c r="H16" s="174">
        <f>'Data Sheet'!H56</f>
        <v>42825</v>
      </c>
      <c r="I16" s="174">
        <f>'Data Sheet'!I56</f>
        <v>43190</v>
      </c>
      <c r="J16" s="174">
        <f>'Data Sheet'!J56</f>
        <v>43555</v>
      </c>
      <c r="K16" s="174">
        <f>'Data Sheet'!K56</f>
        <v>43921</v>
      </c>
    </row>
    <row r="17" spans="1:11">
      <c r="A17" t="s">
        <v>80</v>
      </c>
      <c r="B17" s="171">
        <f>'Balance Sheet'!B19</f>
        <v>58.7348520068185</v>
      </c>
      <c r="C17" s="171">
        <f>'Balance Sheet'!C19</f>
        <v>69.8904930049614</v>
      </c>
      <c r="D17" s="171">
        <f>'Balance Sheet'!D19</f>
        <v>74.5383116531654</v>
      </c>
      <c r="E17" s="171">
        <f>'Balance Sheet'!E19</f>
        <v>60.3238619223421</v>
      </c>
      <c r="F17" s="171">
        <f>'Balance Sheet'!F19</f>
        <v>61.0595674653052</v>
      </c>
      <c r="G17" s="171">
        <f>'Balance Sheet'!G19</f>
        <v>66.4225374435375</v>
      </c>
      <c r="H17" s="171">
        <f>'Balance Sheet'!H19</f>
        <v>80.0529034473072</v>
      </c>
      <c r="I17" s="171">
        <f>'Balance Sheet'!I19</f>
        <v>88.5938356539853</v>
      </c>
      <c r="J17" s="171">
        <f>'Balance Sheet'!J19</f>
        <v>78.9530285835875</v>
      </c>
      <c r="K17" s="171">
        <f>'Balance Sheet'!K19</f>
        <v>71.5830960179615</v>
      </c>
    </row>
    <row r="18" spans="1:12">
      <c r="A18" t="s">
        <v>81</v>
      </c>
      <c r="B18" s="172">
        <f>365/B17</f>
        <v>6.21436825885978</v>
      </c>
      <c r="C18" s="172">
        <f t="shared" ref="C18:K18" si="3">365/C17</f>
        <v>5.22245564892624</v>
      </c>
      <c r="D18" s="172">
        <f t="shared" si="3"/>
        <v>4.89681067232088</v>
      </c>
      <c r="E18" s="172">
        <f t="shared" si="3"/>
        <v>6.05067362016515</v>
      </c>
      <c r="F18" s="172">
        <f t="shared" si="3"/>
        <v>5.97776917118513</v>
      </c>
      <c r="G18" s="172">
        <f t="shared" si="3"/>
        <v>5.49512280090577</v>
      </c>
      <c r="H18" s="172">
        <f t="shared" si="3"/>
        <v>4.55948484417248</v>
      </c>
      <c r="I18" s="172">
        <f t="shared" si="3"/>
        <v>4.11992547004686</v>
      </c>
      <c r="J18" s="172">
        <f t="shared" si="3"/>
        <v>4.62300188540044</v>
      </c>
      <c r="K18" s="172">
        <f t="shared" si="3"/>
        <v>5.0989691743483</v>
      </c>
      <c r="L18" s="191"/>
    </row>
    <row r="19" spans="1:14">
      <c r="A19" t="s">
        <v>82</v>
      </c>
      <c r="B19" s="172">
        <f>'Balance Sheet'!B18/('Profit &amp; Loss'!B5/365)</f>
        <v>50.5244741420212</v>
      </c>
      <c r="C19" s="172">
        <f>'Balance Sheet'!C18/('Profit &amp; Loss'!C5/365)</f>
        <v>44.5531154239019</v>
      </c>
      <c r="D19" s="172">
        <f>'Balance Sheet'!D18/('Profit &amp; Loss'!D5/365)</f>
        <v>45.9604083607955</v>
      </c>
      <c r="E19" s="172">
        <f>'Balance Sheet'!E18/('Profit &amp; Loss'!E5/365)</f>
        <v>31.330443266328</v>
      </c>
      <c r="F19" s="172">
        <f>'Balance Sheet'!F18/('Profit &amp; Loss'!F5/365)</f>
        <v>34.3118261019581</v>
      </c>
      <c r="G19" s="172">
        <f>'Balance Sheet'!G18/('Profit &amp; Loss'!G5/365)</f>
        <v>38.4645307306033</v>
      </c>
      <c r="H19" s="172">
        <f>'Balance Sheet'!H18/('Profit &amp; Loss'!H5/365)</f>
        <v>56.1545099893604</v>
      </c>
      <c r="I19" s="172">
        <f>'Balance Sheet'!I18/('Profit &amp; Loss'!I5/365)</f>
        <v>56.4819624004968</v>
      </c>
      <c r="J19" s="172">
        <f>'Balance Sheet'!J18/('Profit &amp; Loss'!J5/365)</f>
        <v>47.9753453500448</v>
      </c>
      <c r="K19" s="192">
        <f>'Balance Sheet'!K18/('Profit &amp; Loss'!K5/365)</f>
        <v>55.3869769865959</v>
      </c>
      <c r="L19" s="138"/>
      <c r="M19" s="138"/>
      <c r="N19" s="138"/>
    </row>
    <row r="20" spans="1:14">
      <c r="A20" t="s">
        <v>83</v>
      </c>
      <c r="B20" s="172">
        <f>'Data Sheet'!B17/('Data Sheet'!B68)</f>
        <v>9.2159383033419</v>
      </c>
      <c r="C20" s="172">
        <f>'Data Sheet'!C17/('Data Sheet'!C68)</f>
        <v>10.4012087401209</v>
      </c>
      <c r="D20" s="172">
        <f>'Data Sheet'!D17/('Data Sheet'!D68)</f>
        <v>10.1440336749634</v>
      </c>
      <c r="E20" s="172">
        <f>'Data Sheet'!E17/('Data Sheet'!E68)</f>
        <v>14.9288012009436</v>
      </c>
      <c r="F20" s="172">
        <f>'Data Sheet'!F17/('Data Sheet'!F68)</f>
        <v>14.1627821618646</v>
      </c>
      <c r="G20" s="172">
        <f>'Data Sheet'!G17/('Data Sheet'!G68)</f>
        <v>14.1152125279642</v>
      </c>
      <c r="H20" s="172">
        <f>'Data Sheet'!H17/('Data Sheet'!H68)</f>
        <v>9.84770247425849</v>
      </c>
      <c r="I20" s="172">
        <f>'Data Sheet'!I17/('Data Sheet'!I68)</f>
        <v>8.87364708743767</v>
      </c>
      <c r="J20" s="172">
        <f>'Data Sheet'!J17/('Data Sheet'!J68)</f>
        <v>12.2082476458491</v>
      </c>
      <c r="K20" s="172">
        <f>'Data Sheet'!K17/('Data Sheet'!K68)</f>
        <v>11.0429322743372</v>
      </c>
      <c r="L20" s="193"/>
      <c r="M20" s="193"/>
      <c r="N20" s="193"/>
    </row>
    <row r="21" spans="1:14">
      <c r="A21" t="s">
        <v>84</v>
      </c>
      <c r="B21" s="172">
        <f>'Data Sheet'!B17/'Data Sheet'!B62</f>
        <v>2.90231177475938</v>
      </c>
      <c r="C21" s="172">
        <f>'Data Sheet'!C17/'Data Sheet'!C62</f>
        <v>3.10068602314462</v>
      </c>
      <c r="D21" s="172">
        <f>'Data Sheet'!D17/'Data Sheet'!D62</f>
        <v>1.91041946713542</v>
      </c>
      <c r="E21" s="172">
        <f>'Data Sheet'!E17/'Data Sheet'!E62</f>
        <v>2.2884710214011</v>
      </c>
      <c r="F21" s="172">
        <f>'Data Sheet'!F17/'Data Sheet'!F62</f>
        <v>2.35822765469824</v>
      </c>
      <c r="G21" s="172">
        <f>'Data Sheet'!G17/'Data Sheet'!G62</f>
        <v>1.65217732855011</v>
      </c>
      <c r="H21" s="172">
        <f>'Data Sheet'!H17/'Data Sheet'!H62</f>
        <v>1.37038066723695</v>
      </c>
      <c r="I21" s="172">
        <f>'Data Sheet'!I17/'Data Sheet'!I62</f>
        <v>1.59723316697312</v>
      </c>
      <c r="J21" s="172">
        <f>'Data Sheet'!J17/'Data Sheet'!J62</f>
        <v>2.37702050536343</v>
      </c>
      <c r="K21" s="172">
        <f>'Data Sheet'!K17/'Data Sheet'!K62</f>
        <v>1.37043795620438</v>
      </c>
      <c r="L21" s="138"/>
      <c r="M21" s="138"/>
      <c r="N21" s="138"/>
    </row>
    <row r="22" spans="1:11">
      <c r="A22" t="s">
        <v>85</v>
      </c>
      <c r="B22" s="171">
        <f>'Data Sheet'!B17/('Data Sheet'!B57+'Data Sheet'!B58+'Data Sheet'!B59)</f>
        <v>1.46227056424201</v>
      </c>
      <c r="C22" s="171">
        <f>'Data Sheet'!C17/('Data Sheet'!C57+'Data Sheet'!C58+'Data Sheet'!C59)</f>
        <v>1.24394651246838</v>
      </c>
      <c r="D22" s="171">
        <f>'Data Sheet'!D17/('Data Sheet'!D57+'Data Sheet'!D58+'Data Sheet'!D59)</f>
        <v>1.15834900731452</v>
      </c>
      <c r="E22" s="171">
        <f>'Data Sheet'!E17/('Data Sheet'!E57+'Data Sheet'!E58+'Data Sheet'!E59)</f>
        <v>1.47594614650694</v>
      </c>
      <c r="F22" s="171">
        <f>'Data Sheet'!F17/('Data Sheet'!F57+'Data Sheet'!F58+'Data Sheet'!F59)</f>
        <v>1.5454691098428</v>
      </c>
      <c r="G22" s="171">
        <f>'Data Sheet'!G17/('Data Sheet'!G57+'Data Sheet'!G58+'Data Sheet'!G59)</f>
        <v>1.08252552114609</v>
      </c>
      <c r="H22" s="171">
        <f>'Data Sheet'!H17/('Data Sheet'!H57+'Data Sheet'!H58+'Data Sheet'!H59)</f>
        <v>0.939120366977855</v>
      </c>
      <c r="I22" s="171">
        <f>'Data Sheet'!I17/('Data Sheet'!I57+'Data Sheet'!I58+'Data Sheet'!I59)</f>
        <v>0.898764580536293</v>
      </c>
      <c r="J22" s="171">
        <f>'Data Sheet'!J17/('Data Sheet'!J57+'Data Sheet'!J58+'Data Sheet'!J59)</f>
        <v>1.06915902024721</v>
      </c>
      <c r="K22" s="171">
        <f>'Data Sheet'!K17/('Data Sheet'!K57+'Data Sheet'!K58+'Data Sheet'!K59)</f>
        <v>0.803955429142964</v>
      </c>
    </row>
    <row r="23" spans="1:11">
      <c r="A23" t="s">
        <v>86</v>
      </c>
      <c r="B23" s="171">
        <f>'Data Sheet'!B17/'Data Sheet'!B66</f>
        <v>1.25150304487801</v>
      </c>
      <c r="C23" s="171">
        <f>'Data Sheet'!C17/'Data Sheet'!C66</f>
        <v>1.1060411311054</v>
      </c>
      <c r="D23" s="171">
        <f>'Data Sheet'!D17/'Data Sheet'!D66</f>
        <v>1.01583490643843</v>
      </c>
      <c r="E23" s="171">
        <f>'Data Sheet'!E17/'Data Sheet'!E66</f>
        <v>1.26085381536288</v>
      </c>
      <c r="F23" s="171">
        <f>'Data Sheet'!F17/'Data Sheet'!F66</f>
        <v>1.28795540646539</v>
      </c>
      <c r="G23" s="171">
        <f>'Data Sheet'!G17/'Data Sheet'!G66</f>
        <v>0.918466868522185</v>
      </c>
      <c r="H23" s="171">
        <f>'Data Sheet'!H17/'Data Sheet'!H66</f>
        <v>0.780375823560216</v>
      </c>
      <c r="I23" s="171">
        <f>'Data Sheet'!I17/'Data Sheet'!I66</f>
        <v>0.7446094188479</v>
      </c>
      <c r="J23" s="171">
        <f>'Data Sheet'!J17/'Data Sheet'!J66</f>
        <v>0.918815881653334</v>
      </c>
      <c r="K23" s="171">
        <f>'Data Sheet'!K17/'Data Sheet'!K66</f>
        <v>0.713017505440131</v>
      </c>
    </row>
    <row r="25" spans="1:1">
      <c r="A25" s="170" t="s">
        <v>87</v>
      </c>
    </row>
    <row r="26" spans="1:11">
      <c r="A26" s="175" t="str">
        <f>'Data Sheet'!A56</f>
        <v>Report Date</v>
      </c>
      <c r="B26" s="176">
        <f t="shared" ref="B26:K26" si="4">B16</f>
        <v>40633</v>
      </c>
      <c r="C26" s="176">
        <f t="shared" si="4"/>
        <v>40999</v>
      </c>
      <c r="D26" s="176">
        <f t="shared" si="4"/>
        <v>41364</v>
      </c>
      <c r="E26" s="176">
        <f t="shared" si="4"/>
        <v>41729</v>
      </c>
      <c r="F26" s="176">
        <f t="shared" si="4"/>
        <v>42094</v>
      </c>
      <c r="G26" s="176">
        <f t="shared" si="4"/>
        <v>42460</v>
      </c>
      <c r="H26" s="176">
        <f t="shared" si="4"/>
        <v>42825</v>
      </c>
      <c r="I26" s="176">
        <f t="shared" si="4"/>
        <v>43190</v>
      </c>
      <c r="J26" s="176">
        <f t="shared" si="4"/>
        <v>43555</v>
      </c>
      <c r="K26" s="176">
        <f t="shared" si="4"/>
        <v>43921</v>
      </c>
    </row>
    <row r="27" spans="1:11">
      <c r="A27" t="s">
        <v>88</v>
      </c>
      <c r="B27">
        <f>'Profit &amp; Loss'!B6</f>
        <v>69.7299999999999</v>
      </c>
      <c r="C27">
        <f>'Profit &amp; Loss'!C6</f>
        <v>95.02</v>
      </c>
      <c r="D27">
        <f>'Profit &amp; Loss'!D6</f>
        <v>120.34</v>
      </c>
      <c r="E27">
        <f>'Profit &amp; Loss'!E6</f>
        <v>152.89</v>
      </c>
      <c r="F27">
        <f>'Profit &amp; Loss'!F6</f>
        <v>192.08</v>
      </c>
      <c r="G27">
        <f>'Profit &amp; Loss'!G6</f>
        <v>206.78</v>
      </c>
      <c r="H27">
        <f>'Profit &amp; Loss'!H6</f>
        <v>217.84</v>
      </c>
      <c r="I27">
        <f>'Profit &amp; Loss'!I6</f>
        <v>198.29</v>
      </c>
      <c r="J27">
        <f>'Profit &amp; Loss'!J6</f>
        <v>425.01</v>
      </c>
      <c r="K27">
        <f>'Profit &amp; Loss'!K6</f>
        <v>414.88</v>
      </c>
    </row>
    <row r="28" spans="1:11">
      <c r="A28" t="s">
        <v>89</v>
      </c>
      <c r="B28" s="115">
        <f>B27/'Profit &amp; Loss'!B4</f>
        <v>0.216116534944987</v>
      </c>
      <c r="C28" s="115">
        <f>C27/'Profit &amp; Loss'!C4</f>
        <v>0.212354176909668</v>
      </c>
      <c r="D28" s="115">
        <f>D27/'Profit &amp; Loss'!D4</f>
        <v>0.217114402727912</v>
      </c>
      <c r="E28" s="115">
        <f>E27/'Profit &amp; Loss'!E4</f>
        <v>0.219628517661931</v>
      </c>
      <c r="F28" s="115">
        <f>F27/'Profit &amp; Loss'!F4</f>
        <v>0.248895339043448</v>
      </c>
      <c r="G28" s="115">
        <f>G27/'Profit &amp; Loss'!G4</f>
        <v>0.327728029162374</v>
      </c>
      <c r="H28" s="115">
        <f>H27/'Profit &amp; Loss'!H4</f>
        <v>0.339955367593127</v>
      </c>
      <c r="I28" s="115">
        <f>I27/'Profit &amp; Loss'!I4</f>
        <v>0.271749259949567</v>
      </c>
      <c r="J28" s="115">
        <f>J27/'Profit &amp; Loss'!J4</f>
        <v>0.376808638910561</v>
      </c>
      <c r="K28" s="115">
        <f>K27/'Profit &amp; Loss'!K4</f>
        <v>0.40323850437859</v>
      </c>
    </row>
    <row r="29" spans="1:11">
      <c r="A29" t="s">
        <v>90</v>
      </c>
      <c r="B29" s="177">
        <f>('Data Sheet'!B17-'Data Sheet'!B18)+'Data Sheet'!B19</f>
        <v>139.24</v>
      </c>
      <c r="C29" s="177">
        <f>('Data Sheet'!C17-'Data Sheet'!C18)+'Data Sheet'!C19</f>
        <v>179.79</v>
      </c>
      <c r="D29" s="177">
        <f>('Data Sheet'!D17-'Data Sheet'!D18)+'Data Sheet'!D19</f>
        <v>219.15</v>
      </c>
      <c r="E29" s="177">
        <f>('Data Sheet'!E17-'Data Sheet'!E18)+'Data Sheet'!E19</f>
        <v>277.32</v>
      </c>
      <c r="F29" s="177">
        <f>('Data Sheet'!F17-'Data Sheet'!F18)+'Data Sheet'!F19</f>
        <v>315.19</v>
      </c>
      <c r="G29" s="177">
        <f>('Data Sheet'!G17-'Data Sheet'!G18)+'Data Sheet'!G19</f>
        <v>334.64</v>
      </c>
      <c r="H29" s="177">
        <f>('Data Sheet'!H17-'Data Sheet'!H18)+'Data Sheet'!H19</f>
        <v>340.24</v>
      </c>
      <c r="I29" s="177">
        <f>('Data Sheet'!I17-'Data Sheet'!I18)+'Data Sheet'!I19</f>
        <v>352.12</v>
      </c>
      <c r="J29" s="177">
        <f>('Data Sheet'!J17-'Data Sheet'!J18)+'Data Sheet'!J19</f>
        <v>602.82</v>
      </c>
      <c r="K29" s="177">
        <f>('Data Sheet'!K17-'Data Sheet'!K18)+'Data Sheet'!K19</f>
        <v>600.16</v>
      </c>
    </row>
    <row r="30" spans="1:11">
      <c r="A30" t="s">
        <v>91</v>
      </c>
      <c r="B30" s="115">
        <f>B29/'Data Sheet'!B17</f>
        <v>0.431551216488455</v>
      </c>
      <c r="C30" s="115">
        <f>C29/'Data Sheet'!C17</f>
        <v>0.401801278326554</v>
      </c>
      <c r="D30" s="115">
        <f>D29/'Data Sheet'!D17</f>
        <v>0.395384920706515</v>
      </c>
      <c r="E30" s="115">
        <f>E29/'Data Sheet'!E17</f>
        <v>0.398373866950139</v>
      </c>
      <c r="F30" s="115">
        <f>F29/'Data Sheet'!F17</f>
        <v>0.408420043279385</v>
      </c>
      <c r="G30" s="115">
        <f>G29/'Data Sheet'!G17</f>
        <v>0.530374831603138</v>
      </c>
      <c r="H30" s="115">
        <f>H29/'Data Sheet'!H17</f>
        <v>0.530969584419232</v>
      </c>
      <c r="I30" s="115">
        <f>I29/'Data Sheet'!I17</f>
        <v>0.482567700909988</v>
      </c>
      <c r="J30" s="115">
        <f>J29/'Data Sheet'!J17</f>
        <v>0.534452798070785</v>
      </c>
      <c r="K30" s="115">
        <f>K29/'Data Sheet'!K17</f>
        <v>0.583319564182064</v>
      </c>
    </row>
    <row r="31" spans="1:11">
      <c r="A31" t="s">
        <v>92</v>
      </c>
      <c r="B31">
        <f>'Profit &amp; Loss'!B10+'Profit &amp; Loss'!B9</f>
        <v>69.62</v>
      </c>
      <c r="C31">
        <f>'Profit &amp; Loss'!C10+'Profit &amp; Loss'!C9</f>
        <v>90.79</v>
      </c>
      <c r="D31">
        <f>'Profit &amp; Loss'!D10+'Profit &amp; Loss'!D9</f>
        <v>114.15</v>
      </c>
      <c r="E31">
        <f>'Profit &amp; Loss'!E10+'Profit &amp; Loss'!E9</f>
        <v>146.74</v>
      </c>
      <c r="F31">
        <f>'Profit &amp; Loss'!F10+'Profit &amp; Loss'!F9</f>
        <v>183.26</v>
      </c>
      <c r="G31">
        <f>'Profit &amp; Loss'!G10+'Profit &amp; Loss'!G9</f>
        <v>194.42</v>
      </c>
      <c r="H31">
        <f>'Profit &amp; Loss'!H10+'Profit &amp; Loss'!H9</f>
        <v>208.71</v>
      </c>
      <c r="I31">
        <f>'Profit &amp; Loss'!I10+'Profit &amp; Loss'!I9</f>
        <v>205.55</v>
      </c>
      <c r="J31">
        <f>'Profit &amp; Loss'!J10+'Profit &amp; Loss'!J9</f>
        <v>427.42</v>
      </c>
      <c r="K31">
        <f>'Profit &amp; Loss'!K10+'Profit &amp; Loss'!K9</f>
        <v>426.71</v>
      </c>
    </row>
    <row r="32" spans="1:11">
      <c r="A32" t="s">
        <v>93</v>
      </c>
      <c r="B32" s="115">
        <f>B31/'Profit &amp; Loss'!B4</f>
        <v>0.215775608244228</v>
      </c>
      <c r="C32" s="115">
        <f>C31/'Profit &amp; Loss'!C4</f>
        <v>0.202900817950208</v>
      </c>
      <c r="D32" s="115">
        <f>D31/'Profit &amp; Loss'!D4</f>
        <v>0.205946560340628</v>
      </c>
      <c r="E32" s="115">
        <f>E31/'Profit &amp; Loss'!E4</f>
        <v>0.210793960898108</v>
      </c>
      <c r="F32" s="115">
        <f>F31/'Profit &amp; Loss'!F4</f>
        <v>0.23746647143431</v>
      </c>
      <c r="G32" s="115">
        <f>G31/'Profit &amp; Loss'!G4</f>
        <v>0.308138521277439</v>
      </c>
      <c r="H32" s="115">
        <f>H31/'Profit &amp; Loss'!H4</f>
        <v>0.325707330014513</v>
      </c>
      <c r="I32" s="115">
        <f>I31/'Profit &amp; Loss'!I4</f>
        <v>0.281698826883017</v>
      </c>
      <c r="J32" s="115">
        <f>J31/'Profit &amp; Loss'!J4</f>
        <v>0.378945315270587</v>
      </c>
      <c r="K32" s="115">
        <f>K31/'Profit &amp; Loss'!K4</f>
        <v>0.414736555638711</v>
      </c>
    </row>
    <row r="33" spans="1:11">
      <c r="A33" t="s">
        <v>94</v>
      </c>
      <c r="B33" s="117">
        <f>'Balance Sheet'!B20</f>
        <v>0.36168139745285</v>
      </c>
      <c r="C33" s="117">
        <f>'Balance Sheet'!C20</f>
        <v>0.293070259865255</v>
      </c>
      <c r="D33" s="117">
        <f>'Balance Sheet'!D20</f>
        <v>0.284612833692588</v>
      </c>
      <c r="E33" s="117">
        <f>'Balance Sheet'!E20</f>
        <v>0.277840487631825</v>
      </c>
      <c r="F33" s="117">
        <f>'Balance Sheet'!F20</f>
        <v>0.26676650155512</v>
      </c>
      <c r="G33" s="117">
        <f>'Balance Sheet'!G20</f>
        <v>0.243296719553238</v>
      </c>
      <c r="H33" s="117">
        <f>'Balance Sheet'!H20</f>
        <v>0.206291083954648</v>
      </c>
      <c r="I33" s="117">
        <f>'Balance Sheet'!I20</f>
        <v>0.180601754804373</v>
      </c>
      <c r="J33" s="117">
        <f>'Balance Sheet'!J20</f>
        <v>0.268710524313218</v>
      </c>
      <c r="K33" s="117">
        <f>'Balance Sheet'!K20</f>
        <v>0.260917141494908</v>
      </c>
    </row>
    <row r="34" spans="1:11">
      <c r="A34" t="s">
        <v>95</v>
      </c>
      <c r="B34" s="178">
        <f>'Profit &amp; Loss'!B12/'Profit &amp; Loss'!B4</f>
        <v>0.16107236944057</v>
      </c>
      <c r="C34" s="178">
        <f>'Profit &amp; Loss'!C12/'Profit &amp; Loss'!C4</f>
        <v>0.122491395878961</v>
      </c>
      <c r="D34" s="178">
        <f>'Profit &amp; Loss'!D12/'Profit &amp; Loss'!D4</f>
        <v>0.123874645930684</v>
      </c>
      <c r="E34" s="178">
        <f>'Profit &amp; Loss'!E12/'Profit &amp; Loss'!E4</f>
        <v>0.123755620358266</v>
      </c>
      <c r="F34" s="178">
        <f>'Profit &amp; Loss'!F12/'Profit &amp; Loss'!F4</f>
        <v>0.15003952159434</v>
      </c>
      <c r="G34" s="178">
        <f>'Profit &amp; Loss'!G12/'Profit &amp; Loss'!G4</f>
        <v>0.208526824629527</v>
      </c>
      <c r="H34" s="178">
        <f>'Profit &amp; Loss'!H12/'Profit &amp; Loss'!H4</f>
        <v>0.218917273989919</v>
      </c>
      <c r="I34" s="178">
        <f>'Profit &amp; Loss'!I12/'Profit &amp; Loss'!I4</f>
        <v>0.197182326499287</v>
      </c>
      <c r="J34" s="178">
        <f>'Profit &amp; Loss'!J12/'Profit &amp; Loss'!J4</f>
        <v>0.25045215972764</v>
      </c>
      <c r="K34" s="178">
        <f>'Profit &amp; Loss'!K12/'Profit &amp; Loss'!K4</f>
        <v>0.32445304071457</v>
      </c>
    </row>
    <row r="35" spans="1:11">
      <c r="A35" t="s">
        <v>14</v>
      </c>
      <c r="B35" s="171">
        <f>'Profit &amp; Loss'!B13</f>
        <v>5.2761421319797</v>
      </c>
      <c r="C35" s="171">
        <f>'Profit &amp; Loss'!C13</f>
        <v>5.56446700507614</v>
      </c>
      <c r="D35" s="171">
        <f>'Profit &amp; Loss'!D13</f>
        <v>6.97055837563452</v>
      </c>
      <c r="E35" s="171">
        <f>'Profit &amp; Loss'!E13</f>
        <v>8.74619289340102</v>
      </c>
      <c r="F35" s="171">
        <f>'Profit &amp; Loss'!F13</f>
        <v>11.2199612403101</v>
      </c>
      <c r="G35" s="171">
        <f>'Profit &amp; Loss'!G13</f>
        <v>12.7490310077519</v>
      </c>
      <c r="H35" s="171">
        <f>'Profit &amp; Loss'!H13</f>
        <v>13.593023255814</v>
      </c>
      <c r="I35" s="171">
        <f>'Profit &amp; Loss'!I13</f>
        <v>13.9961089494163</v>
      </c>
      <c r="J35" s="171">
        <f>'Profit &amp; Loss'!J13</f>
        <v>27.4795719844358</v>
      </c>
      <c r="K35" s="171">
        <f>'Profit &amp; Loss'!K13</f>
        <v>32.4727626459144</v>
      </c>
    </row>
    <row r="36" spans="1:11">
      <c r="A36" t="s">
        <v>96</v>
      </c>
      <c r="B36" s="115">
        <f>B37*B38*B39</f>
        <v>0.36168139745285</v>
      </c>
      <c r="C36" s="115">
        <f t="shared" ref="C36:K36" si="5">C37*C38*C39</f>
        <v>0.293070259865255</v>
      </c>
      <c r="D36" s="115">
        <f t="shared" si="5"/>
        <v>0.284612833692588</v>
      </c>
      <c r="E36" s="115">
        <f t="shared" si="5"/>
        <v>0.277840487631825</v>
      </c>
      <c r="F36" s="115">
        <f t="shared" si="5"/>
        <v>0.26676650155512</v>
      </c>
      <c r="G36" s="115">
        <f t="shared" si="5"/>
        <v>0.243296719553238</v>
      </c>
      <c r="H36" s="115">
        <f t="shared" si="5"/>
        <v>0.206291083954648</v>
      </c>
      <c r="I36" s="115">
        <f t="shared" si="5"/>
        <v>0.180601754804373</v>
      </c>
      <c r="J36" s="115">
        <f t="shared" si="5"/>
        <v>0.268710524313218</v>
      </c>
      <c r="K36" s="115">
        <f t="shared" si="5"/>
        <v>0.260917141494908</v>
      </c>
    </row>
    <row r="37" spans="1:11">
      <c r="A37" t="s">
        <v>97</v>
      </c>
      <c r="B37" s="117">
        <f>B34</f>
        <v>0.16107236944057</v>
      </c>
      <c r="C37" s="117">
        <f t="shared" ref="C37:K37" si="6">C34</f>
        <v>0.122491395878961</v>
      </c>
      <c r="D37" s="117">
        <f t="shared" si="6"/>
        <v>0.123874645930684</v>
      </c>
      <c r="E37" s="117">
        <f t="shared" si="6"/>
        <v>0.123755620358266</v>
      </c>
      <c r="F37" s="117">
        <f t="shared" si="6"/>
        <v>0.15003952159434</v>
      </c>
      <c r="G37" s="117">
        <f t="shared" si="6"/>
        <v>0.208526824629527</v>
      </c>
      <c r="H37" s="117">
        <f t="shared" si="6"/>
        <v>0.218917273989919</v>
      </c>
      <c r="I37" s="117">
        <f t="shared" si="6"/>
        <v>0.197182326499287</v>
      </c>
      <c r="J37" s="117">
        <f t="shared" si="6"/>
        <v>0.25045215972764</v>
      </c>
      <c r="K37" s="117">
        <f t="shared" si="6"/>
        <v>0.32445304071457</v>
      </c>
    </row>
    <row r="38" spans="1:11">
      <c r="A38" t="s">
        <v>98</v>
      </c>
      <c r="B38" s="171">
        <f>'Profit &amp; Loss'!B4/'Balance Sheet'!B14</f>
        <v>1.25150304487801</v>
      </c>
      <c r="C38" s="171">
        <f>'Profit &amp; Loss'!C4/'Balance Sheet'!C14</f>
        <v>1.1060411311054</v>
      </c>
      <c r="D38" s="171">
        <f>'Profit &amp; Loss'!D4/'Balance Sheet'!D14</f>
        <v>1.01583490643843</v>
      </c>
      <c r="E38" s="171">
        <f>'Profit &amp; Loss'!E4/'Balance Sheet'!E14</f>
        <v>1.26085381536288</v>
      </c>
      <c r="F38" s="171">
        <f>'Profit &amp; Loss'!F4/'Balance Sheet'!F14</f>
        <v>1.28795540646539</v>
      </c>
      <c r="G38" s="171">
        <f>'Profit &amp; Loss'!G4/'Balance Sheet'!G14</f>
        <v>0.918466868522185</v>
      </c>
      <c r="H38" s="171">
        <f>'Profit &amp; Loss'!H4/'Balance Sheet'!H14</f>
        <v>0.780375823560216</v>
      </c>
      <c r="I38" s="171">
        <f>'Profit &amp; Loss'!I4/'Balance Sheet'!I14</f>
        <v>0.7446094188479</v>
      </c>
      <c r="J38" s="171">
        <f>'Profit &amp; Loss'!J4/'Balance Sheet'!J14</f>
        <v>0.918815881653334</v>
      </c>
      <c r="K38" s="171">
        <f>'Profit &amp; Loss'!K4/'Balance Sheet'!K14</f>
        <v>0.713017505440131</v>
      </c>
    </row>
    <row r="39" spans="1:11">
      <c r="A39" t="s">
        <v>77</v>
      </c>
      <c r="B39" s="171">
        <f>'Balance Sheet'!B14/('Balance Sheet'!B4+'Balance Sheet'!B5)</f>
        <v>1.79420975711601</v>
      </c>
      <c r="C39" s="171">
        <f>'Balance Sheet'!C14/('Balance Sheet'!C4+'Balance Sheet'!C5)</f>
        <v>2.16319110255588</v>
      </c>
      <c r="D39" s="171">
        <f>'Balance Sheet'!D14/('Balance Sheet'!D4+'Balance Sheet'!D5)</f>
        <v>2.26177250870502</v>
      </c>
      <c r="E39" s="171">
        <f>'Balance Sheet'!E14/('Balance Sheet'!E4+'Balance Sheet'!E5)</f>
        <v>1.78059792949979</v>
      </c>
      <c r="F39" s="171">
        <f>'Balance Sheet'!F14/('Balance Sheet'!F4+'Balance Sheet'!F5)</f>
        <v>1.38046308029029</v>
      </c>
      <c r="G39" s="171">
        <f>'Balance Sheet'!G14/('Balance Sheet'!G4+'Balance Sheet'!G5)</f>
        <v>1.27031325122971</v>
      </c>
      <c r="H39" s="171">
        <f>'Balance Sheet'!H14/('Balance Sheet'!H4+'Balance Sheet'!H5)</f>
        <v>1.20752635990647</v>
      </c>
      <c r="I39" s="171">
        <f>'Balance Sheet'!I14/('Balance Sheet'!I4+'Balance Sheet'!I5)</f>
        <v>1.2300576148217</v>
      </c>
      <c r="J39" s="171">
        <f>'Balance Sheet'!J14/('Balance Sheet'!J4+'Balance Sheet'!J5)</f>
        <v>1.16770032722015</v>
      </c>
      <c r="K39" s="171">
        <f>'Balance Sheet'!K14/('Balance Sheet'!K4+'Balance Sheet'!K5)</f>
        <v>1.12784799243401</v>
      </c>
    </row>
    <row r="41" spans="1:11">
      <c r="A41" t="s">
        <v>99</v>
      </c>
      <c r="B41" s="179">
        <f>'Profit &amp; Loss'!B12/'Balance Sheet'!B14</f>
        <v>0.20158256080059</v>
      </c>
      <c r="C41" s="179">
        <f>'Profit &amp; Loss'!C12/'Balance Sheet'!C14</f>
        <v>0.135480522048645</v>
      </c>
      <c r="D41" s="179">
        <f>'Profit &amp; Loss'!D12/'Balance Sheet'!D14</f>
        <v>0.125836189359089</v>
      </c>
      <c r="E41" s="179">
        <f>'Profit &amp; Loss'!E12/'Balance Sheet'!E14</f>
        <v>0.15603774610132</v>
      </c>
      <c r="F41" s="179">
        <f>'Profit &amp; Loss'!F12/'Balance Sheet'!F14</f>
        <v>0.193244213020912</v>
      </c>
      <c r="G41" s="179">
        <f>'Profit &amp; Loss'!G12/'Balance Sheet'!G14</f>
        <v>0.191524979620356</v>
      </c>
      <c r="H41" s="179">
        <f>'Profit &amp; Loss'!H12/'Balance Sheet'!H14</f>
        <v>0.17083774798144</v>
      </c>
      <c r="I41" s="179">
        <f>'Profit &amp; Loss'!I12/'Balance Sheet'!I14</f>
        <v>0.146823817541711</v>
      </c>
      <c r="J41" s="179">
        <f>'Profit &amp; Loss'!J12/'Balance Sheet'!J14</f>
        <v>0.230119421952133</v>
      </c>
      <c r="K41" s="179">
        <f>'Profit &amp; Loss'!K12/'Balance Sheet'!K14</f>
        <v>0.231340697722768</v>
      </c>
    </row>
    <row r="42" spans="1:11">
      <c r="A42" t="str">
        <f>A37</f>
        <v>Net Profit Margin</v>
      </c>
      <c r="B42" s="115">
        <f t="shared" ref="B42:K42" si="7">B37</f>
        <v>0.16107236944057</v>
      </c>
      <c r="C42" s="115">
        <f t="shared" si="7"/>
        <v>0.122491395878961</v>
      </c>
      <c r="D42" s="115">
        <f t="shared" si="7"/>
        <v>0.123874645930684</v>
      </c>
      <c r="E42" s="115">
        <f t="shared" si="7"/>
        <v>0.123755620358266</v>
      </c>
      <c r="F42" s="115">
        <f t="shared" si="7"/>
        <v>0.15003952159434</v>
      </c>
      <c r="G42" s="115">
        <f t="shared" si="7"/>
        <v>0.208526824629527</v>
      </c>
      <c r="H42" s="115">
        <f t="shared" si="7"/>
        <v>0.218917273989919</v>
      </c>
      <c r="I42" s="115">
        <f t="shared" si="7"/>
        <v>0.197182326499287</v>
      </c>
      <c r="J42" s="115">
        <f t="shared" si="7"/>
        <v>0.25045215972764</v>
      </c>
      <c r="K42" s="115">
        <f t="shared" si="7"/>
        <v>0.32445304071457</v>
      </c>
    </row>
    <row r="43" spans="1:11">
      <c r="A43" t="str">
        <f>A38</f>
        <v>Sales/Total assets</v>
      </c>
      <c r="B43" s="171">
        <f>B38</f>
        <v>1.25150304487801</v>
      </c>
      <c r="C43" s="171">
        <f t="shared" ref="C43:K43" si="8">C38</f>
        <v>1.1060411311054</v>
      </c>
      <c r="D43" s="171">
        <f t="shared" si="8"/>
        <v>1.01583490643843</v>
      </c>
      <c r="E43" s="171">
        <f t="shared" si="8"/>
        <v>1.26085381536288</v>
      </c>
      <c r="F43" s="171">
        <f t="shared" si="8"/>
        <v>1.28795540646539</v>
      </c>
      <c r="G43" s="171">
        <f t="shared" si="8"/>
        <v>0.918466868522185</v>
      </c>
      <c r="H43" s="171">
        <f t="shared" si="8"/>
        <v>0.780375823560216</v>
      </c>
      <c r="I43" s="171">
        <f t="shared" si="8"/>
        <v>0.7446094188479</v>
      </c>
      <c r="J43" s="171">
        <f t="shared" si="8"/>
        <v>0.918815881653334</v>
      </c>
      <c r="K43" s="171">
        <f t="shared" si="8"/>
        <v>0.713017505440131</v>
      </c>
    </row>
    <row r="45" spans="1:11">
      <c r="A45" s="170" t="s">
        <v>100</v>
      </c>
      <c r="B45" s="180">
        <f>B26</f>
        <v>40633</v>
      </c>
      <c r="C45" s="180">
        <f t="shared" ref="C45:K45" si="9">C26</f>
        <v>40999</v>
      </c>
      <c r="D45" s="180">
        <f t="shared" si="9"/>
        <v>41364</v>
      </c>
      <c r="E45" s="180">
        <f t="shared" si="9"/>
        <v>41729</v>
      </c>
      <c r="F45" s="180">
        <f t="shared" si="9"/>
        <v>42094</v>
      </c>
      <c r="G45" s="180">
        <f t="shared" si="9"/>
        <v>42460</v>
      </c>
      <c r="H45" s="180">
        <f t="shared" si="9"/>
        <v>42825</v>
      </c>
      <c r="I45" s="180">
        <f t="shared" si="9"/>
        <v>43190</v>
      </c>
      <c r="J45" s="180">
        <f t="shared" si="9"/>
        <v>43555</v>
      </c>
      <c r="K45" s="180">
        <f t="shared" si="9"/>
        <v>43921</v>
      </c>
    </row>
    <row r="46" spans="1:11">
      <c r="A46" s="181" t="s">
        <v>101</v>
      </c>
      <c r="B46" s="182">
        <f>'Balance Sheet'!B21</f>
        <v>0</v>
      </c>
      <c r="C46" s="182">
        <f>'Balance Sheet'!C21</f>
        <v>0.312874767385761</v>
      </c>
      <c r="D46" s="182">
        <f>'Balance Sheet'!D21</f>
        <v>0.272366113503776</v>
      </c>
      <c r="E46" s="182">
        <f>'Balance Sheet'!E21</f>
        <v>0.308877545650687</v>
      </c>
      <c r="F46" s="182">
        <f>'Balance Sheet'!F21</f>
        <v>0.377466529351184</v>
      </c>
      <c r="G46" s="182">
        <f>'Balance Sheet'!G21</f>
        <v>0.359305119201626</v>
      </c>
      <c r="H46" s="182">
        <f>'Balance Sheet'!H21</f>
        <v>0.329929338117896</v>
      </c>
      <c r="I46" s="182">
        <f>'Balance Sheet'!I21</f>
        <v>0.275130504617856</v>
      </c>
      <c r="J46" s="182">
        <f>'Balance Sheet'!J21</f>
        <v>0.457909932880873</v>
      </c>
      <c r="K46" s="182">
        <f>'Balance Sheet'!K21</f>
        <v>0.365534196820176</v>
      </c>
    </row>
    <row r="47" spans="1:12">
      <c r="A47" t="s">
        <v>93</v>
      </c>
      <c r="B47" s="117">
        <f>B32</f>
        <v>0.215775608244228</v>
      </c>
      <c r="C47" s="117">
        <f t="shared" ref="C47:K47" si="10">C32</f>
        <v>0.202900817950208</v>
      </c>
      <c r="D47" s="117">
        <f t="shared" si="10"/>
        <v>0.205946560340628</v>
      </c>
      <c r="E47" s="117">
        <f t="shared" si="10"/>
        <v>0.210793960898108</v>
      </c>
      <c r="F47" s="117">
        <f t="shared" si="10"/>
        <v>0.23746647143431</v>
      </c>
      <c r="G47" s="117">
        <f t="shared" si="10"/>
        <v>0.308138521277439</v>
      </c>
      <c r="H47" s="117">
        <f t="shared" si="10"/>
        <v>0.325707330014513</v>
      </c>
      <c r="I47" s="117">
        <f t="shared" si="10"/>
        <v>0.281698826883017</v>
      </c>
      <c r="J47" s="117">
        <f t="shared" si="10"/>
        <v>0.378945315270587</v>
      </c>
      <c r="K47" s="117">
        <f t="shared" si="10"/>
        <v>0.414736555638711</v>
      </c>
      <c r="L47" s="117"/>
    </row>
    <row r="48" spans="1:12">
      <c r="A48" t="s">
        <v>102</v>
      </c>
      <c r="B48" s="171">
        <f>B22</f>
        <v>1.46227056424201</v>
      </c>
      <c r="C48" s="171">
        <f t="shared" ref="C48:K48" si="11">C22</f>
        <v>1.24394651246838</v>
      </c>
      <c r="D48" s="171">
        <f t="shared" si="11"/>
        <v>1.15834900731452</v>
      </c>
      <c r="E48" s="171">
        <f t="shared" si="11"/>
        <v>1.47594614650694</v>
      </c>
      <c r="F48" s="171">
        <f t="shared" si="11"/>
        <v>1.5454691098428</v>
      </c>
      <c r="G48" s="171">
        <f t="shared" si="11"/>
        <v>1.08252552114609</v>
      </c>
      <c r="H48" s="171">
        <f t="shared" si="11"/>
        <v>0.939120366977855</v>
      </c>
      <c r="I48" s="171">
        <f t="shared" si="11"/>
        <v>0.898764580536293</v>
      </c>
      <c r="J48" s="171">
        <f t="shared" si="11"/>
        <v>1.06915902024721</v>
      </c>
      <c r="K48" s="171">
        <f t="shared" si="11"/>
        <v>0.803955429142964</v>
      </c>
      <c r="L48" s="171"/>
    </row>
    <row r="49" spans="1:11">
      <c r="A49" t="s">
        <v>103</v>
      </c>
      <c r="B49" s="172">
        <f>B31*(1-'Profit &amp; Loss'!B20)</f>
        <v>57.8904224</v>
      </c>
      <c r="C49" s="172">
        <f>C31*(1-'Profit &amp; Loss'!C20)</f>
        <v>60.9828419117647</v>
      </c>
      <c r="D49" s="172">
        <f>D31*(1-'Profit &amp; Loss'!D20)</f>
        <v>76.3929490303089</v>
      </c>
      <c r="E49" s="172">
        <f>E31*(1-'Profit &amp; Loss'!E20)</f>
        <v>98.3211633875107</v>
      </c>
      <c r="F49" s="172">
        <f>F31*(1-'Profit &amp; Loss'!F20)</f>
        <v>122.314167146974</v>
      </c>
      <c r="G49" s="172">
        <f>G31*(1-'Profit &amp; Loss'!G20)</f>
        <v>137.113204331046</v>
      </c>
      <c r="H49" s="172">
        <f>H31*(1-'Profit &amp; Loss'!H20)</f>
        <v>142.142900077685</v>
      </c>
      <c r="I49" s="172">
        <f>I31*(1-'Profit &amp; Loss'!I20)</f>
        <v>145.415153899105</v>
      </c>
      <c r="J49" s="172">
        <f>J31*(1-'Profit &amp; Loss'!J20)</f>
        <v>283.938189728154</v>
      </c>
      <c r="K49" s="172">
        <f>K31*(1-'Profit &amp; Loss'!K20)</f>
        <v>335.433629170886</v>
      </c>
    </row>
    <row r="50" spans="1:11">
      <c r="A50" t="s">
        <v>104</v>
      </c>
      <c r="B50">
        <f>'Data Sheet'!B57+'Data Sheet'!B58+'Data Sheet'!B59</f>
        <v>220.65</v>
      </c>
      <c r="C50">
        <f>'Data Sheet'!C57+'Data Sheet'!C58+'Data Sheet'!C59</f>
        <v>359.71</v>
      </c>
      <c r="D50">
        <f>'Data Sheet'!D57+'Data Sheet'!D58+'Data Sheet'!D59</f>
        <v>478.5</v>
      </c>
      <c r="E50">
        <f>'Data Sheet'!E57+'Data Sheet'!E58+'Data Sheet'!E59</f>
        <v>471.65</v>
      </c>
      <c r="F50">
        <f>'Data Sheet'!F57+'Data Sheet'!F58+'Data Sheet'!F59</f>
        <v>499.35</v>
      </c>
      <c r="G50">
        <f>'Data Sheet'!G57+'Data Sheet'!G58+'Data Sheet'!G59</f>
        <v>582.85</v>
      </c>
      <c r="H50">
        <f>'Data Sheet'!H57+'Data Sheet'!H58+'Data Sheet'!H59</f>
        <v>682.33</v>
      </c>
      <c r="I50">
        <f>'Data Sheet'!I57+'Data Sheet'!I58+'Data Sheet'!I59</f>
        <v>811.87</v>
      </c>
      <c r="J50">
        <f>'Data Sheet'!J57+'Data Sheet'!J58+'Data Sheet'!J59</f>
        <v>1054.96</v>
      </c>
      <c r="K50">
        <f>'Data Sheet'!K57+'Data Sheet'!K58+'Data Sheet'!K59</f>
        <v>1279.76</v>
      </c>
    </row>
    <row r="51" spans="1:11">
      <c r="A51" s="181" t="s">
        <v>105</v>
      </c>
      <c r="B51" s="183">
        <f>B49/B50</f>
        <v>0.262363119873102</v>
      </c>
      <c r="C51" s="183">
        <f t="shared" ref="C51:K51" si="12">C49/C50</f>
        <v>0.169533351621486</v>
      </c>
      <c r="D51" s="183">
        <f t="shared" si="12"/>
        <v>0.159650886165745</v>
      </c>
      <c r="E51" s="183">
        <f t="shared" si="12"/>
        <v>0.208462129518734</v>
      </c>
      <c r="F51" s="183">
        <f t="shared" si="12"/>
        <v>0.244946765088563</v>
      </c>
      <c r="G51" s="183">
        <f t="shared" si="12"/>
        <v>0.235246125643041</v>
      </c>
      <c r="H51" s="183">
        <f t="shared" si="12"/>
        <v>0.208319874661359</v>
      </c>
      <c r="I51" s="183">
        <f t="shared" si="12"/>
        <v>0.179111377313</v>
      </c>
      <c r="J51" s="183">
        <f t="shared" si="12"/>
        <v>0.269145929445812</v>
      </c>
      <c r="K51" s="183">
        <f t="shared" si="12"/>
        <v>0.262106667789965</v>
      </c>
    </row>
    <row r="52" spans="1:11">
      <c r="A52" s="127"/>
      <c r="B52" s="184"/>
      <c r="C52" s="184"/>
      <c r="D52" s="184"/>
      <c r="E52" s="184"/>
      <c r="F52" s="184"/>
      <c r="G52" s="184"/>
      <c r="H52" s="184"/>
      <c r="I52" s="184"/>
      <c r="J52" s="184"/>
      <c r="K52" s="184"/>
    </row>
    <row r="53" spans="1:2">
      <c r="A53" s="185" t="s">
        <v>106</v>
      </c>
      <c r="B53" s="186">
        <f>('Profit &amp; Loss'!L12/'Profit &amp; Loss'!B12)^(1/10)-1</f>
        <v>0.180479605855636</v>
      </c>
    </row>
    <row r="54" spans="1:2">
      <c r="A54" s="185" t="s">
        <v>107</v>
      </c>
      <c r="B54" s="186">
        <f>('Profit &amp; Loss'!L12/'Profit &amp; Loss'!G12)^(1/5)-1</f>
        <v>0.1572738651503</v>
      </c>
    </row>
    <row r="55" spans="1:2">
      <c r="A55" s="185" t="s">
        <v>108</v>
      </c>
      <c r="B55" s="186">
        <f>('SOIC Sheet'!L6/'SOIC Sheet'!B6)^(1/10)-1</f>
        <v>0.478466088113104</v>
      </c>
    </row>
    <row r="56" spans="1:2">
      <c r="A56" s="185" t="s">
        <v>109</v>
      </c>
      <c r="B56" s="186">
        <f>('SOIC Sheet'!L6/'SOIC Sheet'!G6)^(1/5)-1</f>
        <v>0.54107010191514</v>
      </c>
    </row>
    <row r="58" spans="1:2">
      <c r="A58" s="187" t="s">
        <v>110</v>
      </c>
      <c r="B58" s="185"/>
    </row>
    <row r="59" spans="1:2">
      <c r="A59" s="188" t="s">
        <v>111</v>
      </c>
      <c r="B59" s="186">
        <f>SUM('Cash Flow'!B8:K8)/SUM('Profit &amp; Loss'!B12:K12)</f>
        <v>0.360431950731507</v>
      </c>
    </row>
    <row r="60" spans="1:2">
      <c r="A60" s="189" t="s">
        <v>112</v>
      </c>
      <c r="B60" s="186">
        <f>SUM('Cash Flow'!G8:K8)/SUM('Profit &amp; Loss'!G12:K12)</f>
        <v>0.37110964691291</v>
      </c>
    </row>
    <row r="61" spans="1:2">
      <c r="A61" s="189" t="s">
        <v>113</v>
      </c>
      <c r="B61" s="186">
        <f>SUM('Cash Flow'!I8:K8)/SUM('Profit &amp; Loss'!J12:L12)</f>
        <v>0.3170605563176</v>
      </c>
    </row>
    <row r="62" spans="1:2">
      <c r="A62" s="189" t="s">
        <v>114</v>
      </c>
      <c r="B62" s="186">
        <f>SUM('Cash Flow'!B8:K8)/SUM('Profit &amp; Loss'!B8:K8)</f>
        <v>2.8151842615683</v>
      </c>
    </row>
    <row r="64" spans="1:12">
      <c r="A64" s="190" t="s">
        <v>115</v>
      </c>
      <c r="B64" s="180">
        <f t="shared" ref="B64:K64" si="13">B45</f>
        <v>40633</v>
      </c>
      <c r="C64" s="180">
        <f t="shared" si="13"/>
        <v>40999</v>
      </c>
      <c r="D64" s="180">
        <f t="shared" si="13"/>
        <v>41364</v>
      </c>
      <c r="E64" s="180">
        <f t="shared" si="13"/>
        <v>41729</v>
      </c>
      <c r="F64" s="180">
        <f t="shared" si="13"/>
        <v>42094</v>
      </c>
      <c r="G64" s="180">
        <f t="shared" si="13"/>
        <v>42460</v>
      </c>
      <c r="H64" s="180">
        <f t="shared" si="13"/>
        <v>42825</v>
      </c>
      <c r="I64" s="180">
        <f t="shared" si="13"/>
        <v>43190</v>
      </c>
      <c r="J64" s="180">
        <f t="shared" si="13"/>
        <v>43555</v>
      </c>
      <c r="K64" s="180">
        <f t="shared" si="13"/>
        <v>43921</v>
      </c>
      <c r="L64" s="180" t="str">
        <f>'Profit &amp; Loss'!L3</f>
        <v>Trailing</v>
      </c>
    </row>
    <row r="65" spans="1:12">
      <c r="A65" s="194" t="s">
        <v>116</v>
      </c>
      <c r="B65" s="172">
        <f>'Profit &amp; Loss'!B14</f>
        <v>6.72840100057726</v>
      </c>
      <c r="C65" s="172">
        <f>'Profit &amp; Loss'!C14</f>
        <v>7.49937055281883</v>
      </c>
      <c r="D65" s="172">
        <f>'Profit &amp; Loss'!D14</f>
        <v>7.44273230410719</v>
      </c>
      <c r="E65" s="172">
        <f>'Profit &amp; Loss'!E14</f>
        <v>16.0675623911782</v>
      </c>
      <c r="F65" s="172">
        <f>'Profit &amp; Loss'!F14</f>
        <v>23.3467829691683</v>
      </c>
      <c r="G65" s="172">
        <f>'Profit &amp; Loss'!G14</f>
        <v>15.2584145321882</v>
      </c>
      <c r="H65" s="172">
        <f>'Profit &amp; Loss'!H14</f>
        <v>27.8819503849444</v>
      </c>
      <c r="I65" s="172">
        <f>'Profit &amp; Loss'!I14</f>
        <v>32.2432471504031</v>
      </c>
      <c r="J65" s="172">
        <f>'Profit &amp; Loss'!J14</f>
        <v>29.9196799886722</v>
      </c>
      <c r="K65" s="172">
        <f>'Profit &amp; Loss'!K14</f>
        <v>23.8522976454377</v>
      </c>
      <c r="L65" s="172">
        <f>'Profit &amp; Loss'!L14</f>
        <v>63.8911427629893</v>
      </c>
    </row>
    <row r="66" spans="1:11">
      <c r="A66" s="194" t="s">
        <v>117</v>
      </c>
      <c r="B66" s="171">
        <f>'Profit &amp; Loss'!B15/'Profit &amp; Loss'!B21</f>
        <v>2.43353747651194</v>
      </c>
      <c r="C66" s="171">
        <f>'Profit &amp; Loss'!C15/'Profit &amp; Loss'!C21</f>
        <v>2.19784247674046</v>
      </c>
      <c r="D66" s="171">
        <f>'Profit &amp; Loss'!D15/'Profit &amp; Loss'!D21</f>
        <v>2.11829713148732</v>
      </c>
      <c r="E66" s="171">
        <f>'Profit &amp; Loss'!E15/'Profit &amp; Loss'!E21</f>
        <v>4.46421936981972</v>
      </c>
      <c r="F66" s="171">
        <f>'Profit &amp; Loss'!F15/'Profit &amp; Loss'!F21</f>
        <v>6.2281396152517</v>
      </c>
      <c r="G66" s="171">
        <f>'Profit &amp; Loss'!G15/'Profit &amp; Loss'!G21</f>
        <v>3.71232220126484</v>
      </c>
      <c r="H66" s="171">
        <f>'Profit &amp; Loss'!H15/'Profit &amp; Loss'!H21</f>
        <v>5.75179776767989</v>
      </c>
      <c r="I66" s="171">
        <f>'Profit &amp; Loss'!I15/'Profit &amp; Loss'!I21</f>
        <v>5.82318701595391</v>
      </c>
      <c r="J66" s="171">
        <f>'Profit &amp; Loss'!J15/'Profit &amp; Loss'!J21</f>
        <v>8.0397328970398</v>
      </c>
      <c r="K66" s="171">
        <f>'Profit &amp; Loss'!K15/'Profit &amp; Loss'!K21</f>
        <v>6.22347331973331</v>
      </c>
    </row>
    <row r="67" spans="1:12">
      <c r="A67" s="194" t="s">
        <v>118</v>
      </c>
      <c r="B67" s="192">
        <f>'SOIC Sheet'!B6/'Cash Flow'!B4</f>
        <v>11.1681571382945</v>
      </c>
      <c r="C67" s="192">
        <f>'SOIC Sheet'!C6/'Cash Flow'!C4</f>
        <v>20.8121772151899</v>
      </c>
      <c r="D67" s="192">
        <f>'SOIC Sheet'!D6/'Cash Flow'!D4</f>
        <v>5.5485124864278</v>
      </c>
      <c r="E67" s="192">
        <f>'SOIC Sheet'!E6/'Cash Flow'!E4</f>
        <v>10.5295945534763</v>
      </c>
      <c r="F67" s="192">
        <f>'SOIC Sheet'!F6/'Cash Flow'!F4</f>
        <v>24.0167377398721</v>
      </c>
      <c r="G67" s="192">
        <f>'SOIC Sheet'!G6/'Cash Flow'!G4</f>
        <v>11.9860863335124</v>
      </c>
      <c r="H67" s="192">
        <f>'SOIC Sheet'!H6/'Cash Flow'!H4</f>
        <v>29.9875795445833</v>
      </c>
      <c r="I67" s="192">
        <f>'SOIC Sheet'!I6/'Cash Flow'!I4</f>
        <v>33.5368929371792</v>
      </c>
      <c r="J67" s="192">
        <f>'SOIC Sheet'!J6/'Cash Flow'!J4</f>
        <v>42.1841205829507</v>
      </c>
      <c r="K67" s="192">
        <f>'SOIC Sheet'!K6/'Cash Flow'!K4</f>
        <v>19.1435433847042</v>
      </c>
      <c r="L67" t="e">
        <f>'SOIC Sheet'!L6/'Cash Flow'!L4</f>
        <v>#DIV/0!</v>
      </c>
    </row>
    <row r="68" spans="1:11">
      <c r="A68" s="194" t="s">
        <v>119</v>
      </c>
      <c r="B68" s="171">
        <f>'SOIC Sheet'!B6/'Profit &amp; Loss'!B4</f>
        <v>1.08375949170928</v>
      </c>
      <c r="C68" s="171">
        <f>'SOIC Sheet'!C6/'Profit &amp; Loss'!C4</f>
        <v>0.918608367228356</v>
      </c>
      <c r="D68" s="171">
        <f>'SOIC Sheet'!D6/'Profit &amp; Loss'!D4</f>
        <v>0.92196582892814</v>
      </c>
      <c r="E68" s="171">
        <f>'SOIC Sheet'!E6/'Profit &amp; Loss'!E4</f>
        <v>1.98845115136541</v>
      </c>
      <c r="F68" s="171">
        <f>'SOIC Sheet'!F6/'Profit &amp; Loss'!F4</f>
        <v>3.5029401474609</v>
      </c>
      <c r="G68" s="171">
        <f>'SOIC Sheet'!G6/'Profit &amp; Loss'!G4</f>
        <v>3.18178873127823</v>
      </c>
      <c r="H68" s="171">
        <f>'SOIC Sheet'!H6/'Profit &amp; Loss'!H4</f>
        <v>6.10384057179419</v>
      </c>
      <c r="I68" s="171">
        <f>'SOIC Sheet'!I6/'Profit &amp; Loss'!I4</f>
        <v>6.357798487008</v>
      </c>
      <c r="J68" s="171">
        <f>'SOIC Sheet'!J6/'Profit &amp; Loss'!J4</f>
        <v>7.4934484715228</v>
      </c>
      <c r="K68" s="171">
        <f>'SOIC Sheet'!K6/'Profit &amp; Loss'!K4</f>
        <v>7.73895049909123</v>
      </c>
    </row>
    <row r="69" spans="1:11">
      <c r="A69" s="194" t="s">
        <v>120</v>
      </c>
      <c r="B69" s="171">
        <f>'SOIC Sheet'!B6+('Data Sheet'!B59-'Data Sheet'!B69)</f>
        <v>424.695</v>
      </c>
      <c r="C69" s="171">
        <f>'SOIC Sheet'!C6+('Data Sheet'!C59-'Data Sheet'!C69)</f>
        <v>551.7805</v>
      </c>
      <c r="D69" s="171">
        <f>'SOIC Sheet'!D6+('Data Sheet'!D59-'Data Sheet'!D69)</f>
        <v>714.508</v>
      </c>
      <c r="E69" s="171">
        <f>'SOIC Sheet'!E6+('Data Sheet'!E59-'Data Sheet'!E69)</f>
        <v>1503.1005</v>
      </c>
      <c r="F69" s="171">
        <f>'SOIC Sheet'!F6+('Data Sheet'!F59-'Data Sheet'!F69)</f>
        <v>2741.484</v>
      </c>
      <c r="G69" s="171">
        <f>'SOIC Sheet'!G6+('Data Sheet'!G59-'Data Sheet'!G69)</f>
        <v>1977.3896</v>
      </c>
      <c r="H69" s="171">
        <f>'SOIC Sheet'!H6+('Data Sheet'!H59-'Data Sheet'!H69)</f>
        <v>3908.85</v>
      </c>
      <c r="I69" s="171">
        <f>'SOIC Sheet'!I6+('Data Sheet'!I59-'Data Sheet'!I69)</f>
        <v>4649.1184</v>
      </c>
      <c r="J69" s="171">
        <f>'SOIC Sheet'!J6+('Data Sheet'!J59-'Data Sheet'!J69)</f>
        <v>8451.8904</v>
      </c>
      <c r="K69" s="171">
        <f>'SOIC Sheet'!K6+('Data Sheet'!K59-'Data Sheet'!K69)</f>
        <v>7909.024</v>
      </c>
    </row>
    <row r="70" spans="1:11">
      <c r="A70" s="195" t="s">
        <v>121</v>
      </c>
      <c r="B70" s="172">
        <f>B69/B27</f>
        <v>6.09056360246666</v>
      </c>
      <c r="C70" s="172">
        <f t="shared" ref="C70:K70" si="14">C69/C27</f>
        <v>5.80699326457588</v>
      </c>
      <c r="D70" s="172">
        <f t="shared" si="14"/>
        <v>5.93741066976899</v>
      </c>
      <c r="E70" s="172">
        <f t="shared" si="14"/>
        <v>9.83125449669697</v>
      </c>
      <c r="F70" s="172">
        <f t="shared" si="14"/>
        <v>14.272615576843</v>
      </c>
      <c r="G70" s="172">
        <f t="shared" si="14"/>
        <v>9.56277009381952</v>
      </c>
      <c r="H70" s="172">
        <f t="shared" si="14"/>
        <v>17.9436742563349</v>
      </c>
      <c r="I70" s="172">
        <f t="shared" si="14"/>
        <v>23.4460557768924</v>
      </c>
      <c r="J70" s="172">
        <f t="shared" si="14"/>
        <v>19.8863330274582</v>
      </c>
      <c r="K70" s="172">
        <f t="shared" si="14"/>
        <v>19.063401465484</v>
      </c>
    </row>
    <row r="71" spans="1:2">
      <c r="A71" s="196" t="s">
        <v>122</v>
      </c>
      <c r="B71" s="197">
        <f>MAX(B65:L65)</f>
        <v>63.8911427629893</v>
      </c>
    </row>
    <row r="72" spans="1:2">
      <c r="A72" s="196" t="s">
        <v>123</v>
      </c>
      <c r="B72" s="197">
        <f>MAX(B70:K70)</f>
        <v>23.4460557768924</v>
      </c>
    </row>
    <row r="73" spans="1:2">
      <c r="A73" s="196" t="s">
        <v>124</v>
      </c>
      <c r="B73" s="198">
        <f>MAX(B66:K66)</f>
        <v>8.0397328970398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zoomScale="115" zoomScaleNormal="115" workbookViewId="0">
      <selection activeCell="A2" sqref="A2"/>
    </sheetView>
  </sheetViews>
  <sheetFormatPr defaultColWidth="11.5" defaultRowHeight="14.4"/>
  <cols>
    <col min="1" max="1" width="19.3333333333333" customWidth="1"/>
    <col min="2" max="2" width="17.5" customWidth="1"/>
    <col min="3" max="4" width="12.6666666666667" customWidth="1"/>
    <col min="8" max="8" width="20.1666666666667" customWidth="1"/>
  </cols>
  <sheetData>
    <row r="1" ht="28.8" spans="2:11">
      <c r="B1" s="140" t="s">
        <v>125</v>
      </c>
      <c r="C1" s="140"/>
      <c r="D1" s="140"/>
      <c r="E1" s="140"/>
      <c r="F1" s="140"/>
      <c r="G1" s="141"/>
      <c r="H1" s="141"/>
      <c r="I1" s="141"/>
      <c r="J1" s="141"/>
      <c r="K1" s="141"/>
    </row>
    <row r="2" spans="1:12">
      <c r="A2" s="6" t="str">
        <f>'Data Sheet'!A56</f>
        <v>Report Date</v>
      </c>
      <c r="B2" s="6">
        <f>'Data Sheet'!B56</f>
        <v>40633</v>
      </c>
      <c r="C2" s="6">
        <f>'Data Sheet'!C56</f>
        <v>40999</v>
      </c>
      <c r="D2" s="6">
        <f>'Data Sheet'!D56</f>
        <v>41364</v>
      </c>
      <c r="E2" s="6">
        <f>'Data Sheet'!E56</f>
        <v>41729</v>
      </c>
      <c r="F2" s="6">
        <f>'Data Sheet'!F56</f>
        <v>42094</v>
      </c>
      <c r="G2" s="6">
        <f>'Data Sheet'!G56</f>
        <v>42460</v>
      </c>
      <c r="H2" s="6">
        <f>'Data Sheet'!H56</f>
        <v>42825</v>
      </c>
      <c r="I2" s="6">
        <f>'Data Sheet'!I56</f>
        <v>43190</v>
      </c>
      <c r="J2" s="6">
        <f>'Data Sheet'!J56</f>
        <v>43555</v>
      </c>
      <c r="K2" s="6">
        <f>'Data Sheet'!K56</f>
        <v>43921</v>
      </c>
      <c r="L2" s="6" t="s">
        <v>126</v>
      </c>
    </row>
    <row r="3" spans="1:11">
      <c r="A3" t="s">
        <v>13</v>
      </c>
      <c r="B3">
        <f>'Profit &amp; Loss'!B12</f>
        <v>51.97</v>
      </c>
      <c r="C3">
        <f>'Profit &amp; Loss'!C12</f>
        <v>54.81</v>
      </c>
      <c r="D3">
        <f>'Profit &amp; Loss'!D12</f>
        <v>68.66</v>
      </c>
      <c r="E3">
        <f>'Profit &amp; Loss'!E12</f>
        <v>86.15</v>
      </c>
      <c r="F3">
        <f>'Profit &amp; Loss'!F12</f>
        <v>115.79</v>
      </c>
      <c r="G3">
        <f>'Profit &amp; Loss'!G12</f>
        <v>131.57</v>
      </c>
      <c r="H3">
        <f>'Profit &amp; Loss'!H12</f>
        <v>140.28</v>
      </c>
      <c r="I3">
        <f>'Profit &amp; Loss'!I12</f>
        <v>143.88</v>
      </c>
      <c r="J3">
        <f>'Profit &amp; Loss'!J12</f>
        <v>282.49</v>
      </c>
      <c r="K3">
        <f>'Profit &amp; Loss'!K12</f>
        <v>333.82</v>
      </c>
    </row>
    <row r="4" spans="1:11">
      <c r="A4" t="s">
        <v>19</v>
      </c>
      <c r="B4">
        <f>'Profit &amp; Loss'!B18*'Profit &amp; Loss'!B12</f>
        <v>6.42</v>
      </c>
      <c r="C4">
        <f>'Profit &amp; Loss'!C18*'Profit &amp; Loss'!C12</f>
        <v>9.87</v>
      </c>
      <c r="D4">
        <f>'Profit &amp; Loss'!D18*'Profit &amp; Loss'!D12</f>
        <v>12.34</v>
      </c>
      <c r="E4">
        <f>'Profit &amp; Loss'!E18*'Profit &amp; Loss'!E12</f>
        <v>14.8</v>
      </c>
      <c r="F4">
        <f>'Profit &amp; Loss'!F18*'Profit &amp; Loss'!F12</f>
        <v>18.06</v>
      </c>
      <c r="G4">
        <f>'Profit &amp; Loss'!G18*'Profit &amp; Loss'!G12</f>
        <v>20.64</v>
      </c>
      <c r="H4">
        <f>'Profit &amp; Loss'!H18*'Profit &amp; Loss'!H12</f>
        <v>2.58</v>
      </c>
      <c r="I4">
        <f>'Profit &amp; Loss'!I18*'Profit &amp; Loss'!I12</f>
        <v>23.13</v>
      </c>
      <c r="J4">
        <f>'Profit &amp; Loss'!J18*'Profit &amp; Loss'!J12</f>
        <v>35.98</v>
      </c>
      <c r="K4">
        <f>'Profit &amp; Loss'!K18*'Profit &amp; Loss'!K12</f>
        <v>56.54</v>
      </c>
    </row>
    <row r="5" spans="1:11">
      <c r="A5" t="s">
        <v>127</v>
      </c>
      <c r="B5">
        <f>B3-B4</f>
        <v>45.55</v>
      </c>
      <c r="C5">
        <f t="shared" ref="C5:K5" si="0">C3-C4</f>
        <v>44.94</v>
      </c>
      <c r="D5">
        <f t="shared" si="0"/>
        <v>56.32</v>
      </c>
      <c r="E5">
        <f t="shared" si="0"/>
        <v>71.35</v>
      </c>
      <c r="F5">
        <f t="shared" si="0"/>
        <v>97.73</v>
      </c>
      <c r="G5">
        <f t="shared" si="0"/>
        <v>110.93</v>
      </c>
      <c r="H5">
        <f t="shared" si="0"/>
        <v>137.7</v>
      </c>
      <c r="I5">
        <f t="shared" si="0"/>
        <v>120.75</v>
      </c>
      <c r="J5">
        <f t="shared" si="0"/>
        <v>246.51</v>
      </c>
      <c r="K5">
        <f t="shared" si="0"/>
        <v>277.28</v>
      </c>
    </row>
    <row r="6" ht="15.15" spans="1:12">
      <c r="A6" t="s">
        <v>128</v>
      </c>
      <c r="B6">
        <f>'Profit &amp; Loss'!B12*'Profit &amp; Loss'!B14</f>
        <v>349.675</v>
      </c>
      <c r="C6">
        <f>'Profit &amp; Loss'!C12*'Profit &amp; Loss'!C14</f>
        <v>411.0405</v>
      </c>
      <c r="D6">
        <f>'Profit &amp; Loss'!D12*'Profit &amp; Loss'!D14</f>
        <v>511.018</v>
      </c>
      <c r="E6">
        <f>'Profit &amp; Loss'!E12*'Profit &amp; Loss'!E14</f>
        <v>1384.2205</v>
      </c>
      <c r="F6">
        <f>'Profit &amp; Loss'!F12*'Profit &amp; Loss'!F14</f>
        <v>2703.324</v>
      </c>
      <c r="G6">
        <f>'Profit &amp; Loss'!G12*'Profit &amp; Loss'!G14</f>
        <v>2007.5496</v>
      </c>
      <c r="H6">
        <f>'Profit &amp; Loss'!H12*'Profit &amp; Loss'!H14</f>
        <v>3911.28</v>
      </c>
      <c r="I6">
        <f>'Profit &amp; Loss'!I12*'Profit &amp; Loss'!I14</f>
        <v>4639.1584</v>
      </c>
      <c r="J6">
        <f>'Profit &amp; Loss'!J12*'Profit &amp; Loss'!J14</f>
        <v>8452.0104</v>
      </c>
      <c r="K6">
        <f>'Profit &amp; Loss'!K12*'Profit &amp; Loss'!K14</f>
        <v>7962.374</v>
      </c>
      <c r="L6">
        <f>'Data Sheet'!B9</f>
        <v>17449.31</v>
      </c>
    </row>
    <row r="7" ht="29.55" spans="1:8">
      <c r="A7" s="142" t="s">
        <v>129</v>
      </c>
      <c r="B7" s="142" t="s">
        <v>130</v>
      </c>
      <c r="C7" s="142" t="s">
        <v>131</v>
      </c>
      <c r="D7" s="143" t="s">
        <v>132</v>
      </c>
      <c r="G7" s="144" t="s">
        <v>133</v>
      </c>
      <c r="H7" s="144" t="s">
        <v>134</v>
      </c>
    </row>
    <row r="8" ht="28" customHeight="1" spans="1:12">
      <c r="A8" s="145" t="s">
        <v>135</v>
      </c>
      <c r="B8" s="146">
        <f>SUM(B5:K5)</f>
        <v>1209.06</v>
      </c>
      <c r="C8" s="142">
        <f>L6-B6</f>
        <v>17099.635</v>
      </c>
      <c r="D8" s="147">
        <f>C8/B8</f>
        <v>14.1429168114072</v>
      </c>
      <c r="E8" s="148"/>
      <c r="F8" s="148"/>
      <c r="G8" s="149" t="s">
        <v>136</v>
      </c>
      <c r="H8" s="150">
        <f>Ratios!B55/Ratios!B53</f>
        <v>2.65108118917227</v>
      </c>
      <c r="I8" s="148"/>
      <c r="J8" s="148"/>
      <c r="K8" s="148"/>
      <c r="L8" s="148"/>
    </row>
    <row r="9" ht="30" customHeight="1" spans="1:8">
      <c r="A9" s="145" t="s">
        <v>137</v>
      </c>
      <c r="B9" s="142">
        <f>SUM(G5:K5)</f>
        <v>893.17</v>
      </c>
      <c r="C9" s="142">
        <f>L6-G6</f>
        <v>15441.7604</v>
      </c>
      <c r="D9" s="151">
        <f>C9/B9</f>
        <v>17.2887136827256</v>
      </c>
      <c r="G9" s="152" t="s">
        <v>138</v>
      </c>
      <c r="H9" s="153">
        <f>Ratios!B56/Ratios!B54</f>
        <v>3.44030523697031</v>
      </c>
    </row>
    <row r="11" spans="1:11">
      <c r="A11" s="154" t="s">
        <v>105</v>
      </c>
      <c r="B11" s="155">
        <f>Ratios!B51</f>
        <v>0.262363119873102</v>
      </c>
      <c r="C11" s="155">
        <f>Ratios!C51</f>
        <v>0.169533351621486</v>
      </c>
      <c r="D11" s="155">
        <f>Ratios!D51</f>
        <v>0.159650886165745</v>
      </c>
      <c r="E11" s="155">
        <f>Ratios!E51</f>
        <v>0.208462129518734</v>
      </c>
      <c r="F11" s="155">
        <f>Ratios!F51</f>
        <v>0.244946765088563</v>
      </c>
      <c r="G11" s="155">
        <f>Ratios!G51</f>
        <v>0.235246125643041</v>
      </c>
      <c r="H11" s="155">
        <f>Ratios!H51</f>
        <v>0.208319874661359</v>
      </c>
      <c r="I11" s="155">
        <f>Ratios!I51</f>
        <v>0.179111377313</v>
      </c>
      <c r="J11" s="155">
        <f>Ratios!J51</f>
        <v>0.269145929445812</v>
      </c>
      <c r="K11" s="155">
        <f>Ratios!K51</f>
        <v>0.262106667789965</v>
      </c>
    </row>
    <row r="12" spans="1:11">
      <c r="A12" s="154" t="s">
        <v>139</v>
      </c>
      <c r="B12" s="155">
        <v>0.1</v>
      </c>
      <c r="C12" s="155">
        <v>0.1</v>
      </c>
      <c r="D12" s="155">
        <v>0.1</v>
      </c>
      <c r="E12" s="155">
        <v>0.1</v>
      </c>
      <c r="F12" s="155">
        <v>0.1</v>
      </c>
      <c r="G12" s="155">
        <v>0.1</v>
      </c>
      <c r="H12" s="155">
        <v>0.1</v>
      </c>
      <c r="I12" s="155">
        <v>0.1</v>
      </c>
      <c r="J12" s="155">
        <v>0.1</v>
      </c>
      <c r="K12" s="155">
        <v>0.1</v>
      </c>
    </row>
    <row r="13" ht="16" customHeight="1" spans="1:11">
      <c r="A13" s="154" t="s">
        <v>140</v>
      </c>
      <c r="B13" s="156">
        <f>Ratios!B50*0.1</f>
        <v>22.065</v>
      </c>
      <c r="C13" s="156">
        <f>Ratios!C50*0.1</f>
        <v>35.971</v>
      </c>
      <c r="D13" s="156">
        <f>Ratios!D50*0.1</f>
        <v>47.85</v>
      </c>
      <c r="E13" s="156">
        <f>Ratios!E50*0.1</f>
        <v>47.165</v>
      </c>
      <c r="F13" s="156">
        <f>Ratios!F50*0.1</f>
        <v>49.935</v>
      </c>
      <c r="G13" s="156">
        <f>Ratios!G50*0.1</f>
        <v>58.285</v>
      </c>
      <c r="H13" s="156">
        <f>Ratios!H50*0.1</f>
        <v>68.233</v>
      </c>
      <c r="I13" s="156">
        <f>Ratios!I50*0.1</f>
        <v>81.187</v>
      </c>
      <c r="J13" s="156">
        <f>Ratios!J50*0.1</f>
        <v>105.496</v>
      </c>
      <c r="K13" s="156">
        <f>Ratios!K50*0.1</f>
        <v>127.976</v>
      </c>
    </row>
    <row r="14" ht="17" customHeight="1" spans="1:11">
      <c r="A14" s="157" t="s">
        <v>141</v>
      </c>
      <c r="B14" s="158">
        <f>Ratios!B49-'SOIC Sheet'!B13</f>
        <v>35.8254224</v>
      </c>
      <c r="C14" s="158">
        <f>Ratios!C49-'SOIC Sheet'!C13</f>
        <v>25.0118419117647</v>
      </c>
      <c r="D14" s="158">
        <f>Ratios!D49-'SOIC Sheet'!D13</f>
        <v>28.5429490303089</v>
      </c>
      <c r="E14" s="158">
        <f>Ratios!E49-'SOIC Sheet'!E13</f>
        <v>51.1561633875107</v>
      </c>
      <c r="F14" s="158">
        <f>Ratios!F49-'SOIC Sheet'!F13</f>
        <v>72.379167146974</v>
      </c>
      <c r="G14" s="158">
        <f>Ratios!G49-'SOIC Sheet'!G13</f>
        <v>78.8282043310463</v>
      </c>
      <c r="H14" s="158">
        <f>Ratios!H49-'SOIC Sheet'!H13</f>
        <v>73.909900077685</v>
      </c>
      <c r="I14" s="158">
        <f>Ratios!I49-'SOIC Sheet'!I13</f>
        <v>64.2281538991051</v>
      </c>
      <c r="J14" s="158">
        <f>Ratios!J49-'SOIC Sheet'!J13</f>
        <v>178.442189728154</v>
      </c>
      <c r="K14" s="158">
        <f>Ratios!K49-'SOIC Sheet'!K13</f>
        <v>207.457629170886</v>
      </c>
    </row>
    <row r="15" spans="1:11">
      <c r="A15" s="159" t="s">
        <v>142</v>
      </c>
      <c r="B15" s="159"/>
      <c r="C15" s="159"/>
      <c r="D15" s="159"/>
      <c r="E15" s="159"/>
      <c r="F15" s="159"/>
      <c r="G15" s="159"/>
      <c r="H15" s="159"/>
      <c r="I15" s="159"/>
      <c r="J15" s="159"/>
      <c r="K15" s="159"/>
    </row>
    <row r="16" spans="1:11">
      <c r="A16" s="138"/>
      <c r="B16" s="138"/>
      <c r="C16" s="138"/>
      <c r="D16" s="138"/>
      <c r="E16" s="138"/>
      <c r="F16" s="138"/>
      <c r="G16" s="138"/>
      <c r="H16" s="138"/>
      <c r="I16" s="138"/>
      <c r="J16" s="138"/>
      <c r="K16" s="138"/>
    </row>
    <row r="17" spans="1:11">
      <c r="A17" s="138" t="s">
        <v>143</v>
      </c>
      <c r="B17" s="138"/>
      <c r="C17" s="138"/>
      <c r="D17" s="160">
        <f>(D24-C24)/(C25-B25)</f>
        <v>0.110816245638891</v>
      </c>
      <c r="E17" s="160">
        <f t="shared" ref="E17:K17" si="1">(E24-D24)/(D25-C25)</f>
        <v>0.184596467355853</v>
      </c>
      <c r="F17" s="160">
        <f t="shared" si="1"/>
        <v>-3.50262828605303</v>
      </c>
      <c r="G17" s="160">
        <f t="shared" si="1"/>
        <v>0.534261270183115</v>
      </c>
      <c r="H17" s="160">
        <f t="shared" si="1"/>
        <v>0.0602358772052532</v>
      </c>
      <c r="I17" s="160">
        <f t="shared" si="1"/>
        <v>0.0328935848554496</v>
      </c>
      <c r="J17" s="160">
        <f t="shared" si="1"/>
        <v>1.06934565253241</v>
      </c>
      <c r="K17" s="160">
        <f t="shared" si="1"/>
        <v>0.2118369305308</v>
      </c>
    </row>
    <row r="18" spans="1:11">
      <c r="A18" s="138" t="s">
        <v>144</v>
      </c>
      <c r="B18" s="160"/>
      <c r="C18" s="138"/>
      <c r="D18" s="138"/>
      <c r="E18" s="138"/>
      <c r="F18" s="138"/>
      <c r="G18" s="160">
        <f>(G24-D24)/(F25-C25)</f>
        <v>0.434834254516882</v>
      </c>
      <c r="H18" s="160">
        <f t="shared" ref="H18:K18" si="2">(H24-E24)/(G25-D25)</f>
        <v>0.419949560998316</v>
      </c>
      <c r="I18" s="160">
        <f t="shared" si="2"/>
        <v>0.109649642833354</v>
      </c>
      <c r="J18" s="160">
        <f t="shared" si="2"/>
        <v>0.469809885438075</v>
      </c>
      <c r="K18" s="160">
        <f t="shared" si="2"/>
        <v>0.409418841145497</v>
      </c>
    </row>
    <row r="19" spans="1:11">
      <c r="A19" s="138" t="s">
        <v>145</v>
      </c>
      <c r="B19" s="138"/>
      <c r="C19" s="138"/>
      <c r="D19" s="138"/>
      <c r="E19" s="138"/>
      <c r="F19" s="138"/>
      <c r="G19" s="138"/>
      <c r="H19" s="160">
        <f>(H24-C24)/(G25-B25)</f>
        <v>0.224075257222309</v>
      </c>
      <c r="I19" s="160">
        <f t="shared" ref="I19:K19" si="3">(I24-D24)/(H25-C25)</f>
        <v>0.21394273407971</v>
      </c>
      <c r="J19" s="160">
        <f t="shared" si="3"/>
        <v>0.556789832140393</v>
      </c>
      <c r="K19" s="160">
        <f t="shared" si="3"/>
        <v>0.365362263674395</v>
      </c>
    </row>
    <row r="20" spans="1:1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69"/>
    </row>
    <row r="21" ht="25.8" spans="1:14">
      <c r="A21" s="112"/>
      <c r="B21" s="112"/>
      <c r="C21" s="112"/>
      <c r="D21" s="161" t="s">
        <v>146</v>
      </c>
      <c r="E21" s="112"/>
      <c r="F21" s="112"/>
      <c r="G21" s="161"/>
      <c r="H21" s="112"/>
      <c r="I21" s="112"/>
      <c r="J21" s="112"/>
      <c r="K21" s="112"/>
      <c r="L21" s="112"/>
      <c r="M21" s="132"/>
      <c r="N21" s="132"/>
    </row>
    <row r="22" spans="1:14">
      <c r="A22" s="112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32"/>
      <c r="N22" s="132"/>
    </row>
    <row r="23" spans="1:11">
      <c r="A23" s="162" t="str">
        <f>'Data Sheet'!A16</f>
        <v>Report Date</v>
      </c>
      <c r="B23" s="162">
        <f>'Data Sheet'!B16</f>
        <v>40633</v>
      </c>
      <c r="C23" s="162">
        <f>'Data Sheet'!C16</f>
        <v>40999</v>
      </c>
      <c r="D23" s="162">
        <f>'Data Sheet'!D16</f>
        <v>41364</v>
      </c>
      <c r="E23" s="162">
        <f>'Data Sheet'!E16</f>
        <v>41729</v>
      </c>
      <c r="F23" s="162">
        <f>'Data Sheet'!F16</f>
        <v>42094</v>
      </c>
      <c r="G23" s="162">
        <f>'Data Sheet'!G16</f>
        <v>42460</v>
      </c>
      <c r="H23" s="162">
        <f>'Data Sheet'!H16</f>
        <v>42825</v>
      </c>
      <c r="I23" s="162">
        <f>'Data Sheet'!I16</f>
        <v>43190</v>
      </c>
      <c r="J23" s="162">
        <f>'Data Sheet'!J16</f>
        <v>43555</v>
      </c>
      <c r="K23" s="162">
        <f>'Data Sheet'!K16</f>
        <v>43921</v>
      </c>
    </row>
    <row r="24" spans="1:11">
      <c r="A24" s="122" t="s">
        <v>103</v>
      </c>
      <c r="B24" s="163">
        <f>Ratios!B49</f>
        <v>57.8904224</v>
      </c>
      <c r="C24" s="163">
        <f>Ratios!C49</f>
        <v>60.9828419117647</v>
      </c>
      <c r="D24" s="163">
        <f>Ratios!D49</f>
        <v>76.3929490303089</v>
      </c>
      <c r="E24" s="163">
        <f>Ratios!E49</f>
        <v>98.3211633875107</v>
      </c>
      <c r="F24" s="163">
        <f>Ratios!F49</f>
        <v>122.314167146974</v>
      </c>
      <c r="G24" s="163">
        <f>Ratios!G49</f>
        <v>137.113204331046</v>
      </c>
      <c r="H24" s="163">
        <f>Ratios!H49</f>
        <v>142.142900077685</v>
      </c>
      <c r="I24" s="163">
        <f>Ratios!I49</f>
        <v>145.415153899105</v>
      </c>
      <c r="J24" s="163">
        <f>Ratios!J49</f>
        <v>283.938189728154</v>
      </c>
      <c r="K24" s="163">
        <f>Ratios!K49</f>
        <v>335.433629170886</v>
      </c>
    </row>
    <row r="25" spans="1:11">
      <c r="A25" s="122" t="s">
        <v>147</v>
      </c>
      <c r="B25" s="122">
        <f>Ratios!B50</f>
        <v>220.65</v>
      </c>
      <c r="C25" s="122">
        <f>Ratios!C50</f>
        <v>359.71</v>
      </c>
      <c r="D25" s="122">
        <f>Ratios!D50</f>
        <v>478.5</v>
      </c>
      <c r="E25" s="122">
        <f>Ratios!E50</f>
        <v>471.65</v>
      </c>
      <c r="F25" s="122">
        <f>Ratios!F50</f>
        <v>499.35</v>
      </c>
      <c r="G25" s="122">
        <f>Ratios!G50</f>
        <v>582.85</v>
      </c>
      <c r="H25" s="122">
        <f>Ratios!H50</f>
        <v>682.33</v>
      </c>
      <c r="I25" s="122">
        <f>Ratios!I50</f>
        <v>811.87</v>
      </c>
      <c r="J25" s="122">
        <f>Ratios!J50</f>
        <v>1054.96</v>
      </c>
      <c r="K25" s="122">
        <f>Ratios!K50</f>
        <v>1279.76</v>
      </c>
    </row>
    <row r="26" spans="1:11">
      <c r="A26" s="122"/>
      <c r="B26" s="122"/>
      <c r="C26" s="122"/>
      <c r="D26" s="122"/>
      <c r="E26" s="122"/>
      <c r="F26" s="122"/>
      <c r="G26" s="122"/>
      <c r="H26" s="122"/>
      <c r="I26" s="122"/>
      <c r="J26" s="122"/>
      <c r="K26" s="122"/>
    </row>
    <row r="27" spans="1:11">
      <c r="A27" s="122" t="s">
        <v>148</v>
      </c>
      <c r="B27" s="163">
        <f>SUM(B24:K24)</f>
        <v>1459.94462108343</v>
      </c>
      <c r="C27" s="122"/>
      <c r="D27" s="122"/>
      <c r="E27" s="122"/>
      <c r="F27" s="122"/>
      <c r="G27" s="122"/>
      <c r="H27" s="122"/>
      <c r="I27" s="122"/>
      <c r="J27" s="122"/>
      <c r="K27" s="122"/>
    </row>
    <row r="28" ht="28.8" spans="1:11">
      <c r="A28" s="164" t="s">
        <v>149</v>
      </c>
      <c r="B28" s="122">
        <f>K25-B25</f>
        <v>1059.11</v>
      </c>
      <c r="C28" s="122"/>
      <c r="D28" s="122"/>
      <c r="E28" s="122"/>
      <c r="F28" s="122"/>
      <c r="G28" s="122"/>
      <c r="H28" s="122"/>
      <c r="I28" s="122"/>
      <c r="J28" s="122"/>
      <c r="K28" s="122"/>
    </row>
    <row r="29" spans="1:11">
      <c r="A29" s="122" t="s">
        <v>150</v>
      </c>
      <c r="B29" s="165">
        <f>B28/B27</f>
        <v>0.725445324915152</v>
      </c>
      <c r="C29" s="122"/>
      <c r="D29" s="122"/>
      <c r="E29" s="122"/>
      <c r="F29" s="122"/>
      <c r="G29" s="122"/>
      <c r="H29" s="122"/>
      <c r="I29" s="122"/>
      <c r="J29" s="122"/>
      <c r="K29" s="122"/>
    </row>
    <row r="30" spans="1:11">
      <c r="A30" s="122"/>
      <c r="B30" s="122"/>
      <c r="C30" s="122"/>
      <c r="D30" s="122"/>
      <c r="E30" s="122"/>
      <c r="F30" s="122"/>
      <c r="G30" s="122"/>
      <c r="H30" s="122"/>
      <c r="I30" s="122"/>
      <c r="J30" s="122"/>
      <c r="K30" s="122"/>
    </row>
    <row r="31" ht="57.6" spans="1:11">
      <c r="A31" s="164" t="s">
        <v>151</v>
      </c>
      <c r="B31" s="166">
        <f>(K24-B24)/B28</f>
        <v>0.262053239768188</v>
      </c>
      <c r="C31" s="122"/>
      <c r="D31" s="167" t="s">
        <v>152</v>
      </c>
      <c r="E31" s="168">
        <f>Ratios!B55</f>
        <v>0.478466088113104</v>
      </c>
      <c r="F31" s="122"/>
      <c r="G31" s="122"/>
      <c r="H31" s="122"/>
      <c r="I31" s="122"/>
      <c r="J31" s="122"/>
      <c r="K31" s="122"/>
    </row>
    <row r="32" ht="28.8" spans="4:5">
      <c r="D32" s="167" t="s">
        <v>153</v>
      </c>
      <c r="E32" s="168">
        <f>Ratios!B56</f>
        <v>0.54107010191514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zoomScale="85" zoomScaleNormal="85" workbookViewId="0">
      <selection activeCell="D3" sqref="D3"/>
    </sheetView>
  </sheetViews>
  <sheetFormatPr defaultColWidth="11.5" defaultRowHeight="14.4"/>
  <cols>
    <col min="1" max="1" width="23.6666666666667" customWidth="1"/>
    <col min="12" max="12" width="11.8333333333333" customWidth="1"/>
    <col min="13" max="13" width="20.5" customWidth="1"/>
    <col min="15" max="15" width="13.5" customWidth="1"/>
  </cols>
  <sheetData>
    <row r="1" spans="1:12">
      <c r="A1" s="6" t="s">
        <v>154</v>
      </c>
      <c r="B1" s="7">
        <f>'Data Sheet'!B16</f>
        <v>40633</v>
      </c>
      <c r="C1" s="7">
        <f>'Data Sheet'!C16</f>
        <v>40999</v>
      </c>
      <c r="D1" s="7">
        <f>'Data Sheet'!D16</f>
        <v>41364</v>
      </c>
      <c r="E1" s="7">
        <f>'Data Sheet'!E16</f>
        <v>41729</v>
      </c>
      <c r="F1" s="7">
        <f>'Data Sheet'!F16</f>
        <v>42094</v>
      </c>
      <c r="G1" s="7">
        <f>'Data Sheet'!G16</f>
        <v>42460</v>
      </c>
      <c r="H1" s="7">
        <f>'Data Sheet'!H16</f>
        <v>42825</v>
      </c>
      <c r="I1" s="7">
        <f>'Data Sheet'!I16</f>
        <v>43190</v>
      </c>
      <c r="J1" s="7">
        <f>'Data Sheet'!J16</f>
        <v>43555</v>
      </c>
      <c r="K1" s="7">
        <f>'Data Sheet'!K16</f>
        <v>43921</v>
      </c>
      <c r="L1" s="7"/>
    </row>
    <row r="2" ht="28.8" spans="1:17">
      <c r="A2" s="126" t="s">
        <v>155</v>
      </c>
      <c r="B2" s="117">
        <f>Ratios!B30</f>
        <v>0.431551216488455</v>
      </c>
      <c r="C2" s="117">
        <f>Ratios!C30</f>
        <v>0.401801278326554</v>
      </c>
      <c r="D2" s="117">
        <f>Ratios!D30</f>
        <v>0.395384920706515</v>
      </c>
      <c r="E2" s="117">
        <f>Ratios!E30</f>
        <v>0.398373866950139</v>
      </c>
      <c r="F2" s="117">
        <f>Ratios!F30</f>
        <v>0.408420043279385</v>
      </c>
      <c r="G2" s="117">
        <f>Ratios!G30</f>
        <v>0.530374831603138</v>
      </c>
      <c r="H2" s="117">
        <f>Ratios!H30</f>
        <v>0.530969584419232</v>
      </c>
      <c r="I2" s="117">
        <f>Ratios!I30</f>
        <v>0.482567700909988</v>
      </c>
      <c r="J2" s="117">
        <f>Ratios!J30</f>
        <v>0.534452798070785</v>
      </c>
      <c r="K2" s="117">
        <f>Ratios!K30</f>
        <v>0.583319564182064</v>
      </c>
      <c r="L2" s="116"/>
      <c r="M2" s="131" t="s">
        <v>156</v>
      </c>
      <c r="N2" s="132"/>
      <c r="O2" s="132"/>
      <c r="P2" s="132"/>
      <c r="Q2" s="132"/>
    </row>
    <row r="3" ht="23.4" spans="1:16">
      <c r="A3" s="101" t="s">
        <v>157</v>
      </c>
      <c r="B3" s="117">
        <f>Ratios!B28</f>
        <v>0.216116534944987</v>
      </c>
      <c r="C3" s="117">
        <f>Ratios!C28</f>
        <v>0.212354176909668</v>
      </c>
      <c r="D3" s="117">
        <f>Ratios!D28</f>
        <v>0.217114402727912</v>
      </c>
      <c r="E3" s="117">
        <f>Ratios!E28</f>
        <v>0.219628517661931</v>
      </c>
      <c r="F3" s="117">
        <f>Ratios!F28</f>
        <v>0.248895339043448</v>
      </c>
      <c r="G3" s="117">
        <f>Ratios!G28</f>
        <v>0.327728029162374</v>
      </c>
      <c r="H3" s="117">
        <f>Ratios!H28</f>
        <v>0.339955367593127</v>
      </c>
      <c r="I3" s="117">
        <f>Ratios!I28</f>
        <v>0.271749259949567</v>
      </c>
      <c r="J3" s="117">
        <f>Ratios!J28</f>
        <v>0.376808638910561</v>
      </c>
      <c r="K3" s="117">
        <f>Ratios!K28</f>
        <v>0.40323850437859</v>
      </c>
      <c r="M3" s="133" t="s">
        <v>158</v>
      </c>
      <c r="N3" s="133"/>
      <c r="O3" s="134" t="s">
        <v>159</v>
      </c>
      <c r="P3" s="135"/>
    </row>
    <row r="4" spans="1:16">
      <c r="A4" s="101" t="s">
        <v>97</v>
      </c>
      <c r="B4" s="115">
        <f>'Profit &amp; Loss'!B12/Annual[[#This Row],[Column2]]</f>
        <v>0.16107236944057</v>
      </c>
      <c r="C4" s="115">
        <f>'Profit &amp; Loss'!C12/Annual[[#This Row],[Column3]]</f>
        <v>0.122491395878961</v>
      </c>
      <c r="D4" s="115">
        <f>'Profit &amp; Loss'!D12/Annual[[#This Row],[Column4]]</f>
        <v>0.123874645930684</v>
      </c>
      <c r="E4" s="115">
        <f>'Profit &amp; Loss'!E12/Annual[[#This Row],[Column5]]</f>
        <v>0.123755620358266</v>
      </c>
      <c r="F4" s="115">
        <f>'Profit &amp; Loss'!F12/Annual[[#This Row],[Column6]]</f>
        <v>0.15003952159434</v>
      </c>
      <c r="G4" s="115">
        <f>'Profit &amp; Loss'!G12/Annual[[#This Row],[Column7]]</f>
        <v>0.208526824629527</v>
      </c>
      <c r="H4" s="115">
        <f>'Profit &amp; Loss'!H12/Annual[[#This Row],[Column8]]</f>
        <v>0.218917273989919</v>
      </c>
      <c r="I4" s="115">
        <f>'Profit &amp; Loss'!I12/Annual[[#This Row],[Column9]]</f>
        <v>0.197182326499287</v>
      </c>
      <c r="J4" s="115">
        <f>'Profit &amp; Loss'!J12/Annual[[#This Row],[Column10]]</f>
        <v>0.25045215972764</v>
      </c>
      <c r="K4" s="115">
        <f>'Profit &amp; Loss'!K12/Annual[[#This Row],[Column11]]</f>
        <v>0.32445304071457</v>
      </c>
      <c r="M4" s="136" t="s">
        <v>160</v>
      </c>
      <c r="N4" s="136"/>
      <c r="O4" s="137"/>
      <c r="P4" s="138"/>
    </row>
    <row r="5" ht="19.8" spans="1:16">
      <c r="A5" s="101" t="s">
        <v>105</v>
      </c>
      <c r="B5" s="117">
        <f>Ratios!B51</f>
        <v>0.262363119873102</v>
      </c>
      <c r="C5" s="117">
        <f>Ratios!C51</f>
        <v>0.169533351621486</v>
      </c>
      <c r="D5" s="117">
        <f>Ratios!D51</f>
        <v>0.159650886165745</v>
      </c>
      <c r="E5" s="117">
        <f>Ratios!E51</f>
        <v>0.208462129518734</v>
      </c>
      <c r="F5" s="117">
        <f>Ratios!F51</f>
        <v>0.244946765088563</v>
      </c>
      <c r="G5" s="117">
        <f>Ratios!G51</f>
        <v>0.235246125643041</v>
      </c>
      <c r="H5" s="117">
        <f>Ratios!H51</f>
        <v>0.208319874661359</v>
      </c>
      <c r="I5" s="117">
        <f>Ratios!I51</f>
        <v>0.179111377313</v>
      </c>
      <c r="J5" s="117">
        <f>Ratios!J51</f>
        <v>0.269145929445812</v>
      </c>
      <c r="K5" s="117">
        <f>Ratios!K51</f>
        <v>0.262106667789965</v>
      </c>
      <c r="L5" s="117"/>
      <c r="M5" s="136" t="s">
        <v>161</v>
      </c>
      <c r="N5" s="136"/>
      <c r="O5" s="82" t="s">
        <v>162</v>
      </c>
      <c r="P5" s="138"/>
    </row>
    <row r="6" spans="1:16">
      <c r="A6" s="101" t="s">
        <v>101</v>
      </c>
      <c r="B6" s="115">
        <f>Ratios!B46</f>
        <v>0</v>
      </c>
      <c r="C6" s="115">
        <f>Ratios!C46</f>
        <v>0.312874767385761</v>
      </c>
      <c r="D6" s="115">
        <f>Ratios!D46</f>
        <v>0.272366113503776</v>
      </c>
      <c r="E6" s="115">
        <f>Ratios!E46</f>
        <v>0.308877545650687</v>
      </c>
      <c r="F6" s="115">
        <f>Ratios!F46</f>
        <v>0.377466529351184</v>
      </c>
      <c r="G6" s="115">
        <f>Ratios!G46</f>
        <v>0.359305119201626</v>
      </c>
      <c r="H6" s="115">
        <f>Ratios!H46</f>
        <v>0.329929338117896</v>
      </c>
      <c r="I6" s="115">
        <f>Ratios!I46</f>
        <v>0.275130504617856</v>
      </c>
      <c r="J6" s="115">
        <f>Ratios!J46</f>
        <v>0.457909932880873</v>
      </c>
      <c r="K6" s="115">
        <f>Ratios!K46</f>
        <v>0.365534196820176</v>
      </c>
      <c r="L6" s="115"/>
      <c r="M6" s="136" t="s">
        <v>163</v>
      </c>
      <c r="N6" s="136"/>
      <c r="O6" s="137"/>
      <c r="P6" s="138"/>
    </row>
    <row r="7" spans="1:17">
      <c r="A7" s="101" t="s">
        <v>94</v>
      </c>
      <c r="B7" s="117">
        <f>'Balance Sheet'!B20</f>
        <v>0.36168139745285</v>
      </c>
      <c r="C7" s="117">
        <f>'Balance Sheet'!C20</f>
        <v>0.293070259865255</v>
      </c>
      <c r="D7" s="117">
        <f>'Balance Sheet'!D20</f>
        <v>0.284612833692588</v>
      </c>
      <c r="E7" s="117">
        <f>'Balance Sheet'!E20</f>
        <v>0.277840487631825</v>
      </c>
      <c r="F7" s="117">
        <f>'Balance Sheet'!F20</f>
        <v>0.26676650155512</v>
      </c>
      <c r="G7" s="117">
        <f>'Balance Sheet'!G20</f>
        <v>0.243296719553238</v>
      </c>
      <c r="H7" s="117">
        <f>'Balance Sheet'!H20</f>
        <v>0.206291083954648</v>
      </c>
      <c r="I7" s="117">
        <f>'Balance Sheet'!I20</f>
        <v>0.180601754804373</v>
      </c>
      <c r="J7" s="117">
        <f>'Balance Sheet'!J20</f>
        <v>0.268710524313218</v>
      </c>
      <c r="K7" s="117">
        <f>'Balance Sheet'!K20</f>
        <v>0.260917141494908</v>
      </c>
      <c r="M7" s="139"/>
      <c r="O7" s="122"/>
      <c r="Q7" s="122"/>
    </row>
    <row r="8" spans="1:15">
      <c r="A8" s="127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O8" s="122"/>
    </row>
    <row r="9" spans="1:12">
      <c r="A9" s="127"/>
      <c r="L9" s="116"/>
    </row>
    <row r="10" spans="1:12">
      <c r="A10" s="127"/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5"/>
    </row>
    <row r="11" spans="1:1">
      <c r="A11" s="127"/>
    </row>
    <row r="12" spans="1:1">
      <c r="A12" s="127"/>
    </row>
    <row r="13" spans="1:1">
      <c r="A13" s="127"/>
    </row>
    <row r="14" spans="1:1">
      <c r="A14" s="127"/>
    </row>
    <row r="27" spans="1:2">
      <c r="A27" s="128" t="s">
        <v>164</v>
      </c>
      <c r="B27" s="129">
        <f>AVERAGE(B2:K2)</f>
        <v>0.469721580493626</v>
      </c>
    </row>
    <row r="28" spans="1:2">
      <c r="A28" s="128" t="s">
        <v>165</v>
      </c>
      <c r="B28" s="129">
        <f>AVERAGE(B3:K3)</f>
        <v>0.283358877128217</v>
      </c>
    </row>
    <row r="29" spans="1:2">
      <c r="A29" s="130" t="s">
        <v>166</v>
      </c>
      <c r="B29" s="129">
        <f>AVERAGE(B4:K4)</f>
        <v>0.188076517876377</v>
      </c>
    </row>
    <row r="30" spans="1:2">
      <c r="A30" s="130" t="s">
        <v>167</v>
      </c>
      <c r="B30" s="129">
        <f>AVERAGE(B7:K7)</f>
        <v>0.264378870431802</v>
      </c>
    </row>
    <row r="31" spans="1:2">
      <c r="A31" s="130" t="s">
        <v>168</v>
      </c>
      <c r="B31" s="129">
        <f>AVERAGE(B5:K5)</f>
        <v>0.219888622712081</v>
      </c>
    </row>
    <row r="32" spans="1:2">
      <c r="A32" s="130" t="s">
        <v>169</v>
      </c>
      <c r="B32" s="129">
        <f>AVERAGE(B6:K6)</f>
        <v>0.305939404752983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selection activeCell="N15" sqref="N15"/>
    </sheetView>
  </sheetViews>
  <sheetFormatPr defaultColWidth="8.83333333333333" defaultRowHeight="14.4"/>
  <cols>
    <col min="10" max="10" width="48.8333333333333" customWidth="1"/>
  </cols>
  <sheetData>
    <row r="1" spans="1:3">
      <c r="A1" s="112" t="s">
        <v>170</v>
      </c>
      <c r="B1" s="112"/>
      <c r="C1" s="112"/>
    </row>
    <row r="2" ht="28.8" spans="1:10">
      <c r="A2" s="121" t="s">
        <v>171</v>
      </c>
      <c r="B2" s="122" t="s">
        <v>172</v>
      </c>
      <c r="J2" s="125" t="s">
        <v>173</v>
      </c>
    </row>
    <row r="3" spans="1:10">
      <c r="A3" s="123" t="s">
        <v>174</v>
      </c>
      <c r="B3" s="122" t="s">
        <v>175</v>
      </c>
      <c r="J3" s="125" t="s">
        <v>176</v>
      </c>
    </row>
    <row r="4" ht="28.8" spans="1:10">
      <c r="A4" s="123" t="s">
        <v>177</v>
      </c>
      <c r="B4" s="122" t="s">
        <v>178</v>
      </c>
      <c r="J4" s="125" t="s">
        <v>179</v>
      </c>
    </row>
    <row r="5" spans="1:10">
      <c r="A5" s="123" t="s">
        <v>180</v>
      </c>
      <c r="B5" s="122" t="s">
        <v>181</v>
      </c>
      <c r="J5" s="125" t="s">
        <v>182</v>
      </c>
    </row>
    <row r="6" spans="1:10">
      <c r="A6" s="123" t="s">
        <v>183</v>
      </c>
      <c r="B6" s="122" t="s">
        <v>184</v>
      </c>
      <c r="J6" s="125" t="s">
        <v>185</v>
      </c>
    </row>
    <row r="7" spans="1:10">
      <c r="A7" s="123" t="s">
        <v>186</v>
      </c>
      <c r="B7" s="122" t="s">
        <v>187</v>
      </c>
      <c r="J7" s="125" t="s">
        <v>188</v>
      </c>
    </row>
    <row r="8" spans="1:10">
      <c r="A8" s="123" t="s">
        <v>189</v>
      </c>
      <c r="B8" s="122" t="s">
        <v>190</v>
      </c>
      <c r="J8" s="125" t="s">
        <v>191</v>
      </c>
    </row>
    <row r="9" spans="1:10">
      <c r="A9" s="123" t="s">
        <v>192</v>
      </c>
      <c r="B9" s="122" t="s">
        <v>193</v>
      </c>
      <c r="J9" s="125" t="s">
        <v>194</v>
      </c>
    </row>
    <row r="10" spans="1:10">
      <c r="A10" s="123"/>
      <c r="J10" s="118"/>
    </row>
    <row r="11" ht="28.8" spans="1:10">
      <c r="A11" s="121" t="s">
        <v>195</v>
      </c>
      <c r="B11" s="122" t="s">
        <v>196</v>
      </c>
      <c r="J11" s="125" t="s">
        <v>197</v>
      </c>
    </row>
    <row r="12" ht="28.8" spans="1:10">
      <c r="A12" s="123" t="s">
        <v>198</v>
      </c>
      <c r="B12" s="122" t="s">
        <v>199</v>
      </c>
      <c r="J12" s="125" t="s">
        <v>200</v>
      </c>
    </row>
    <row r="13" ht="28.8" spans="1:10">
      <c r="A13" s="123" t="s">
        <v>201</v>
      </c>
      <c r="B13" s="122" t="s">
        <v>202</v>
      </c>
      <c r="J13" s="125" t="s">
        <v>203</v>
      </c>
    </row>
    <row r="14" ht="28.8" spans="1:10">
      <c r="A14" s="123" t="s">
        <v>204</v>
      </c>
      <c r="B14" s="122" t="s">
        <v>205</v>
      </c>
      <c r="J14" s="125" t="s">
        <v>206</v>
      </c>
    </row>
    <row r="15" ht="28.8" spans="1:10">
      <c r="A15" s="123" t="s">
        <v>207</v>
      </c>
      <c r="B15" s="122" t="s">
        <v>208</v>
      </c>
      <c r="J15" s="125" t="s">
        <v>209</v>
      </c>
    </row>
    <row r="16" ht="57.6" spans="1:10">
      <c r="A16" s="123" t="s">
        <v>210</v>
      </c>
      <c r="B16" s="122" t="s">
        <v>211</v>
      </c>
      <c r="J16" s="125" t="s">
        <v>212</v>
      </c>
    </row>
    <row r="17" spans="1:10">
      <c r="A17" s="123"/>
      <c r="J17" s="118"/>
    </row>
    <row r="18" ht="28.8" spans="1:10">
      <c r="A18" s="121" t="s">
        <v>213</v>
      </c>
      <c r="B18" s="122" t="s">
        <v>214</v>
      </c>
      <c r="J18" s="125" t="s">
        <v>215</v>
      </c>
    </row>
    <row r="19" ht="28.8" spans="1:10">
      <c r="A19" s="123" t="s">
        <v>198</v>
      </c>
      <c r="B19" s="122" t="s">
        <v>216</v>
      </c>
      <c r="J19" s="118" t="s">
        <v>217</v>
      </c>
    </row>
    <row r="20" spans="1:10">
      <c r="A20" s="123" t="s">
        <v>201</v>
      </c>
      <c r="B20" s="122" t="s">
        <v>218</v>
      </c>
      <c r="J20" s="125" t="s">
        <v>219</v>
      </c>
    </row>
    <row r="21" spans="1:10">
      <c r="A21" s="123"/>
      <c r="J21" s="118"/>
    </row>
    <row r="22" spans="1:10">
      <c r="A22" s="121" t="s">
        <v>220</v>
      </c>
      <c r="B22" s="122" t="s">
        <v>221</v>
      </c>
      <c r="J22" s="125" t="s">
        <v>222</v>
      </c>
    </row>
    <row r="23" spans="1:10">
      <c r="A23" s="123" t="s">
        <v>198</v>
      </c>
      <c r="B23" s="122" t="s">
        <v>223</v>
      </c>
      <c r="J23" s="125" t="s">
        <v>224</v>
      </c>
    </row>
    <row r="24" ht="28.8" spans="1:10">
      <c r="A24" s="123" t="s">
        <v>201</v>
      </c>
      <c r="B24" s="122" t="s">
        <v>225</v>
      </c>
      <c r="J24" s="125" t="s">
        <v>226</v>
      </c>
    </row>
    <row r="25" ht="28.8" spans="1:10">
      <c r="A25" s="123" t="s">
        <v>204</v>
      </c>
      <c r="B25" s="122" t="s">
        <v>227</v>
      </c>
      <c r="J25" s="125" t="s">
        <v>228</v>
      </c>
    </row>
    <row r="26" spans="1:10">
      <c r="A26" s="123" t="s">
        <v>207</v>
      </c>
      <c r="B26" s="122" t="s">
        <v>229</v>
      </c>
      <c r="J26" s="125" t="s">
        <v>230</v>
      </c>
    </row>
    <row r="27" ht="28.8" spans="1:10">
      <c r="A27" s="123" t="s">
        <v>210</v>
      </c>
      <c r="B27" s="122" t="s">
        <v>231</v>
      </c>
      <c r="J27" s="125" t="s">
        <v>232</v>
      </c>
    </row>
    <row r="28" ht="28.8" spans="1:10">
      <c r="A28" s="124" t="s">
        <v>233</v>
      </c>
      <c r="J28" s="118"/>
    </row>
    <row r="29" ht="28.8" spans="1:10">
      <c r="A29" s="123" t="s">
        <v>234</v>
      </c>
      <c r="B29" s="122" t="s">
        <v>235</v>
      </c>
      <c r="J29" s="125" t="s">
        <v>236</v>
      </c>
    </row>
    <row r="30" spans="1:10">
      <c r="A30" s="123" t="s">
        <v>198</v>
      </c>
      <c r="B30" s="122" t="s">
        <v>237</v>
      </c>
      <c r="J30" s="125" t="s">
        <v>238</v>
      </c>
    </row>
    <row r="31" spans="1:10">
      <c r="A31" s="123" t="s">
        <v>201</v>
      </c>
      <c r="B31" s="122" t="s">
        <v>239</v>
      </c>
      <c r="J31" s="125" t="s">
        <v>240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Profit &amp; Loss</vt:lpstr>
      <vt:lpstr>Quarters</vt:lpstr>
      <vt:lpstr>Cash Flow</vt:lpstr>
      <vt:lpstr>Balance Sheet</vt:lpstr>
      <vt:lpstr>Common Sizing</vt:lpstr>
      <vt:lpstr>Ratios</vt:lpstr>
      <vt:lpstr>SOIC Sheet</vt:lpstr>
      <vt:lpstr>Moat Assessment Sheet</vt:lpstr>
      <vt:lpstr>Fraud checklist</vt:lpstr>
      <vt:lpstr>Fraud sheet</vt:lpstr>
      <vt:lpstr>DCF SHEET</vt:lpstr>
      <vt:lpstr>Buffett Valuation</vt:lpstr>
      <vt:lpstr>Data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anuna</cp:lastModifiedBy>
  <dcterms:created xsi:type="dcterms:W3CDTF">2012-08-17T09:55:00Z</dcterms:created>
  <cp:lastPrinted>2012-12-06T18:14:00Z</cp:lastPrinted>
  <dcterms:modified xsi:type="dcterms:W3CDTF">2022-11-25T07:30:19Z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E8759CCE1DEE449DB413DC8FEEF0608D</vt:lpwstr>
  </property>
  <property fmtid="{D5CDD505-2E9C-101B-9397-08002B2CF9AE}" pid="3" name="KSOProductBuildVer">
    <vt:lpwstr>1033-11.2.0.11214</vt:lpwstr>
  </property>
</Properties>
</file>