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ffinitySpace\Data\"/>
    </mc:Choice>
  </mc:AlternateContent>
  <bookViews>
    <workbookView xWindow="0" yWindow="0" windowWidth="23040" windowHeight="11415"/>
  </bookViews>
  <sheets>
    <sheet name="Digester Sites" sheetId="1" r:id="rId1"/>
    <sheet name="Sheet1" sheetId="3" r:id="rId2"/>
    <sheet name="Non digester pit barns" sheetId="2" r:id="rId3"/>
  </sheets>
  <calcPr calcId="171027" iterate="1"/>
</workbook>
</file>

<file path=xl/calcChain.xml><?xml version="1.0" encoding="utf-8"?>
<calcChain xmlns="http://schemas.openxmlformats.org/spreadsheetml/2006/main">
  <c r="B13" i="3" l="1"/>
  <c r="B12" i="3"/>
  <c r="B11" i="3"/>
  <c r="B10" i="3"/>
  <c r="A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D6" i="3"/>
  <c r="G38" i="1"/>
  <c r="G4" i="1"/>
  <c r="G14" i="1"/>
  <c r="G31" i="1"/>
  <c r="G46" i="1"/>
  <c r="G47" i="1"/>
  <c r="I67" i="1"/>
  <c r="I66" i="1"/>
  <c r="I65" i="1"/>
  <c r="I64" i="1"/>
  <c r="I63" i="1"/>
  <c r="I61" i="1"/>
  <c r="I60" i="1"/>
  <c r="I59" i="1"/>
  <c r="I58" i="1"/>
  <c r="I57" i="1"/>
  <c r="I56" i="1"/>
  <c r="I54" i="1"/>
  <c r="I53" i="1"/>
  <c r="I52" i="1"/>
  <c r="I51" i="1"/>
  <c r="I50" i="1"/>
  <c r="I49" i="1"/>
  <c r="I47" i="1"/>
  <c r="I46" i="1"/>
  <c r="I45" i="1"/>
  <c r="I44" i="1"/>
  <c r="I43" i="1"/>
  <c r="I42" i="1"/>
  <c r="I40" i="1"/>
  <c r="I39" i="1"/>
  <c r="I38" i="1"/>
  <c r="I37" i="1"/>
  <c r="I36" i="1"/>
  <c r="I35" i="1"/>
  <c r="I33" i="1"/>
  <c r="I32" i="1"/>
  <c r="I31" i="1"/>
  <c r="I30" i="1"/>
  <c r="I29" i="1"/>
  <c r="I27" i="1"/>
  <c r="I26" i="1"/>
  <c r="I25" i="1"/>
  <c r="I24" i="1"/>
  <c r="I23" i="1"/>
  <c r="I21" i="1"/>
  <c r="I20" i="1"/>
  <c r="I19" i="1"/>
  <c r="I18" i="1"/>
  <c r="I17" i="1"/>
  <c r="I16" i="1"/>
  <c r="I14" i="1"/>
  <c r="Q14" i="3" s="1"/>
  <c r="I13" i="1"/>
  <c r="Q13" i="3" s="1"/>
  <c r="I12" i="1"/>
  <c r="Q12" i="3" s="1"/>
  <c r="I11" i="1"/>
  <c r="Q11" i="3" s="1"/>
  <c r="I10" i="1"/>
  <c r="I8" i="1"/>
  <c r="I7" i="1"/>
  <c r="I6" i="1"/>
  <c r="Q6" i="3" s="1"/>
  <c r="I5" i="1"/>
  <c r="Q5" i="3" s="1"/>
  <c r="I4" i="1"/>
  <c r="Q4" i="3" s="1"/>
  <c r="I3" i="1"/>
  <c r="Q3" i="3" s="1"/>
  <c r="G10" i="1"/>
  <c r="O8" i="1"/>
  <c r="O7" i="1"/>
  <c r="G54" i="1"/>
  <c r="G49" i="1"/>
  <c r="G50" i="1"/>
  <c r="J36" i="1"/>
  <c r="L36" i="1"/>
  <c r="J35" i="1"/>
  <c r="L35" i="1"/>
  <c r="J24" i="1"/>
  <c r="L24" i="1"/>
  <c r="J23" i="1"/>
  <c r="L23" i="1"/>
  <c r="J32" i="1"/>
  <c r="L32" i="1"/>
  <c r="J33" i="1"/>
  <c r="L33" i="1"/>
  <c r="G25" i="1"/>
  <c r="G3" i="1"/>
  <c r="J11" i="1"/>
  <c r="L11" i="1"/>
  <c r="J12" i="1"/>
  <c r="L12" i="1"/>
  <c r="J10" i="1"/>
  <c r="L10" i="1"/>
  <c r="G17" i="2"/>
  <c r="G35" i="1"/>
  <c r="G36" i="1"/>
  <c r="G41" i="1" s="1"/>
  <c r="C34" i="1"/>
  <c r="G17" i="1"/>
  <c r="G64" i="1"/>
  <c r="G16" i="1"/>
  <c r="G5" i="1"/>
  <c r="G9" i="1" s="1"/>
  <c r="G6" i="1"/>
  <c r="G24" i="1"/>
  <c r="G26" i="1"/>
  <c r="G27" i="1"/>
  <c r="I14" i="2"/>
  <c r="G12" i="2"/>
  <c r="G13" i="2"/>
  <c r="G13" i="1"/>
  <c r="G12" i="1"/>
  <c r="G11" i="1"/>
  <c r="G15" i="1" s="1"/>
  <c r="G63" i="1"/>
  <c r="G68" i="1" s="1"/>
  <c r="G20" i="1"/>
  <c r="G21" i="1"/>
  <c r="G18" i="2"/>
  <c r="G7" i="1"/>
  <c r="G8" i="1"/>
  <c r="G30" i="1"/>
  <c r="G14" i="2"/>
  <c r="G15" i="2"/>
  <c r="J26" i="1"/>
  <c r="L26" i="1"/>
  <c r="J27" i="1"/>
  <c r="L27" i="1"/>
  <c r="J67" i="1"/>
  <c r="L67" i="1"/>
  <c r="J66" i="1"/>
  <c r="L66" i="1"/>
  <c r="J65" i="1"/>
  <c r="L65" i="1"/>
  <c r="J64" i="1"/>
  <c r="L64" i="1"/>
  <c r="J63" i="1"/>
  <c r="L63" i="1"/>
  <c r="J61" i="1"/>
  <c r="L61" i="1"/>
  <c r="J60" i="1"/>
  <c r="L60" i="1"/>
  <c r="J59" i="1"/>
  <c r="L59" i="1"/>
  <c r="J58" i="1"/>
  <c r="L58" i="1"/>
  <c r="J57" i="1"/>
  <c r="L57" i="1"/>
  <c r="J56" i="1"/>
  <c r="L56" i="1"/>
  <c r="J54" i="1"/>
  <c r="L54" i="1"/>
  <c r="J53" i="1"/>
  <c r="L53" i="1"/>
  <c r="J52" i="1"/>
  <c r="L52" i="1"/>
  <c r="J51" i="1"/>
  <c r="L51" i="1"/>
  <c r="J50" i="1"/>
  <c r="L50" i="1"/>
  <c r="J49" i="1"/>
  <c r="L49" i="1"/>
  <c r="J47" i="1"/>
  <c r="L47" i="1"/>
  <c r="J46" i="1"/>
  <c r="L46" i="1"/>
  <c r="J45" i="1"/>
  <c r="L45" i="1"/>
  <c r="J44" i="1"/>
  <c r="L44" i="1"/>
  <c r="J43" i="1"/>
  <c r="L43" i="1"/>
  <c r="J42" i="1"/>
  <c r="L42" i="1"/>
  <c r="J40" i="1"/>
  <c r="L40" i="1"/>
  <c r="J39" i="1"/>
  <c r="L39" i="1"/>
  <c r="J38" i="1"/>
  <c r="L38" i="1"/>
  <c r="J37" i="1"/>
  <c r="L37" i="1"/>
  <c r="J31" i="1"/>
  <c r="L31" i="1"/>
  <c r="J30" i="1"/>
  <c r="L30" i="1"/>
  <c r="J29" i="1"/>
  <c r="L29" i="1"/>
  <c r="J25" i="1"/>
  <c r="L25" i="1"/>
  <c r="J21" i="1"/>
  <c r="L21" i="1"/>
  <c r="J20" i="1"/>
  <c r="L20" i="1"/>
  <c r="J19" i="1"/>
  <c r="L19" i="1"/>
  <c r="J18" i="1"/>
  <c r="L18" i="1"/>
  <c r="J17" i="1"/>
  <c r="L17" i="1"/>
  <c r="J16" i="1"/>
  <c r="L16" i="1"/>
  <c r="J14" i="1"/>
  <c r="L14" i="1"/>
  <c r="J13" i="1"/>
  <c r="L13" i="1"/>
  <c r="J4" i="1"/>
  <c r="L4" i="1"/>
  <c r="J5" i="1"/>
  <c r="L5" i="1"/>
  <c r="J6" i="1"/>
  <c r="L6" i="1"/>
  <c r="J7" i="1"/>
  <c r="L7" i="1"/>
  <c r="J8" i="1"/>
  <c r="L8" i="1"/>
  <c r="J3" i="1"/>
  <c r="L3" i="1"/>
  <c r="I21" i="2"/>
  <c r="G57" i="1"/>
  <c r="I20" i="2"/>
  <c r="I19" i="2"/>
  <c r="G43" i="1"/>
  <c r="G44" i="1"/>
  <c r="G45" i="1"/>
  <c r="C68" i="1"/>
  <c r="C62" i="1"/>
  <c r="C55" i="1"/>
  <c r="C73" i="1" s="1"/>
  <c r="E73" i="1" s="1"/>
  <c r="C48" i="1"/>
  <c r="C41" i="1"/>
  <c r="C28" i="1"/>
  <c r="C22" i="1"/>
  <c r="C15" i="1"/>
  <c r="C9" i="1"/>
  <c r="C72" i="1" s="1"/>
  <c r="E72" i="1" s="1"/>
  <c r="C22" i="2"/>
  <c r="C16" i="2"/>
  <c r="C9" i="2"/>
  <c r="I18" i="2"/>
  <c r="G42" i="1"/>
  <c r="G48" i="1"/>
  <c r="I10" i="3" s="1"/>
  <c r="G56" i="1"/>
  <c r="I8" i="2"/>
  <c r="I17" i="2"/>
  <c r="G19" i="2"/>
  <c r="G20" i="2"/>
  <c r="G21" i="2"/>
  <c r="G22" i="2"/>
  <c r="I15" i="2"/>
  <c r="I13" i="2"/>
  <c r="I12" i="2"/>
  <c r="I11" i="2"/>
  <c r="I10" i="2"/>
  <c r="I7" i="2"/>
  <c r="I6" i="2"/>
  <c r="I5" i="2"/>
  <c r="I4" i="2"/>
  <c r="I3" i="2"/>
  <c r="G11" i="2"/>
  <c r="G10" i="2"/>
  <c r="G16" i="2"/>
  <c r="G8" i="2"/>
  <c r="G7" i="2"/>
  <c r="G6" i="2"/>
  <c r="G5" i="2"/>
  <c r="G4" i="2"/>
  <c r="G3" i="2"/>
  <c r="G9" i="2"/>
  <c r="G18" i="1"/>
  <c r="G19" i="1"/>
  <c r="G22" i="1" s="1"/>
  <c r="G23" i="1"/>
  <c r="G28" i="1"/>
  <c r="F10" i="3" s="1"/>
  <c r="G29" i="1"/>
  <c r="G32" i="1"/>
  <c r="G33" i="1"/>
  <c r="G34" i="1" s="1"/>
  <c r="G37" i="1"/>
  <c r="G39" i="1"/>
  <c r="G40" i="1"/>
  <c r="G51" i="1"/>
  <c r="G52" i="1"/>
  <c r="G53" i="1"/>
  <c r="G55" i="1" s="1"/>
  <c r="G58" i="1"/>
  <c r="G59" i="1"/>
  <c r="G62" i="1" s="1"/>
  <c r="G60" i="1"/>
  <c r="G61" i="1"/>
  <c r="G65" i="1"/>
  <c r="G66" i="1"/>
  <c r="G67" i="1"/>
  <c r="W70" i="3"/>
  <c r="S71" i="3"/>
  <c r="S72" i="3"/>
  <c r="S73" i="3"/>
  <c r="S74" i="3"/>
  <c r="S75" i="3"/>
  <c r="S76" i="3"/>
  <c r="S77" i="3"/>
  <c r="S78" i="3"/>
  <c r="S79" i="3"/>
  <c r="S80" i="3"/>
  <c r="S81" i="3"/>
  <c r="U70" i="3"/>
  <c r="Y70" i="3"/>
  <c r="X70" i="3"/>
  <c r="V70" i="3"/>
  <c r="I28" i="1"/>
  <c r="F11" i="3" s="1"/>
  <c r="S8" i="1"/>
  <c r="S7" i="1"/>
  <c r="I48" i="1"/>
  <c r="I11" i="3" s="1"/>
  <c r="V8" i="1"/>
  <c r="V7" i="1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S82" i="3"/>
  <c r="S83" i="3"/>
  <c r="S84" i="3"/>
  <c r="S85" i="3"/>
  <c r="S86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U86" i="3"/>
  <c r="V86" i="3"/>
  <c r="Y86" i="3"/>
  <c r="X86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V108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X108" i="3"/>
  <c r="W108" i="3"/>
  <c r="Y108" i="3"/>
  <c r="Y87" i="3"/>
  <c r="Y88" i="3"/>
  <c r="Y89" i="3"/>
  <c r="Y90" i="3"/>
  <c r="U108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Y71" i="3"/>
  <c r="Y72" i="3"/>
  <c r="W87" i="3"/>
  <c r="W88" i="3"/>
  <c r="W89" i="3"/>
  <c r="W90" i="3"/>
  <c r="W71" i="3"/>
  <c r="W72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Y91" i="3"/>
  <c r="W73" i="3"/>
  <c r="W74" i="3"/>
  <c r="W75" i="3"/>
  <c r="W91" i="3"/>
  <c r="Y73" i="3"/>
  <c r="Y74" i="3"/>
  <c r="Y75" i="3"/>
  <c r="W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U129" i="3"/>
  <c r="U109" i="3" s="1"/>
  <c r="U110" i="3" s="1"/>
  <c r="U111" i="3" s="1"/>
  <c r="U112" i="3" s="1"/>
  <c r="U113" i="3" s="1"/>
  <c r="U114" i="3" s="1"/>
  <c r="U115" i="3" s="1"/>
  <c r="U116" i="3" s="1"/>
  <c r="U117" i="3" s="1"/>
  <c r="U118" i="3" s="1"/>
  <c r="U119" i="3" s="1"/>
  <c r="U120" i="3" s="1"/>
  <c r="U121" i="3" s="1"/>
  <c r="U122" i="3" s="1"/>
  <c r="U123" i="3" s="1"/>
  <c r="U124" i="3" s="1"/>
  <c r="U125" i="3" s="1"/>
  <c r="U126" i="3" s="1"/>
  <c r="U127" i="3" s="1"/>
  <c r="U128" i="3" s="1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Y129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X129" i="3"/>
  <c r="X109" i="3" s="1"/>
  <c r="X110" i="3" s="1"/>
  <c r="X111" i="3" s="1"/>
  <c r="X112" i="3" s="1"/>
  <c r="X113" i="3" s="1"/>
  <c r="X114" i="3" s="1"/>
  <c r="X115" i="3" s="1"/>
  <c r="X116" i="3" s="1"/>
  <c r="X117" i="3" s="1"/>
  <c r="X118" i="3" s="1"/>
  <c r="X119" i="3" s="1"/>
  <c r="X120" i="3" s="1"/>
  <c r="X121" i="3" s="1"/>
  <c r="X122" i="3" s="1"/>
  <c r="X123" i="3" s="1"/>
  <c r="X124" i="3" s="1"/>
  <c r="X125" i="3" s="1"/>
  <c r="X126" i="3" s="1"/>
  <c r="X127" i="3" s="1"/>
  <c r="X128" i="3" s="1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W130" i="3"/>
  <c r="W131" i="3"/>
  <c r="W132" i="3"/>
  <c r="W133" i="3"/>
  <c r="W134" i="3"/>
  <c r="W135" i="3"/>
  <c r="W92" i="3"/>
  <c r="Y130" i="3"/>
  <c r="Y131" i="3"/>
  <c r="Y132" i="3"/>
  <c r="Y133" i="3"/>
  <c r="Y134" i="3"/>
  <c r="Y135" i="3"/>
  <c r="W109" i="3"/>
  <c r="Y92" i="3"/>
  <c r="Y109" i="3"/>
  <c r="W76" i="3"/>
  <c r="W77" i="3"/>
  <c r="W78" i="3"/>
  <c r="W79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Y76" i="3"/>
  <c r="Y77" i="3"/>
  <c r="Y78" i="3"/>
  <c r="Y79" i="3"/>
  <c r="Y80" i="3"/>
  <c r="Y81" i="3"/>
  <c r="Y82" i="3"/>
  <c r="Y110" i="3"/>
  <c r="Y111" i="3"/>
  <c r="Y136" i="3"/>
  <c r="W136" i="3"/>
  <c r="Y93" i="3"/>
  <c r="Y94" i="3"/>
  <c r="Y95" i="3"/>
  <c r="W80" i="3"/>
  <c r="W81" i="3"/>
  <c r="W82" i="3"/>
  <c r="W110" i="3"/>
  <c r="W111" i="3"/>
  <c r="W93" i="3"/>
  <c r="W94" i="3"/>
  <c r="W95" i="3"/>
  <c r="W96" i="3"/>
  <c r="W83" i="3"/>
  <c r="Y137" i="3"/>
  <c r="Y83" i="3"/>
  <c r="W137" i="3"/>
  <c r="W112" i="3"/>
  <c r="W113" i="3"/>
  <c r="W114" i="3"/>
  <c r="Y96" i="3"/>
  <c r="Y112" i="3"/>
  <c r="Y113" i="3"/>
  <c r="Y114" i="3"/>
  <c r="Y115" i="3"/>
  <c r="Y116" i="3"/>
  <c r="Y117" i="3"/>
  <c r="W138" i="3"/>
  <c r="Y138" i="3"/>
  <c r="W97" i="3"/>
  <c r="W98" i="3"/>
  <c r="W99" i="3"/>
  <c r="W115" i="3"/>
  <c r="W116" i="3"/>
  <c r="W117" i="3"/>
  <c r="Y84" i="3"/>
  <c r="Y85" i="3"/>
  <c r="W84" i="3"/>
  <c r="W85" i="3"/>
  <c r="Y97" i="3"/>
  <c r="Y98" i="3"/>
  <c r="Y99" i="3"/>
  <c r="W118" i="3"/>
  <c r="W119" i="3"/>
  <c r="W100" i="3"/>
  <c r="W101" i="3"/>
  <c r="W102" i="3"/>
  <c r="W103" i="3"/>
  <c r="Y139" i="3"/>
  <c r="Y118" i="3"/>
  <c r="Y119" i="3"/>
  <c r="Y100" i="3"/>
  <c r="Y101" i="3"/>
  <c r="Y102" i="3"/>
  <c r="Y103" i="3"/>
  <c r="W139" i="3"/>
  <c r="Y104" i="3"/>
  <c r="Y140" i="3"/>
  <c r="Y141" i="3"/>
  <c r="Y142" i="3"/>
  <c r="W120" i="3"/>
  <c r="W121" i="3"/>
  <c r="W140" i="3"/>
  <c r="W141" i="3"/>
  <c r="W142" i="3"/>
  <c r="Y120" i="3"/>
  <c r="Y121" i="3"/>
  <c r="W104" i="3"/>
  <c r="Y122" i="3"/>
  <c r="Y123" i="3"/>
  <c r="Y124" i="3"/>
  <c r="Y125" i="3"/>
  <c r="W122" i="3"/>
  <c r="W123" i="3"/>
  <c r="W124" i="3"/>
  <c r="W125" i="3"/>
  <c r="Y105" i="3"/>
  <c r="Y106" i="3"/>
  <c r="Y107" i="3"/>
  <c r="W105" i="3"/>
  <c r="W106" i="3"/>
  <c r="W107" i="3"/>
  <c r="W143" i="3"/>
  <c r="W144" i="3"/>
  <c r="W145" i="3"/>
  <c r="W146" i="3"/>
  <c r="Y143" i="3"/>
  <c r="Y144" i="3"/>
  <c r="Y145" i="3"/>
  <c r="Y146" i="3"/>
  <c r="W147" i="3"/>
  <c r="Y126" i="3"/>
  <c r="Y127" i="3"/>
  <c r="Y128" i="3"/>
  <c r="Y147" i="3"/>
  <c r="W126" i="3"/>
  <c r="W127" i="3"/>
  <c r="W128" i="3"/>
  <c r="W148" i="3"/>
  <c r="W149" i="3"/>
  <c r="W150" i="3"/>
  <c r="Y148" i="3"/>
  <c r="Y149" i="3"/>
  <c r="Y150" i="3"/>
  <c r="K10" i="3" l="1"/>
  <c r="I62" i="1"/>
  <c r="X7" i="1"/>
  <c r="J10" i="3"/>
  <c r="I55" i="1"/>
  <c r="W7" i="1"/>
  <c r="G10" i="3"/>
  <c r="C4" i="3"/>
  <c r="T7" i="1"/>
  <c r="P3" i="1"/>
  <c r="I34" i="1"/>
  <c r="E10" i="3"/>
  <c r="I22" i="1"/>
  <c r="R7" i="1"/>
  <c r="L10" i="3"/>
  <c r="Y7" i="1"/>
  <c r="I68" i="1"/>
  <c r="D10" i="3"/>
  <c r="I15" i="1"/>
  <c r="Q7" i="1"/>
  <c r="C10" i="3"/>
  <c r="B4" i="3"/>
  <c r="O3" i="1"/>
  <c r="I9" i="1"/>
  <c r="P7" i="1"/>
  <c r="H10" i="3"/>
  <c r="U7" i="1"/>
  <c r="I41" i="1"/>
  <c r="Q7" i="3"/>
  <c r="Q8" i="3"/>
  <c r="Q10" i="3"/>
  <c r="Q15" i="3" s="1"/>
  <c r="D13" i="3" s="1"/>
  <c r="Q16" i="3"/>
  <c r="Q17" i="3"/>
  <c r="Q18" i="3"/>
  <c r="Q19" i="3"/>
  <c r="P19" i="3"/>
  <c r="Q20" i="3"/>
  <c r="P20" i="3"/>
  <c r="Q21" i="3"/>
  <c r="P21" i="3"/>
  <c r="Q23" i="3"/>
  <c r="P23" i="3"/>
  <c r="Q24" i="3"/>
  <c r="P24" i="3"/>
  <c r="Q25" i="3"/>
  <c r="P25" i="3"/>
  <c r="Q26" i="3"/>
  <c r="P26" i="3"/>
  <c r="Q27" i="3"/>
  <c r="P27" i="3"/>
  <c r="Q29" i="3"/>
  <c r="P29" i="3"/>
  <c r="Q30" i="3"/>
  <c r="P30" i="3"/>
  <c r="Q31" i="3"/>
  <c r="P31" i="3"/>
  <c r="Q32" i="3"/>
  <c r="P32" i="3"/>
  <c r="Q33" i="3"/>
  <c r="P33" i="3"/>
  <c r="Q35" i="3"/>
  <c r="P35" i="3"/>
  <c r="Q36" i="3"/>
  <c r="P36" i="3"/>
  <c r="Q37" i="3"/>
  <c r="P37" i="3"/>
  <c r="Q38" i="3"/>
  <c r="P38" i="3"/>
  <c r="Q39" i="3"/>
  <c r="P39" i="3"/>
  <c r="Q40" i="3"/>
  <c r="P40" i="3"/>
  <c r="Q42" i="3"/>
  <c r="P42" i="3"/>
  <c r="Q43" i="3"/>
  <c r="P43" i="3"/>
  <c r="Q44" i="3"/>
  <c r="P44" i="3"/>
  <c r="Q45" i="3"/>
  <c r="P45" i="3"/>
  <c r="Q46" i="3"/>
  <c r="P46" i="3"/>
  <c r="Q47" i="3"/>
  <c r="P47" i="3"/>
  <c r="Q49" i="3"/>
  <c r="P49" i="3"/>
  <c r="Q50" i="3"/>
  <c r="P50" i="3"/>
  <c r="Q51" i="3"/>
  <c r="P51" i="3"/>
  <c r="Q52" i="3"/>
  <c r="P52" i="3"/>
  <c r="Q53" i="3"/>
  <c r="P53" i="3"/>
  <c r="Q54" i="3"/>
  <c r="P54" i="3"/>
  <c r="Q56" i="3"/>
  <c r="P56" i="3"/>
  <c r="Q57" i="3"/>
  <c r="P57" i="3"/>
  <c r="Q58" i="3"/>
  <c r="P58" i="3"/>
  <c r="Q59" i="3"/>
  <c r="P59" i="3"/>
  <c r="Q60" i="3"/>
  <c r="P60" i="3"/>
  <c r="Q61" i="3"/>
  <c r="P61" i="3"/>
  <c r="Q63" i="3"/>
  <c r="P63" i="3"/>
  <c r="Q64" i="3"/>
  <c r="P64" i="3"/>
  <c r="Q65" i="3"/>
  <c r="P65" i="3"/>
  <c r="Q66" i="3"/>
  <c r="P66" i="3"/>
  <c r="Q67" i="3"/>
  <c r="P67" i="3"/>
  <c r="P3" i="3"/>
  <c r="P4" i="3"/>
  <c r="P5" i="3"/>
  <c r="P6" i="3"/>
  <c r="P7" i="3"/>
  <c r="P8" i="3"/>
  <c r="P10" i="3"/>
  <c r="P11" i="3"/>
  <c r="P12" i="3"/>
  <c r="P13" i="3"/>
  <c r="P14" i="3"/>
  <c r="P16" i="3"/>
  <c r="P17" i="3"/>
  <c r="P18" i="3"/>
  <c r="P22" i="3" l="1"/>
  <c r="E12" i="3" s="1"/>
  <c r="P15" i="3"/>
  <c r="D12" i="3" s="1"/>
  <c r="P9" i="3"/>
  <c r="C12" i="3" s="1"/>
  <c r="P68" i="3"/>
  <c r="L12" i="3" s="1"/>
  <c r="Q68" i="3"/>
  <c r="L13" i="3" s="1"/>
  <c r="P62" i="3"/>
  <c r="K12" i="3" s="1"/>
  <c r="Q62" i="3"/>
  <c r="K13" i="3" s="1"/>
  <c r="P55" i="3"/>
  <c r="J12" i="3" s="1"/>
  <c r="Q55" i="3"/>
  <c r="J13" i="3" s="1"/>
  <c r="P48" i="3"/>
  <c r="I12" i="3" s="1"/>
  <c r="Q48" i="3"/>
  <c r="I13" i="3" s="1"/>
  <c r="P41" i="3"/>
  <c r="H12" i="3" s="1"/>
  <c r="Q41" i="3"/>
  <c r="H13" i="3" s="1"/>
  <c r="P34" i="3"/>
  <c r="G12" i="3" s="1"/>
  <c r="Q34" i="3"/>
  <c r="G13" i="3" s="1"/>
  <c r="P28" i="3"/>
  <c r="F12" i="3" s="1"/>
  <c r="Q28" i="3"/>
  <c r="F13" i="3" s="1"/>
  <c r="Q22" i="3"/>
  <c r="E13" i="3" s="1"/>
  <c r="Q9" i="3"/>
  <c r="C13" i="3" s="1"/>
  <c r="H11" i="3"/>
  <c r="U8" i="1"/>
  <c r="C11" i="3"/>
  <c r="P8" i="1"/>
  <c r="S3" i="1"/>
  <c r="Q3" i="1"/>
  <c r="O4" i="1"/>
  <c r="B7" i="3"/>
  <c r="D4" i="3"/>
  <c r="B5" i="3"/>
  <c r="G4" i="3"/>
  <c r="D11" i="3"/>
  <c r="G5" i="3" s="1"/>
  <c r="Q8" i="1"/>
  <c r="L11" i="3"/>
  <c r="Y8" i="1"/>
  <c r="E11" i="3"/>
  <c r="R8" i="1"/>
  <c r="G11" i="3"/>
  <c r="T8" i="1"/>
  <c r="P4" i="1"/>
  <c r="T3" i="1"/>
  <c r="C7" i="3"/>
  <c r="C5" i="3"/>
  <c r="H4" i="3"/>
  <c r="J11" i="3"/>
  <c r="H5" i="3" s="1"/>
  <c r="W8" i="1"/>
  <c r="K11" i="3"/>
  <c r="X8" i="1"/>
  <c r="T4" i="1" l="1"/>
  <c r="D7" i="3"/>
  <c r="I4" i="3"/>
  <c r="D5" i="3"/>
  <c r="I5" i="3" s="1"/>
  <c r="S4" i="1"/>
  <c r="Q4" i="1"/>
  <c r="U4" i="1" s="1"/>
  <c r="U3" i="1"/>
</calcChain>
</file>

<file path=xl/comments1.xml><?xml version="1.0" encoding="utf-8"?>
<comments xmlns="http://schemas.openxmlformats.org/spreadsheetml/2006/main">
  <authors>
    <author>Larry Matthis</author>
  </authors>
  <commentList>
    <comment ref="A11" authorId="0" shapeId="0">
      <text>
        <r>
          <rPr>
            <b/>
            <sz val="9"/>
            <color indexed="81"/>
            <rFont val="Tahoma"/>
            <family val="2"/>
          </rPr>
          <t>Larry Matthis:</t>
        </r>
        <r>
          <rPr>
            <sz val="9"/>
            <color indexed="81"/>
            <rFont val="Tahoma"/>
            <family val="2"/>
          </rPr>
          <t xml:space="preserve">
Hairr 2 broke with prrs 174. Placements will be only 1 barn per week until productions is back up</t>
        </r>
      </text>
    </comment>
  </commentList>
</comments>
</file>

<file path=xl/sharedStrings.xml><?xml version="1.0" encoding="utf-8"?>
<sst xmlns="http://schemas.openxmlformats.org/spreadsheetml/2006/main" count="218" uniqueCount="84">
  <si>
    <t xml:space="preserve"> </t>
  </si>
  <si>
    <t>Farm Name</t>
  </si>
  <si>
    <t>Barn #</t>
  </si>
  <si>
    <t>DM2-1</t>
  </si>
  <si>
    <t># Placed</t>
  </si>
  <si>
    <t>DM2-2</t>
  </si>
  <si>
    <t>DM2-3</t>
  </si>
  <si>
    <t>DM2-4</t>
  </si>
  <si>
    <t>DM3-4</t>
  </si>
  <si>
    <t>DM3-5</t>
  </si>
  <si>
    <t>DM4-1</t>
  </si>
  <si>
    <t>DM4-2</t>
  </si>
  <si>
    <t>DM4-3</t>
  </si>
  <si>
    <t>DM4-4</t>
  </si>
  <si>
    <t>Pig Age in weeks as of</t>
  </si>
  <si>
    <t>In Barn</t>
  </si>
  <si>
    <t>Total</t>
  </si>
  <si>
    <t>Mortality</t>
  </si>
  <si>
    <t xml:space="preserve">Head </t>
  </si>
  <si>
    <t>Sold</t>
  </si>
  <si>
    <t>Remaining</t>
  </si>
  <si>
    <t xml:space="preserve">Projected placement date </t>
  </si>
  <si>
    <t>Placed or</t>
  </si>
  <si>
    <t>Projected Date</t>
  </si>
  <si>
    <t>DM1-4</t>
  </si>
  <si>
    <t>DM2-5</t>
  </si>
  <si>
    <t>DM3-2</t>
  </si>
  <si>
    <t>Totals</t>
  </si>
  <si>
    <t>Assuming 130 days FILO</t>
  </si>
  <si>
    <t>Projected Next Sell out</t>
  </si>
  <si>
    <t>Projected Next</t>
  </si>
  <si>
    <t>Placement</t>
  </si>
  <si>
    <t>IDLE Days</t>
  </si>
  <si>
    <t>Taylors Bridge</t>
  </si>
  <si>
    <t>Riverfront 2</t>
  </si>
  <si>
    <t>Hairr 2</t>
  </si>
  <si>
    <t>Sow Flow</t>
  </si>
  <si>
    <t>Pack</t>
  </si>
  <si>
    <t>PED +</t>
  </si>
  <si>
    <t>Riverfront 1&amp; 2</t>
  </si>
  <si>
    <t>2-1</t>
  </si>
  <si>
    <t>4-3</t>
  </si>
  <si>
    <t>Placed</t>
  </si>
  <si>
    <t xml:space="preserve"> Pounds</t>
  </si>
  <si>
    <t>Total Placed</t>
  </si>
  <si>
    <t>Capacity</t>
  </si>
  <si>
    <t>Gen Sites</t>
  </si>
  <si>
    <t>Head Remaining</t>
  </si>
  <si>
    <t>Pig Age in weeks</t>
  </si>
  <si>
    <t>by POD</t>
  </si>
  <si>
    <t>NC1</t>
  </si>
  <si>
    <t>Pig Age in Weeks</t>
  </si>
  <si>
    <t>Error Check</t>
  </si>
  <si>
    <t>Farm Site</t>
  </si>
  <si>
    <t>Expected Feedstock</t>
  </si>
  <si>
    <t>Expected Biogas</t>
  </si>
  <si>
    <t>Assumptions</t>
  </si>
  <si>
    <t>per Day (Gallons)</t>
  </si>
  <si>
    <t>per Day (Cubic Feet)</t>
  </si>
  <si>
    <t>Dilution Factor</t>
  </si>
  <si>
    <t>Tot DM2-1</t>
  </si>
  <si>
    <t>Tot DM4-3</t>
  </si>
  <si>
    <t>Tot NC1</t>
  </si>
  <si>
    <t>Biogas to VS Factor</t>
  </si>
  <si>
    <t>Head Remaining (#)</t>
  </si>
  <si>
    <t>Gal per RP Vertical Ft</t>
  </si>
  <si>
    <t>Swine Age (Weeks)</t>
  </si>
  <si>
    <t>Gen Site Capacity (#)</t>
  </si>
  <si>
    <t>Daily Manure Production and Characteristics, As-Excreted (per head per day)</t>
  </si>
  <si>
    <t>Gen Site Occupancy (%)</t>
  </si>
  <si>
    <t>Source: MWPS-18, Sec 1, Table 6. Revised Second Edition, Reprint 2007</t>
  </si>
  <si>
    <t>Manure Characteristics</t>
  </si>
  <si>
    <t>Wk Ended</t>
  </si>
  <si>
    <t>Swine Size</t>
  </si>
  <si>
    <t>Swine Age</t>
  </si>
  <si>
    <t>TS</t>
  </si>
  <si>
    <t>VS</t>
  </si>
  <si>
    <t>lbs</t>
  </si>
  <si>
    <t>weeks</t>
  </si>
  <si>
    <t>cu ft</t>
  </si>
  <si>
    <t>gal</t>
  </si>
  <si>
    <t>lb/day</t>
  </si>
  <si>
    <t>Exp Feedstock/day (Gal)</t>
  </si>
  <si>
    <t>Exp Biogas/day (CF)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</si>
</sst>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#,##0.0"/>
    <numFmt numFmtId="165" formatCode="0.0"/>
    <numFmt numFmtId="166" formatCode="&quot;NC1 Site Age-Stocking Analysis For the Week Ended &quot;mmmm\ d&quot;,&quot;\ yyyy"/>
    <numFmt numFmtId="167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64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4" fontId="4" fillId="0" borderId="6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2" borderId="8" xfId="0" applyFill="1" applyBorder="1" applyAlignment="1">
      <alignment horizontal="center"/>
    </xf>
    <xf numFmtId="14" fontId="5" fillId="2" borderId="8" xfId="0" applyNumberFormat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6" fillId="3" borderId="0" xfId="0" applyFont="1" applyFill="1" applyAlignment="1">
      <alignment horizontal="center"/>
    </xf>
    <xf numFmtId="0" fontId="4" fillId="0" borderId="11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9" fillId="3" borderId="0" xfId="0" applyNumberFormat="1" applyFont="1" applyFill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14" fontId="5" fillId="2" borderId="9" xfId="0" applyNumberFormat="1" applyFont="1" applyFill="1" applyBorder="1" applyAlignment="1">
      <alignment horizontal="center"/>
    </xf>
    <xf numFmtId="14" fontId="5" fillId="2" borderId="0" xfId="0" applyNumberFormat="1" applyFont="1" applyFill="1" applyAlignment="1">
      <alignment horizontal="center"/>
    </xf>
    <xf numFmtId="14" fontId="0" fillId="0" borderId="0" xfId="0" applyNumberFormat="1"/>
    <xf numFmtId="0" fontId="5" fillId="2" borderId="8" xfId="0" applyFont="1" applyFill="1" applyBorder="1" applyAlignment="1">
      <alignment horizontal="center"/>
    </xf>
    <xf numFmtId="0" fontId="10" fillId="6" borderId="8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16" fontId="4" fillId="0" borderId="0" xfId="0" quotePrefix="1" applyNumberFormat="1" applyFont="1" applyAlignment="1">
      <alignment horizontal="center"/>
    </xf>
    <xf numFmtId="0" fontId="4" fillId="0" borderId="0" xfId="0" quotePrefix="1" applyFont="1" applyAlignment="1">
      <alignment horizontal="center"/>
    </xf>
    <xf numFmtId="3" fontId="0" fillId="7" borderId="8" xfId="0" applyNumberFormat="1" applyFill="1" applyBorder="1"/>
    <xf numFmtId="164" fontId="11" fillId="0" borderId="0" xfId="0" applyNumberFormat="1" applyFont="1" applyBorder="1" applyAlignment="1">
      <alignment horizontal="center"/>
    </xf>
    <xf numFmtId="164" fontId="11" fillId="0" borderId="4" xfId="0" applyNumberFormat="1" applyFont="1" applyBorder="1" applyAlignment="1">
      <alignment horizontal="center"/>
    </xf>
    <xf numFmtId="164" fontId="12" fillId="0" borderId="9" xfId="0" applyNumberFormat="1" applyFont="1" applyBorder="1" applyAlignment="1">
      <alignment horizontal="center"/>
    </xf>
    <xf numFmtId="164" fontId="12" fillId="2" borderId="8" xfId="0" applyNumberFormat="1" applyFont="1" applyFill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64" fontId="12" fillId="0" borderId="0" xfId="0" applyNumberFormat="1" applyFont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164" fontId="5" fillId="0" borderId="12" xfId="0" applyNumberFormat="1" applyFont="1" applyBorder="1" applyAlignment="1">
      <alignment horizontal="center"/>
    </xf>
    <xf numFmtId="3" fontId="12" fillId="0" borderId="13" xfId="0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10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49" fontId="0" fillId="0" borderId="17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3" fontId="12" fillId="0" borderId="19" xfId="0" applyNumberFormat="1" applyFont="1" applyBorder="1" applyAlignment="1">
      <alignment horizontal="center"/>
    </xf>
    <xf numFmtId="10" fontId="0" fillId="0" borderId="20" xfId="0" applyNumberFormat="1" applyBorder="1" applyAlignment="1">
      <alignment horizontal="center"/>
    </xf>
    <xf numFmtId="4" fontId="0" fillId="7" borderId="8" xfId="0" applyNumberFormat="1" applyFill="1" applyBorder="1"/>
    <xf numFmtId="14" fontId="5" fillId="2" borderId="10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2" fontId="7" fillId="0" borderId="0" xfId="0" applyNumberFormat="1" applyFont="1" applyBorder="1"/>
    <xf numFmtId="14" fontId="9" fillId="3" borderId="2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14" fontId="0" fillId="0" borderId="0" xfId="0" applyNumberFormat="1" applyBorder="1"/>
    <xf numFmtId="0" fontId="12" fillId="0" borderId="0" xfId="0" applyFont="1"/>
    <xf numFmtId="165" fontId="12" fillId="0" borderId="9" xfId="0" applyNumberFormat="1" applyFont="1" applyBorder="1" applyAlignment="1">
      <alignment horizontal="center"/>
    </xf>
    <xf numFmtId="165" fontId="12" fillId="2" borderId="8" xfId="0" applyNumberFormat="1" applyFont="1" applyFill="1" applyBorder="1" applyAlignment="1">
      <alignment horizontal="center"/>
    </xf>
    <xf numFmtId="165" fontId="12" fillId="0" borderId="8" xfId="0" applyNumberFormat="1" applyFont="1" applyBorder="1" applyAlignment="1">
      <alignment horizontal="center"/>
    </xf>
    <xf numFmtId="165" fontId="12" fillId="0" borderId="10" xfId="0" applyNumberFormat="1" applyFont="1" applyBorder="1" applyAlignment="1">
      <alignment horizontal="center"/>
    </xf>
    <xf numFmtId="165" fontId="13" fillId="0" borderId="9" xfId="0" applyNumberFormat="1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2" borderId="22" xfId="0" applyFill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4" xfId="0" applyFill="1" applyBorder="1" applyAlignment="1">
      <alignment horizontal="center"/>
    </xf>
    <xf numFmtId="164" fontId="12" fillId="0" borderId="24" xfId="0" applyNumberFormat="1" applyFont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14" fontId="5" fillId="2" borderId="24" xfId="0" applyNumberFormat="1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7" fillId="0" borderId="10" xfId="0" applyFont="1" applyBorder="1" applyAlignment="1">
      <alignment horizontal="center"/>
    </xf>
    <xf numFmtId="164" fontId="13" fillId="0" borderId="10" xfId="0" applyNumberFormat="1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2" fontId="7" fillId="0" borderId="27" xfId="0" applyNumberFormat="1" applyFont="1" applyBorder="1" applyAlignment="1">
      <alignment horizontal="center"/>
    </xf>
    <xf numFmtId="164" fontId="12" fillId="2" borderId="24" xfId="0" applyNumberFormat="1" applyFont="1" applyFill="1" applyBorder="1" applyAlignment="1">
      <alignment horizontal="center"/>
    </xf>
    <xf numFmtId="0" fontId="5" fillId="0" borderId="24" xfId="0" applyFont="1" applyBorder="1" applyAlignment="1">
      <alignment horizontal="center"/>
    </xf>
    <xf numFmtId="164" fontId="12" fillId="2" borderId="9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2" fontId="7" fillId="0" borderId="10" xfId="0" applyNumberFormat="1" applyFont="1" applyBorder="1" applyAlignment="1">
      <alignment horizontal="center"/>
    </xf>
    <xf numFmtId="2" fontId="0" fillId="0" borderId="0" xfId="0" applyNumberFormat="1"/>
    <xf numFmtId="0" fontId="0" fillId="0" borderId="8" xfId="0" applyBorder="1"/>
    <xf numFmtId="0" fontId="0" fillId="0" borderId="9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24" xfId="0" applyBorder="1" applyAlignment="1">
      <alignment horizontal="right"/>
    </xf>
    <xf numFmtId="0" fontId="7" fillId="0" borderId="10" xfId="0" applyFont="1" applyBorder="1" applyAlignment="1">
      <alignment horizontal="right"/>
    </xf>
    <xf numFmtId="0" fontId="7" fillId="5" borderId="3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Font="1"/>
    <xf numFmtId="0" fontId="7" fillId="0" borderId="25" xfId="0" applyFont="1" applyBorder="1"/>
    <xf numFmtId="0" fontId="0" fillId="0" borderId="28" xfId="0" applyBorder="1"/>
    <xf numFmtId="0" fontId="0" fillId="0" borderId="29" xfId="0" applyBorder="1"/>
    <xf numFmtId="37" fontId="0" fillId="0" borderId="0" xfId="0" applyNumberFormat="1" applyBorder="1"/>
    <xf numFmtId="0" fontId="7" fillId="0" borderId="22" xfId="0" applyFont="1" applyBorder="1" applyAlignment="1">
      <alignment horizontal="center"/>
    </xf>
    <xf numFmtId="0" fontId="0" fillId="0" borderId="21" xfId="0" applyFont="1" applyBorder="1"/>
    <xf numFmtId="0" fontId="14" fillId="0" borderId="23" xfId="0" applyFont="1" applyBorder="1"/>
    <xf numFmtId="0" fontId="15" fillId="0" borderId="0" xfId="0" applyFont="1"/>
    <xf numFmtId="16" fontId="7" fillId="0" borderId="0" xfId="0" quotePrefix="1" applyNumberFormat="1" applyFont="1" applyAlignment="1">
      <alignment horizontal="center"/>
    </xf>
    <xf numFmtId="0" fontId="7" fillId="0" borderId="0" xfId="0" quotePrefix="1" applyFont="1" applyAlignment="1">
      <alignment horizontal="center"/>
    </xf>
    <xf numFmtId="0" fontId="0" fillId="5" borderId="9" xfId="0" applyFont="1" applyFill="1" applyBorder="1" applyAlignment="1">
      <alignment horizontal="center"/>
    </xf>
    <xf numFmtId="0" fontId="14" fillId="0" borderId="9" xfId="0" applyFont="1" applyBorder="1" applyAlignment="1">
      <alignment horizontal="center"/>
    </xf>
    <xf numFmtId="167" fontId="16" fillId="0" borderId="8" xfId="1" applyNumberFormat="1" applyFont="1" applyBorder="1" applyAlignment="1">
      <alignment horizontal="center"/>
    </xf>
    <xf numFmtId="0" fontId="0" fillId="0" borderId="29" xfId="0" applyFont="1" applyBorder="1"/>
    <xf numFmtId="0" fontId="14" fillId="0" borderId="29" xfId="0" applyFont="1" applyBorder="1"/>
    <xf numFmtId="3" fontId="16" fillId="0" borderId="8" xfId="0" applyNumberFormat="1" applyFont="1" applyFill="1" applyBorder="1"/>
    <xf numFmtId="3" fontId="5" fillId="0" borderId="8" xfId="0" applyNumberFormat="1" applyFont="1" applyFill="1" applyBorder="1"/>
    <xf numFmtId="0" fontId="0" fillId="0" borderId="8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5" fillId="0" borderId="21" xfId="0" applyFont="1" applyBorder="1"/>
    <xf numFmtId="3" fontId="14" fillId="0" borderId="29" xfId="0" applyNumberFormat="1" applyFont="1" applyFill="1" applyBorder="1"/>
    <xf numFmtId="4" fontId="16" fillId="0" borderId="8" xfId="0" applyNumberFormat="1" applyFont="1" applyFill="1" applyBorder="1"/>
    <xf numFmtId="3" fontId="14" fillId="0" borderId="8" xfId="0" applyNumberFormat="1" applyFont="1" applyFill="1" applyBorder="1"/>
    <xf numFmtId="0" fontId="10" fillId="0" borderId="0" xfId="0" applyFont="1"/>
    <xf numFmtId="0" fontId="5" fillId="0" borderId="0" xfId="0" applyFont="1" applyBorder="1"/>
    <xf numFmtId="0" fontId="5" fillId="0" borderId="0" xfId="0" applyFont="1"/>
    <xf numFmtId="9" fontId="5" fillId="0" borderId="8" xfId="2" applyFont="1" applyFill="1" applyBorder="1"/>
    <xf numFmtId="0" fontId="0" fillId="0" borderId="24" xfId="0" applyFont="1" applyBorder="1" applyAlignment="1">
      <alignment horizontal="center"/>
    </xf>
    <xf numFmtId="0" fontId="14" fillId="0" borderId="24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167" fontId="7" fillId="0" borderId="10" xfId="1" applyNumberFormat="1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14" fontId="16" fillId="0" borderId="8" xfId="0" applyNumberFormat="1" applyFont="1" applyBorder="1"/>
    <xf numFmtId="0" fontId="5" fillId="0" borderId="30" xfId="0" applyFont="1" applyBorder="1" applyAlignment="1">
      <alignment horizontal="center"/>
    </xf>
    <xf numFmtId="2" fontId="16" fillId="0" borderId="8" xfId="0" applyNumberFormat="1" applyFont="1" applyBorder="1"/>
    <xf numFmtId="2" fontId="14" fillId="0" borderId="0" xfId="0" applyNumberFormat="1" applyFont="1" applyFill="1" applyBorder="1"/>
    <xf numFmtId="2" fontId="14" fillId="0" borderId="0" xfId="0" applyNumberFormat="1" applyFont="1" applyBorder="1"/>
    <xf numFmtId="2" fontId="14" fillId="0" borderId="0" xfId="0" applyNumberFormat="1" applyFont="1" applyFill="1"/>
    <xf numFmtId="167" fontId="0" fillId="0" borderId="8" xfId="0" applyNumberFormat="1" applyBorder="1"/>
    <xf numFmtId="2" fontId="5" fillId="0" borderId="0" xfId="0" applyNumberFormat="1" applyFont="1" applyFill="1" applyBorder="1"/>
    <xf numFmtId="2" fontId="5" fillId="0" borderId="0" xfId="0" applyNumberFormat="1" applyFont="1" applyBorder="1"/>
    <xf numFmtId="2" fontId="5" fillId="0" borderId="0" xfId="0" applyNumberFormat="1" applyFont="1"/>
    <xf numFmtId="0" fontId="7" fillId="0" borderId="0" xfId="0" applyFont="1" applyFill="1" applyBorder="1"/>
    <xf numFmtId="0" fontId="0" fillId="0" borderId="0" xfId="0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49" fontId="0" fillId="0" borderId="0" xfId="0" applyNumberFormat="1" applyFont="1" applyBorder="1" applyAlignment="1">
      <alignment horizontal="center"/>
    </xf>
    <xf numFmtId="10" fontId="0" fillId="0" borderId="0" xfId="0" applyNumberFormat="1" applyFont="1" applyBorder="1" applyAlignment="1">
      <alignment horizontal="center"/>
    </xf>
    <xf numFmtId="0" fontId="0" fillId="8" borderId="9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0" fontId="14" fillId="2" borderId="8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2" fontId="10" fillId="0" borderId="0" xfId="0" applyNumberFormat="1" applyFont="1" applyFill="1" applyBorder="1"/>
    <xf numFmtId="2" fontId="10" fillId="0" borderId="0" xfId="0" applyNumberFormat="1" applyFont="1" applyBorder="1"/>
    <xf numFmtId="166" fontId="7" fillId="0" borderId="0" xfId="0" applyNumberFormat="1" applyFont="1" applyAlignment="1">
      <alignment horizontal="left"/>
    </xf>
    <xf numFmtId="0" fontId="5" fillId="0" borderId="30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24"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73"/>
  <sheetViews>
    <sheetView tabSelected="1" zoomScale="110" zoomScaleNormal="11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E4" sqref="E4"/>
    </sheetView>
  </sheetViews>
  <sheetFormatPr defaultRowHeight="15" x14ac:dyDescent="0.25"/>
  <cols>
    <col min="1" max="1" width="16.5703125" style="1" customWidth="1"/>
    <col min="2" max="2" width="9.140625" style="1" customWidth="1"/>
    <col min="3" max="3" width="18.42578125" style="1" customWidth="1"/>
    <col min="4" max="4" width="14.28515625" style="52" customWidth="1"/>
    <col min="5" max="6" width="11.42578125" style="1" customWidth="1"/>
    <col min="7" max="7" width="14.5703125" style="1" customWidth="1"/>
    <col min="8" max="8" width="24.7109375" style="1" bestFit="1" customWidth="1"/>
    <col min="9" max="9" width="29.42578125" style="1" bestFit="1" customWidth="1"/>
    <col min="10" max="10" width="19.85546875" style="1" bestFit="1" customWidth="1"/>
    <col min="11" max="12" width="12.85546875" style="1" bestFit="1" customWidth="1"/>
    <col min="13" max="13" width="14.28515625" bestFit="1" customWidth="1"/>
    <col min="14" max="14" width="15.28515625" bestFit="1" customWidth="1"/>
    <col min="15" max="15" width="11.28515625" customWidth="1"/>
  </cols>
  <sheetData>
    <row r="1" spans="1:25" ht="21.75" thickBot="1" x14ac:dyDescent="0.4">
      <c r="A1" s="34" t="s">
        <v>1</v>
      </c>
      <c r="B1" s="4"/>
      <c r="C1" s="16" t="s">
        <v>4</v>
      </c>
      <c r="D1" s="47" t="s">
        <v>43</v>
      </c>
      <c r="E1" s="16" t="s">
        <v>16</v>
      </c>
      <c r="F1" s="16" t="s">
        <v>18</v>
      </c>
      <c r="G1" s="16" t="s">
        <v>18</v>
      </c>
      <c r="H1" s="21" t="s">
        <v>22</v>
      </c>
      <c r="I1" s="7" t="s">
        <v>14</v>
      </c>
      <c r="J1" s="27" t="s">
        <v>29</v>
      </c>
      <c r="K1" s="27" t="s">
        <v>30</v>
      </c>
      <c r="L1" s="27" t="s">
        <v>30</v>
      </c>
      <c r="M1" s="27" t="s">
        <v>48</v>
      </c>
      <c r="N1" s="27"/>
      <c r="S1" t="s">
        <v>52</v>
      </c>
    </row>
    <row r="2" spans="1:25" s="2" customFormat="1" ht="21.75" thickBot="1" x14ac:dyDescent="0.4">
      <c r="A2" s="31" t="s">
        <v>36</v>
      </c>
      <c r="B2" s="6" t="s">
        <v>2</v>
      </c>
      <c r="C2" s="6" t="s">
        <v>15</v>
      </c>
      <c r="D2" s="48" t="s">
        <v>42</v>
      </c>
      <c r="E2" s="6" t="s">
        <v>17</v>
      </c>
      <c r="F2" s="6" t="s">
        <v>19</v>
      </c>
      <c r="G2" s="6" t="s">
        <v>20</v>
      </c>
      <c r="H2" s="9" t="s">
        <v>23</v>
      </c>
      <c r="I2" s="8">
        <v>42524</v>
      </c>
      <c r="J2" s="28" t="s">
        <v>28</v>
      </c>
      <c r="K2" s="28" t="s">
        <v>31</v>
      </c>
      <c r="L2" s="2" t="s">
        <v>32</v>
      </c>
      <c r="M2" s="28" t="s">
        <v>49</v>
      </c>
      <c r="N2" s="28"/>
      <c r="O2" s="44" t="s">
        <v>40</v>
      </c>
      <c r="P2" s="45" t="s">
        <v>41</v>
      </c>
      <c r="Q2" s="2" t="s">
        <v>50</v>
      </c>
      <c r="S2" s="45" t="s">
        <v>40</v>
      </c>
      <c r="T2" s="45" t="s">
        <v>41</v>
      </c>
      <c r="U2" s="2" t="s">
        <v>50</v>
      </c>
    </row>
    <row r="3" spans="1:25" x14ac:dyDescent="0.25">
      <c r="A3" s="33" t="s">
        <v>3</v>
      </c>
      <c r="B3" s="12">
        <v>1</v>
      </c>
      <c r="C3" s="36">
        <v>715</v>
      </c>
      <c r="D3" s="49">
        <v>0</v>
      </c>
      <c r="E3" s="12">
        <v>0</v>
      </c>
      <c r="F3" s="12">
        <v>0</v>
      </c>
      <c r="G3" s="79">
        <f>C3-E3-F3</f>
        <v>715</v>
      </c>
      <c r="H3" s="37">
        <v>42522</v>
      </c>
      <c r="I3" s="81">
        <f t="shared" ref="I3:I8" si="0">IFERROR(IF(OR(I$2-H3&lt;0,I$2-H3&gt;7*25),0,(I$2-H3)/7),0)</f>
        <v>0.2857142857142857</v>
      </c>
      <c r="J3" s="29">
        <f t="shared" ref="J3:J12" si="1">H3+130</f>
        <v>42652</v>
      </c>
      <c r="K3" s="30">
        <v>42663</v>
      </c>
      <c r="L3" s="1">
        <f>K3-J3</f>
        <v>11</v>
      </c>
      <c r="N3" t="s">
        <v>47</v>
      </c>
      <c r="O3" s="46">
        <f>G9+G15+G22+G28</f>
        <v>16437</v>
      </c>
      <c r="P3" s="46">
        <f>G34+G41+G48+G55+G62+G68</f>
        <v>30107</v>
      </c>
      <c r="Q3" s="46">
        <f>SUM(O3:P3)</f>
        <v>46544</v>
      </c>
      <c r="S3" s="99" t="str">
        <f>IF(SUM(P7:S7)=O3,"OK","ERROR")</f>
        <v>OK</v>
      </c>
      <c r="T3" s="99" t="str">
        <f>IF(SUM(T7:Y7)=P3,"OK","ERROR")</f>
        <v>OK</v>
      </c>
      <c r="U3" s="99" t="str">
        <f>IF(SUM(P7:Y7)=Q3,"OK","ERROR")</f>
        <v>OK</v>
      </c>
    </row>
    <row r="4" spans="1:25" x14ac:dyDescent="0.25">
      <c r="A4" s="32" t="s">
        <v>33</v>
      </c>
      <c r="B4" s="10">
        <v>2</v>
      </c>
      <c r="C4" s="40">
        <v>691</v>
      </c>
      <c r="D4" s="50">
        <v>0</v>
      </c>
      <c r="E4" s="10">
        <v>0</v>
      </c>
      <c r="F4" s="10">
        <v>0</v>
      </c>
      <c r="G4" s="79">
        <f>C4-E4-F4</f>
        <v>691</v>
      </c>
      <c r="H4" s="18">
        <v>42522</v>
      </c>
      <c r="I4" s="81">
        <f t="shared" si="0"/>
        <v>0.2857142857142857</v>
      </c>
      <c r="J4" s="29">
        <f t="shared" si="1"/>
        <v>42652</v>
      </c>
      <c r="K4" s="30">
        <v>42663</v>
      </c>
      <c r="L4" s="1">
        <f t="shared" ref="L4:L67" si="2">K4-J4</f>
        <v>11</v>
      </c>
      <c r="N4" t="s">
        <v>51</v>
      </c>
      <c r="O4" s="65">
        <f>SUMPRODUCT(G3:G28,I3:I28)/O3/2</f>
        <v>10.387201348873187</v>
      </c>
      <c r="P4" s="65">
        <f>SUMPRODUCT(G29:G68,I29:I68)/P3/2</f>
        <v>10.621881954362772</v>
      </c>
      <c r="Q4" s="65">
        <f>SUMPRODUCT(G3:G68,I3:I68)/Q3/2</f>
        <v>10.539004567107009</v>
      </c>
      <c r="S4" s="99" t="str">
        <f>IF(SUMPRODUCT(P7:S7,P8:S8)/SUM(P7:S7)=O4,"OK","ERROR")</f>
        <v>OK</v>
      </c>
      <c r="T4" s="99" t="str">
        <f>IF(SUMPRODUCT(T7:Y7,T8:Y8)/SUM(T7:Y7)=P4,"OK","ERROR")</f>
        <v>OK</v>
      </c>
      <c r="U4" s="99" t="str">
        <f>IF(SUMPRODUCT(P7:Y7,P8:Y8)/SUM(P7:Y7)=Q4,"OK","ERROR")</f>
        <v>OK</v>
      </c>
    </row>
    <row r="5" spans="1:25" x14ac:dyDescent="0.25">
      <c r="A5" s="41" t="s">
        <v>38</v>
      </c>
      <c r="B5" s="10">
        <v>3</v>
      </c>
      <c r="C5" s="17">
        <v>0</v>
      </c>
      <c r="D5" s="50">
        <v>0</v>
      </c>
      <c r="E5" s="10">
        <v>0</v>
      </c>
      <c r="F5" s="10">
        <v>0</v>
      </c>
      <c r="G5" s="79">
        <f t="shared" ref="G5:G67" si="3">C5-E5-F5</f>
        <v>0</v>
      </c>
      <c r="H5" s="30">
        <v>42530</v>
      </c>
      <c r="I5" s="81">
        <f t="shared" si="0"/>
        <v>0</v>
      </c>
      <c r="J5" s="29">
        <f t="shared" si="1"/>
        <v>42660</v>
      </c>
      <c r="K5" s="30">
        <v>42670</v>
      </c>
      <c r="L5" s="1">
        <f t="shared" si="2"/>
        <v>10</v>
      </c>
    </row>
    <row r="6" spans="1:25" x14ac:dyDescent="0.25">
      <c r="A6" s="10"/>
      <c r="B6" s="10">
        <v>4</v>
      </c>
      <c r="C6" s="17">
        <v>0</v>
      </c>
      <c r="D6" s="50">
        <v>0</v>
      </c>
      <c r="E6" s="10">
        <v>0</v>
      </c>
      <c r="F6" s="10">
        <v>0</v>
      </c>
      <c r="G6" s="79">
        <f>C6-E6-F6</f>
        <v>0</v>
      </c>
      <c r="H6" s="30">
        <v>42530</v>
      </c>
      <c r="I6" s="81">
        <f t="shared" si="0"/>
        <v>0</v>
      </c>
      <c r="J6" s="29">
        <f t="shared" si="1"/>
        <v>42660</v>
      </c>
      <c r="K6" s="30">
        <v>42670</v>
      </c>
      <c r="L6" s="1">
        <f t="shared" si="2"/>
        <v>10</v>
      </c>
      <c r="P6" t="s">
        <v>3</v>
      </c>
      <c r="Q6" t="s">
        <v>5</v>
      </c>
      <c r="R6" t="s">
        <v>6</v>
      </c>
      <c r="S6" t="s">
        <v>7</v>
      </c>
      <c r="T6" t="s">
        <v>8</v>
      </c>
      <c r="U6" t="s">
        <v>9</v>
      </c>
      <c r="V6" t="s">
        <v>10</v>
      </c>
      <c r="W6" t="s">
        <v>11</v>
      </c>
      <c r="X6" t="s">
        <v>12</v>
      </c>
      <c r="Y6" t="s">
        <v>13</v>
      </c>
    </row>
    <row r="7" spans="1:25" x14ac:dyDescent="0.25">
      <c r="A7" s="10"/>
      <c r="B7" s="10">
        <v>5</v>
      </c>
      <c r="C7" s="17">
        <v>968</v>
      </c>
      <c r="D7" s="51">
        <v>50336</v>
      </c>
      <c r="E7" s="10">
        <v>36</v>
      </c>
      <c r="F7" s="10">
        <v>359</v>
      </c>
      <c r="G7" s="79">
        <f t="shared" si="3"/>
        <v>573</v>
      </c>
      <c r="H7" s="18">
        <v>42397</v>
      </c>
      <c r="I7" s="81">
        <f t="shared" si="0"/>
        <v>18.142857142857142</v>
      </c>
      <c r="J7" s="29">
        <f t="shared" si="1"/>
        <v>42527</v>
      </c>
      <c r="K7" s="30">
        <v>42536</v>
      </c>
      <c r="L7" s="1">
        <f t="shared" si="2"/>
        <v>9</v>
      </c>
      <c r="N7" t="s">
        <v>47</v>
      </c>
      <c r="O7" s="39">
        <f>I2</f>
        <v>42524</v>
      </c>
      <c r="P7">
        <f>+G9</f>
        <v>2384</v>
      </c>
      <c r="Q7">
        <f>+G15</f>
        <v>5619</v>
      </c>
      <c r="R7">
        <f>+G22</f>
        <v>6116</v>
      </c>
      <c r="S7">
        <f>+G28</f>
        <v>2318</v>
      </c>
      <c r="T7">
        <f>G34</f>
        <v>4515</v>
      </c>
      <c r="U7">
        <f>G41</f>
        <v>821</v>
      </c>
      <c r="V7">
        <f>G48</f>
        <v>8132</v>
      </c>
      <c r="W7">
        <f>+G55</f>
        <v>5439</v>
      </c>
      <c r="X7">
        <f>+G62</f>
        <v>5159</v>
      </c>
      <c r="Y7">
        <f>+G68</f>
        <v>6041</v>
      </c>
    </row>
    <row r="8" spans="1:25" x14ac:dyDescent="0.25">
      <c r="A8" s="82"/>
      <c r="B8" s="82">
        <v>6</v>
      </c>
      <c r="C8" s="83">
        <v>968</v>
      </c>
      <c r="D8" s="84">
        <v>48884</v>
      </c>
      <c r="E8" s="82">
        <v>32</v>
      </c>
      <c r="F8" s="85">
        <v>531</v>
      </c>
      <c r="G8" s="86">
        <f t="shared" si="3"/>
        <v>405</v>
      </c>
      <c r="H8" s="87">
        <v>42397</v>
      </c>
      <c r="I8" s="81">
        <f t="shared" si="0"/>
        <v>18.142857142857142</v>
      </c>
      <c r="J8" s="29">
        <f t="shared" si="1"/>
        <v>42527</v>
      </c>
      <c r="K8" s="30">
        <v>42536</v>
      </c>
      <c r="L8" s="1">
        <f t="shared" si="2"/>
        <v>9</v>
      </c>
      <c r="N8" t="s">
        <v>51</v>
      </c>
      <c r="O8" s="39">
        <f>I2</f>
        <v>42524</v>
      </c>
      <c r="P8" s="98">
        <f>+I9</f>
        <v>7.6113374880153408</v>
      </c>
      <c r="Q8" s="98">
        <f>+I15</f>
        <v>7.5808354308087349</v>
      </c>
      <c r="R8" s="98">
        <f>+I22</f>
        <v>11.256797159674859</v>
      </c>
      <c r="S8" s="98">
        <f>+I28</f>
        <v>17.750523850610133</v>
      </c>
      <c r="T8" s="98">
        <f>+I34</f>
        <v>1.4181300427147603</v>
      </c>
      <c r="U8" s="98">
        <f>+I41</f>
        <v>17.555768226900991</v>
      </c>
      <c r="V8" s="98">
        <f>+I48</f>
        <v>11.050066755674232</v>
      </c>
      <c r="W8" s="98">
        <f>+I55</f>
        <v>14.321041157775849</v>
      </c>
      <c r="X8" s="98">
        <f>+I62</f>
        <v>9.228504970509233</v>
      </c>
      <c r="Y8" s="98">
        <f>+I68</f>
        <v>13.841369688083809</v>
      </c>
    </row>
    <row r="9" spans="1:25" s="24" customFormat="1" ht="15.75" thickBot="1" x14ac:dyDescent="0.3">
      <c r="A9" s="89" t="s">
        <v>27</v>
      </c>
      <c r="B9" s="89"/>
      <c r="C9" s="89">
        <f>SUM(C3:C8)</f>
        <v>3342</v>
      </c>
      <c r="D9" s="90"/>
      <c r="E9" s="89"/>
      <c r="F9" s="89"/>
      <c r="G9" s="91">
        <f>SUM(G3:G8)</f>
        <v>2384</v>
      </c>
      <c r="H9" s="89"/>
      <c r="I9" s="92">
        <f>IFERROR(SUMPRODUCT(G3:G8,I3:I8)/G9,0)</f>
        <v>7.6113374880153408</v>
      </c>
      <c r="J9" s="25"/>
      <c r="K9" s="25"/>
      <c r="L9" s="67"/>
      <c r="M9" s="68"/>
    </row>
    <row r="10" spans="1:25" x14ac:dyDescent="0.25">
      <c r="A10" s="33" t="s">
        <v>5</v>
      </c>
      <c r="B10" s="100">
        <v>1</v>
      </c>
      <c r="C10" s="12">
        <v>1025</v>
      </c>
      <c r="D10" s="49">
        <v>60475</v>
      </c>
      <c r="E10" s="12">
        <v>17</v>
      </c>
      <c r="F10" s="88">
        <v>0</v>
      </c>
      <c r="G10" s="79">
        <f t="shared" si="3"/>
        <v>1008</v>
      </c>
      <c r="H10" s="37">
        <v>42452</v>
      </c>
      <c r="I10" s="81">
        <f>IFERROR(IF(OR(I$2-H10&lt;0,I$2-H10&gt;7*25),0,(I$2-H10)/7),0)</f>
        <v>10.285714285714286</v>
      </c>
      <c r="J10" s="29">
        <f t="shared" si="1"/>
        <v>42582</v>
      </c>
      <c r="K10" s="30">
        <v>42593</v>
      </c>
      <c r="L10" s="1">
        <f>K10-J10</f>
        <v>11</v>
      </c>
    </row>
    <row r="11" spans="1:25" x14ac:dyDescent="0.25">
      <c r="A11" s="32" t="s">
        <v>35</v>
      </c>
      <c r="B11" s="101">
        <v>2</v>
      </c>
      <c r="C11" s="10">
        <v>999</v>
      </c>
      <c r="D11" s="51">
        <v>52947</v>
      </c>
      <c r="E11" s="10">
        <v>28</v>
      </c>
      <c r="F11" s="40">
        <v>0</v>
      </c>
      <c r="G11" s="79">
        <f t="shared" si="3"/>
        <v>971</v>
      </c>
      <c r="H11" s="18">
        <v>42452</v>
      </c>
      <c r="I11" s="81">
        <f>IFERROR(IF(OR(I$2-H11&lt;0,I$2-H11&gt;7*25),0,(I$2-H11)/7),0)</f>
        <v>10.285714285714286</v>
      </c>
      <c r="J11" s="29">
        <f t="shared" si="1"/>
        <v>42582</v>
      </c>
      <c r="K11" s="30">
        <v>42593</v>
      </c>
      <c r="L11" s="1">
        <f>K11-J11</f>
        <v>11</v>
      </c>
      <c r="N11" t="s">
        <v>0</v>
      </c>
    </row>
    <row r="12" spans="1:25" x14ac:dyDescent="0.25">
      <c r="A12" s="41" t="s">
        <v>38</v>
      </c>
      <c r="B12" s="101">
        <v>3</v>
      </c>
      <c r="C12" s="10">
        <v>1155</v>
      </c>
      <c r="D12" s="51">
        <v>64091</v>
      </c>
      <c r="E12" s="10">
        <v>16</v>
      </c>
      <c r="F12" s="40">
        <v>0</v>
      </c>
      <c r="G12" s="79">
        <f t="shared" si="3"/>
        <v>1139</v>
      </c>
      <c r="H12" s="38">
        <v>42467</v>
      </c>
      <c r="I12" s="81">
        <f>IFERROR(IF(OR(I$2-H12&lt;0,I$2-H12&gt;7*25),0,(I$2-H12)/7),0)</f>
        <v>8.1428571428571423</v>
      </c>
      <c r="J12" s="29">
        <f t="shared" si="1"/>
        <v>42597</v>
      </c>
      <c r="K12" s="30">
        <v>42607</v>
      </c>
      <c r="L12" s="1">
        <f>K12-J12</f>
        <v>10</v>
      </c>
    </row>
    <row r="13" spans="1:25" x14ac:dyDescent="0.25">
      <c r="A13" s="10"/>
      <c r="B13" s="101">
        <v>4</v>
      </c>
      <c r="C13" s="10">
        <v>1148</v>
      </c>
      <c r="D13" s="51">
        <v>86119</v>
      </c>
      <c r="E13" s="10">
        <v>24</v>
      </c>
      <c r="F13" s="40">
        <v>0</v>
      </c>
      <c r="G13" s="79">
        <f t="shared" si="3"/>
        <v>1124</v>
      </c>
      <c r="H13" s="38">
        <v>42480</v>
      </c>
      <c r="I13" s="81">
        <f>IFERROR(IF(OR(I$2-H13&lt;0,I$2-H13&gt;7*25),0,(I$2-H13)/7),0)</f>
        <v>6.2857142857142856</v>
      </c>
      <c r="J13" s="29">
        <f>H13+130</f>
        <v>42610</v>
      </c>
      <c r="K13" s="30">
        <v>42607</v>
      </c>
      <c r="L13" s="1">
        <f>K13-J13</f>
        <v>-3</v>
      </c>
    </row>
    <row r="14" spans="1:25" x14ac:dyDescent="0.25">
      <c r="A14" s="82"/>
      <c r="B14" s="102">
        <v>5</v>
      </c>
      <c r="C14" s="83">
        <v>1396</v>
      </c>
      <c r="D14" s="84">
        <v>77897</v>
      </c>
      <c r="E14" s="82">
        <v>19</v>
      </c>
      <c r="F14" s="85">
        <v>0</v>
      </c>
      <c r="G14" s="79">
        <f t="shared" si="3"/>
        <v>1377</v>
      </c>
      <c r="H14" s="38">
        <v>42494</v>
      </c>
      <c r="I14" s="81">
        <f>IFERROR(IF(OR(I$2-H14&lt;0,I$2-H14&gt;7*25),0,(I$2-H14)/7),0)</f>
        <v>4.2857142857142856</v>
      </c>
      <c r="J14" s="38">
        <f>H14+130</f>
        <v>42624</v>
      </c>
      <c r="K14" s="30">
        <v>42621</v>
      </c>
      <c r="L14" s="1">
        <f>K14-J14</f>
        <v>-3</v>
      </c>
    </row>
    <row r="15" spans="1:25" s="24" customFormat="1" ht="15.75" thickBot="1" x14ac:dyDescent="0.3">
      <c r="A15" s="89" t="s">
        <v>27</v>
      </c>
      <c r="B15" s="103"/>
      <c r="C15" s="89">
        <f>SUM(C10:C14)</f>
        <v>5723</v>
      </c>
      <c r="D15" s="90"/>
      <c r="E15" s="89"/>
      <c r="F15" s="89"/>
      <c r="G15" s="91">
        <f>SUM(G10:G14)</f>
        <v>5619</v>
      </c>
      <c r="H15" s="89"/>
      <c r="I15" s="92">
        <f>IFERROR(SUMPRODUCT(G10:G14,I10:I14)/G15,0)</f>
        <v>7.5808354308087349</v>
      </c>
      <c r="J15" s="25"/>
      <c r="K15" s="25"/>
      <c r="L15" s="67"/>
      <c r="M15" s="68"/>
    </row>
    <row r="16" spans="1:25" x14ac:dyDescent="0.25">
      <c r="A16" s="33" t="s">
        <v>6</v>
      </c>
      <c r="B16" s="12">
        <v>1</v>
      </c>
      <c r="C16" s="88">
        <v>987</v>
      </c>
      <c r="D16" s="49">
        <v>53740</v>
      </c>
      <c r="E16" s="12">
        <v>25</v>
      </c>
      <c r="F16" s="42">
        <v>0</v>
      </c>
      <c r="G16" s="79">
        <f>C16-E16-F16</f>
        <v>962</v>
      </c>
      <c r="H16" s="37">
        <v>42440</v>
      </c>
      <c r="I16" s="81">
        <f t="shared" ref="I16:I21" si="4">IFERROR(IF(OR(I$2-H16&lt;0,I$2-H16&gt;7*25),0,(I$2-H16)/7),0)</f>
        <v>12</v>
      </c>
      <c r="J16" s="29">
        <f t="shared" ref="J16:J24" si="5">H16+130</f>
        <v>42570</v>
      </c>
      <c r="K16" s="30">
        <v>42585</v>
      </c>
      <c r="L16" s="1">
        <f t="shared" si="2"/>
        <v>15</v>
      </c>
    </row>
    <row r="17" spans="1:13" x14ac:dyDescent="0.25">
      <c r="A17" s="32" t="s">
        <v>39</v>
      </c>
      <c r="B17" s="10">
        <v>2</v>
      </c>
      <c r="C17" s="40">
        <v>990</v>
      </c>
      <c r="D17" s="51">
        <v>54500</v>
      </c>
      <c r="E17" s="10">
        <v>34</v>
      </c>
      <c r="F17" s="17">
        <v>0</v>
      </c>
      <c r="G17" s="79">
        <f>C17-E17-F17</f>
        <v>956</v>
      </c>
      <c r="H17" s="18">
        <v>42440</v>
      </c>
      <c r="I17" s="81">
        <f t="shared" si="4"/>
        <v>12</v>
      </c>
      <c r="J17" s="29">
        <f t="shared" si="5"/>
        <v>42570</v>
      </c>
      <c r="K17" s="30">
        <v>42585</v>
      </c>
      <c r="L17" s="1">
        <f t="shared" si="2"/>
        <v>15</v>
      </c>
    </row>
    <row r="18" spans="1:13" x14ac:dyDescent="0.25">
      <c r="A18" s="41" t="s">
        <v>38</v>
      </c>
      <c r="B18" s="10">
        <v>3</v>
      </c>
      <c r="C18" s="10">
        <v>1047</v>
      </c>
      <c r="D18" s="51">
        <v>53916</v>
      </c>
      <c r="E18" s="10">
        <v>29</v>
      </c>
      <c r="F18" s="10">
        <v>0</v>
      </c>
      <c r="G18" s="79">
        <f t="shared" si="3"/>
        <v>1018</v>
      </c>
      <c r="H18" s="18">
        <v>42443</v>
      </c>
      <c r="I18" s="81">
        <f t="shared" si="4"/>
        <v>11.571428571428571</v>
      </c>
      <c r="J18" s="29">
        <f t="shared" si="5"/>
        <v>42573</v>
      </c>
      <c r="K18" s="30">
        <v>42592</v>
      </c>
      <c r="L18" s="1">
        <f t="shared" si="2"/>
        <v>19</v>
      </c>
    </row>
    <row r="19" spans="1:13" x14ac:dyDescent="0.25">
      <c r="A19" s="10"/>
      <c r="B19" s="10">
        <v>4</v>
      </c>
      <c r="C19" s="10">
        <v>1067</v>
      </c>
      <c r="D19" s="51">
        <v>52724</v>
      </c>
      <c r="E19" s="10">
        <v>23</v>
      </c>
      <c r="F19" s="10">
        <v>0</v>
      </c>
      <c r="G19" s="79">
        <f t="shared" si="3"/>
        <v>1044</v>
      </c>
      <c r="H19" s="18">
        <v>42443</v>
      </c>
      <c r="I19" s="81">
        <f t="shared" si="4"/>
        <v>11.571428571428571</v>
      </c>
      <c r="J19" s="29">
        <f t="shared" si="5"/>
        <v>42573</v>
      </c>
      <c r="K19" s="30">
        <v>42592</v>
      </c>
      <c r="L19" s="1">
        <f t="shared" si="2"/>
        <v>19</v>
      </c>
    </row>
    <row r="20" spans="1:13" x14ac:dyDescent="0.25">
      <c r="A20" s="10"/>
      <c r="B20" s="10">
        <v>5</v>
      </c>
      <c r="C20" s="17">
        <v>1100</v>
      </c>
      <c r="D20" s="50">
        <v>64673</v>
      </c>
      <c r="E20" s="10">
        <v>24</v>
      </c>
      <c r="F20" s="10">
        <v>0</v>
      </c>
      <c r="G20" s="79">
        <f t="shared" si="3"/>
        <v>1076</v>
      </c>
      <c r="H20" s="18">
        <v>42452</v>
      </c>
      <c r="I20" s="81">
        <f t="shared" si="4"/>
        <v>10.285714285714286</v>
      </c>
      <c r="J20" s="29">
        <f t="shared" si="5"/>
        <v>42582</v>
      </c>
      <c r="K20" s="30">
        <v>42599</v>
      </c>
      <c r="L20" s="1">
        <f t="shared" si="2"/>
        <v>17</v>
      </c>
      <c r="M20" t="s">
        <v>0</v>
      </c>
    </row>
    <row r="21" spans="1:13" x14ac:dyDescent="0.25">
      <c r="A21" s="82"/>
      <c r="B21" s="82">
        <v>6</v>
      </c>
      <c r="C21" s="83">
        <v>1100</v>
      </c>
      <c r="D21" s="93">
        <v>58787</v>
      </c>
      <c r="E21" s="82">
        <v>40</v>
      </c>
      <c r="F21" s="82">
        <v>0</v>
      </c>
      <c r="G21" s="86">
        <f t="shared" si="3"/>
        <v>1060</v>
      </c>
      <c r="H21" s="87">
        <v>42452</v>
      </c>
      <c r="I21" s="81">
        <f t="shared" si="4"/>
        <v>10.285714285714286</v>
      </c>
      <c r="J21" s="29">
        <f t="shared" si="5"/>
        <v>42582</v>
      </c>
      <c r="K21" s="30">
        <v>42599</v>
      </c>
      <c r="L21" s="70">
        <f t="shared" si="2"/>
        <v>17</v>
      </c>
      <c r="M21" s="71" t="s">
        <v>0</v>
      </c>
    </row>
    <row r="22" spans="1:13" s="24" customFormat="1" ht="15.75" thickBot="1" x14ac:dyDescent="0.3">
      <c r="A22" s="89" t="s">
        <v>27</v>
      </c>
      <c r="B22" s="89"/>
      <c r="C22" s="89">
        <f>SUM(C16:C21)</f>
        <v>6291</v>
      </c>
      <c r="D22" s="90"/>
      <c r="E22" s="89"/>
      <c r="F22" s="89"/>
      <c r="G22" s="91">
        <f>SUM(G16:G21)</f>
        <v>6116</v>
      </c>
      <c r="H22" s="89"/>
      <c r="I22" s="92">
        <f>IFERROR(SUMPRODUCT(G16:G21,I16:I21)/G22,0)</f>
        <v>11.256797159674859</v>
      </c>
      <c r="J22" s="25"/>
      <c r="K22" s="25"/>
      <c r="L22" s="67"/>
      <c r="M22" s="68"/>
    </row>
    <row r="23" spans="1:13" x14ac:dyDescent="0.25">
      <c r="A23" s="33" t="s">
        <v>7</v>
      </c>
      <c r="B23" s="12">
        <v>1</v>
      </c>
      <c r="C23" s="36">
        <v>0</v>
      </c>
      <c r="D23" s="49">
        <v>0</v>
      </c>
      <c r="E23" s="12">
        <v>0</v>
      </c>
      <c r="F23" s="12">
        <v>0</v>
      </c>
      <c r="G23" s="79">
        <f t="shared" si="3"/>
        <v>0</v>
      </c>
      <c r="H23" s="30">
        <v>42537</v>
      </c>
      <c r="I23" s="81">
        <f>IFERROR(IF(OR(I$2-H23&lt;0,I$2-H23&gt;7*25),0,(I$2-H23)/7),0)</f>
        <v>0</v>
      </c>
      <c r="J23" s="29">
        <f t="shared" si="5"/>
        <v>42667</v>
      </c>
      <c r="K23" s="30" t="s">
        <v>0</v>
      </c>
      <c r="L23" s="70" t="e">
        <f t="shared" si="2"/>
        <v>#VALUE!</v>
      </c>
      <c r="M23" s="71"/>
    </row>
    <row r="24" spans="1:13" x14ac:dyDescent="0.25">
      <c r="A24" s="32" t="s">
        <v>35</v>
      </c>
      <c r="B24" s="10">
        <v>2</v>
      </c>
      <c r="C24" s="35">
        <v>0</v>
      </c>
      <c r="D24" s="51">
        <v>0</v>
      </c>
      <c r="E24" s="10">
        <v>0</v>
      </c>
      <c r="F24" s="10">
        <v>0</v>
      </c>
      <c r="G24" s="79">
        <f t="shared" si="3"/>
        <v>0</v>
      </c>
      <c r="H24" s="30">
        <v>42537</v>
      </c>
      <c r="I24" s="81">
        <f>IFERROR(IF(OR(I$2-H24&lt;0,I$2-H24&gt;7*25),0,(I$2-H24)/7),0)</f>
        <v>0</v>
      </c>
      <c r="J24" s="29">
        <f t="shared" si="5"/>
        <v>42667</v>
      </c>
      <c r="K24" s="30" t="s">
        <v>0</v>
      </c>
      <c r="L24" s="70" t="e">
        <f t="shared" si="2"/>
        <v>#VALUE!</v>
      </c>
      <c r="M24" s="71"/>
    </row>
    <row r="25" spans="1:13" x14ac:dyDescent="0.25">
      <c r="A25" s="41" t="s">
        <v>38</v>
      </c>
      <c r="B25" s="10">
        <v>3</v>
      </c>
      <c r="C25" s="10">
        <v>1404</v>
      </c>
      <c r="D25" s="51">
        <v>88747</v>
      </c>
      <c r="E25" s="10">
        <v>80</v>
      </c>
      <c r="F25" s="10">
        <v>643</v>
      </c>
      <c r="G25" s="79">
        <f t="shared" si="3"/>
        <v>681</v>
      </c>
      <c r="H25" s="18">
        <v>42394</v>
      </c>
      <c r="I25" s="81">
        <f>IFERROR(IF(OR(I$2-H25&lt;0,I$2-H25&gt;7*25),0,(I$2-H25)/7),0)</f>
        <v>18.571428571428573</v>
      </c>
      <c r="J25" s="38">
        <f>H25+130</f>
        <v>42524</v>
      </c>
      <c r="K25" s="30">
        <v>42537</v>
      </c>
      <c r="L25" s="70">
        <f t="shared" si="2"/>
        <v>13</v>
      </c>
      <c r="M25" s="71"/>
    </row>
    <row r="26" spans="1:13" x14ac:dyDescent="0.25">
      <c r="A26" s="10"/>
      <c r="B26" s="10">
        <v>4</v>
      </c>
      <c r="C26" s="10">
        <v>1372</v>
      </c>
      <c r="D26" s="51">
        <v>70068</v>
      </c>
      <c r="E26" s="10">
        <v>71</v>
      </c>
      <c r="F26" s="10">
        <v>552</v>
      </c>
      <c r="G26" s="79">
        <f t="shared" si="3"/>
        <v>749</v>
      </c>
      <c r="H26" s="18">
        <v>42394</v>
      </c>
      <c r="I26" s="81">
        <f>IFERROR(IF(OR(I$2-H26&lt;0,I$2-H26&gt;7*25),0,(I$2-H26)/7),0)</f>
        <v>18.571428571428573</v>
      </c>
      <c r="J26" s="38">
        <f>H26+130</f>
        <v>42524</v>
      </c>
      <c r="K26" s="30">
        <v>42537</v>
      </c>
      <c r="L26" s="70">
        <f t="shared" si="2"/>
        <v>13</v>
      </c>
      <c r="M26" s="71"/>
    </row>
    <row r="27" spans="1:13" x14ac:dyDescent="0.25">
      <c r="A27" s="82"/>
      <c r="B27" s="82">
        <v>5</v>
      </c>
      <c r="C27" s="94">
        <v>1383</v>
      </c>
      <c r="D27" s="84">
        <v>81959</v>
      </c>
      <c r="E27" s="82">
        <v>133</v>
      </c>
      <c r="F27" s="82">
        <v>362</v>
      </c>
      <c r="G27" s="86">
        <f t="shared" si="3"/>
        <v>888</v>
      </c>
      <c r="H27" s="87">
        <v>42409</v>
      </c>
      <c r="I27" s="81">
        <f>IFERROR(IF(OR(I$2-H27&lt;0,I$2-H27&gt;7*25),0,(I$2-H27)/7),0)</f>
        <v>16.428571428571427</v>
      </c>
      <c r="J27" s="38">
        <f>H27+130</f>
        <v>42539</v>
      </c>
      <c r="K27" s="30">
        <v>42551</v>
      </c>
      <c r="L27" s="70">
        <f t="shared" si="2"/>
        <v>12</v>
      </c>
      <c r="M27" s="71"/>
    </row>
    <row r="28" spans="1:13" s="24" customFormat="1" ht="15.75" thickBot="1" x14ac:dyDescent="0.3">
      <c r="A28" s="89" t="s">
        <v>27</v>
      </c>
      <c r="B28" s="89"/>
      <c r="C28" s="89">
        <f>SUM(C23:C27)</f>
        <v>4159</v>
      </c>
      <c r="D28" s="90"/>
      <c r="E28" s="89"/>
      <c r="F28" s="89"/>
      <c r="G28" s="91">
        <f>SUM(G23:G27)</f>
        <v>2318</v>
      </c>
      <c r="H28" s="89"/>
      <c r="I28" s="92">
        <f>IFERROR(SUMPRODUCT(G23:G27,I23:I27)/G28,0)</f>
        <v>17.750523850610133</v>
      </c>
      <c r="J28" s="25"/>
      <c r="K28" s="25"/>
      <c r="L28" s="67"/>
      <c r="M28" s="68"/>
    </row>
    <row r="29" spans="1:13" x14ac:dyDescent="0.25">
      <c r="A29" s="33" t="s">
        <v>8</v>
      </c>
      <c r="B29" s="12">
        <v>1</v>
      </c>
      <c r="C29" s="12">
        <v>1042</v>
      </c>
      <c r="D29" s="49">
        <v>62822</v>
      </c>
      <c r="E29" s="12">
        <v>2</v>
      </c>
      <c r="F29" s="12">
        <v>0</v>
      </c>
      <c r="G29" s="79">
        <f t="shared" si="3"/>
        <v>1040</v>
      </c>
      <c r="H29" s="37">
        <v>42506</v>
      </c>
      <c r="I29" s="81">
        <f>IFERROR(IF(OR(I$2-H29&lt;0,I$2-H29&gt;7*25),0,(I$2-H29)/7),0)</f>
        <v>2.5714285714285716</v>
      </c>
      <c r="J29" s="38">
        <f>H29+130</f>
        <v>42636</v>
      </c>
      <c r="K29" s="30" t="s">
        <v>0</v>
      </c>
      <c r="L29" s="70" t="e">
        <f t="shared" si="2"/>
        <v>#VALUE!</v>
      </c>
      <c r="M29" s="71"/>
    </row>
    <row r="30" spans="1:13" x14ac:dyDescent="0.25">
      <c r="A30" s="32" t="s">
        <v>35</v>
      </c>
      <c r="B30" s="10">
        <v>2</v>
      </c>
      <c r="C30" s="10">
        <v>1031</v>
      </c>
      <c r="D30" s="51">
        <v>58726</v>
      </c>
      <c r="E30" s="40">
        <v>0</v>
      </c>
      <c r="F30" s="10">
        <v>0</v>
      </c>
      <c r="G30" s="79">
        <f t="shared" si="3"/>
        <v>1031</v>
      </c>
      <c r="H30" s="18">
        <v>42507</v>
      </c>
      <c r="I30" s="81">
        <f>IFERROR(IF(OR(I$2-H30&lt;0,I$2-H30&gt;7*25),0,(I$2-H30)/7),0)</f>
        <v>2.4285714285714284</v>
      </c>
      <c r="J30" s="38">
        <f>H30+130</f>
        <v>42637</v>
      </c>
      <c r="K30" s="30" t="s">
        <v>0</v>
      </c>
      <c r="L30" s="70" t="e">
        <f t="shared" si="2"/>
        <v>#VALUE!</v>
      </c>
      <c r="M30" s="71"/>
    </row>
    <row r="31" spans="1:13" x14ac:dyDescent="0.25">
      <c r="A31" s="41" t="s">
        <v>38</v>
      </c>
      <c r="B31" s="10">
        <v>3</v>
      </c>
      <c r="C31" s="17">
        <v>1241</v>
      </c>
      <c r="D31" s="50">
        <v>78183</v>
      </c>
      <c r="E31" s="10">
        <v>0</v>
      </c>
      <c r="F31" s="10">
        <v>0</v>
      </c>
      <c r="G31" s="79">
        <f t="shared" si="3"/>
        <v>1241</v>
      </c>
      <c r="H31" s="38">
        <v>42520</v>
      </c>
      <c r="I31" s="81">
        <f>IFERROR(IF(OR(I$2-H31&lt;0,I$2-H31&gt;7*25),0,(I$2-H31)/7),0)</f>
        <v>0.5714285714285714</v>
      </c>
      <c r="J31" s="38">
        <f>H31+130</f>
        <v>42650</v>
      </c>
      <c r="K31" s="30" t="s">
        <v>0</v>
      </c>
      <c r="L31" s="70" t="e">
        <f t="shared" si="2"/>
        <v>#VALUE!</v>
      </c>
      <c r="M31" s="71"/>
    </row>
    <row r="32" spans="1:13" x14ac:dyDescent="0.25">
      <c r="A32" s="10"/>
      <c r="B32" s="10">
        <v>4</v>
      </c>
      <c r="C32" s="17">
        <v>1203</v>
      </c>
      <c r="D32" s="50">
        <v>62821</v>
      </c>
      <c r="E32" s="10">
        <v>0</v>
      </c>
      <c r="F32" s="10">
        <v>0</v>
      </c>
      <c r="G32" s="79">
        <f t="shared" si="3"/>
        <v>1203</v>
      </c>
      <c r="H32" s="38">
        <v>42521</v>
      </c>
      <c r="I32" s="81">
        <f>IFERROR(IF(OR(I$2-H32&lt;0,I$2-H32&gt;7*25),0,(I$2-H32)/7),0)</f>
        <v>0.42857142857142855</v>
      </c>
      <c r="J32" s="38">
        <f>H32+130</f>
        <v>42651</v>
      </c>
      <c r="K32" s="30" t="s">
        <v>0</v>
      </c>
      <c r="L32" s="70" t="e">
        <f t="shared" si="2"/>
        <v>#VALUE!</v>
      </c>
      <c r="M32" s="71"/>
    </row>
    <row r="33" spans="1:13" x14ac:dyDescent="0.25">
      <c r="A33" s="82"/>
      <c r="B33" s="82">
        <v>5</v>
      </c>
      <c r="C33" s="82">
        <v>0</v>
      </c>
      <c r="D33" s="93">
        <v>0</v>
      </c>
      <c r="E33" s="82">
        <v>0</v>
      </c>
      <c r="F33" s="82">
        <v>0</v>
      </c>
      <c r="G33" s="86">
        <f t="shared" si="3"/>
        <v>0</v>
      </c>
      <c r="H33" s="30">
        <v>42536</v>
      </c>
      <c r="I33" s="81">
        <f>IFERROR(IF(OR(I$2-H33&lt;0,I$2-H33&gt;7*25),0,(I$2-H33)/7),0)</f>
        <v>0</v>
      </c>
      <c r="J33" s="38">
        <f>H33+130</f>
        <v>42666</v>
      </c>
      <c r="K33" s="30" t="s">
        <v>0</v>
      </c>
      <c r="L33" s="70" t="e">
        <f t="shared" si="2"/>
        <v>#VALUE!</v>
      </c>
      <c r="M33" s="71"/>
    </row>
    <row r="34" spans="1:13" s="24" customFormat="1" ht="15.75" thickBot="1" x14ac:dyDescent="0.3">
      <c r="A34" s="89" t="s">
        <v>27</v>
      </c>
      <c r="B34" s="89"/>
      <c r="C34" s="89">
        <f>SUM(C29:C33)</f>
        <v>4517</v>
      </c>
      <c r="D34" s="90"/>
      <c r="E34" s="89"/>
      <c r="F34" s="89"/>
      <c r="G34" s="91">
        <f>SUM(G29:G33)</f>
        <v>4515</v>
      </c>
      <c r="H34" s="89"/>
      <c r="I34" s="92">
        <f>IFERROR(SUMPRODUCT(G29:G33,I29:I33)/G34,0)</f>
        <v>1.4181300427147603</v>
      </c>
      <c r="J34" s="25"/>
      <c r="K34" s="25"/>
      <c r="L34" s="67"/>
      <c r="M34" s="68" t="s">
        <v>0</v>
      </c>
    </row>
    <row r="35" spans="1:13" x14ac:dyDescent="0.25">
      <c r="A35" s="33" t="s">
        <v>9</v>
      </c>
      <c r="B35" s="12">
        <v>1</v>
      </c>
      <c r="C35" s="36">
        <v>0</v>
      </c>
      <c r="D35" s="49">
        <v>0</v>
      </c>
      <c r="E35" s="12">
        <v>0</v>
      </c>
      <c r="F35" s="12">
        <v>0</v>
      </c>
      <c r="G35" s="79">
        <f t="shared" si="3"/>
        <v>0</v>
      </c>
      <c r="H35" s="37">
        <v>42389</v>
      </c>
      <c r="I35" s="81">
        <f t="shared" ref="I35:I40" si="6">IFERROR(IF(OR(I$2-H35&lt;0,I$2-H35&gt;7*25),0,(I$2-H35)/7),0)</f>
        <v>19.285714285714285</v>
      </c>
      <c r="J35" s="38">
        <f t="shared" ref="J35:J40" si="7">H35+130</f>
        <v>42519</v>
      </c>
      <c r="K35" s="30">
        <v>42536</v>
      </c>
      <c r="L35" s="70">
        <f t="shared" si="2"/>
        <v>17</v>
      </c>
      <c r="M35" s="71"/>
    </row>
    <row r="36" spans="1:13" x14ac:dyDescent="0.25">
      <c r="A36" s="32" t="s">
        <v>39</v>
      </c>
      <c r="B36" s="10">
        <v>2</v>
      </c>
      <c r="C36" s="35">
        <v>0</v>
      </c>
      <c r="D36" s="51">
        <v>0</v>
      </c>
      <c r="E36" s="10">
        <v>0</v>
      </c>
      <c r="F36" s="10">
        <v>0</v>
      </c>
      <c r="G36" s="79">
        <f t="shared" si="3"/>
        <v>0</v>
      </c>
      <c r="H36" s="18">
        <v>42389</v>
      </c>
      <c r="I36" s="81">
        <f t="shared" si="6"/>
        <v>19.285714285714285</v>
      </c>
      <c r="J36" s="38">
        <f t="shared" si="7"/>
        <v>42519</v>
      </c>
      <c r="K36" s="30">
        <v>42536</v>
      </c>
      <c r="L36" s="70">
        <f t="shared" si="2"/>
        <v>17</v>
      </c>
      <c r="M36" s="71"/>
    </row>
    <row r="37" spans="1:13" x14ac:dyDescent="0.25">
      <c r="A37" s="41" t="s">
        <v>38</v>
      </c>
      <c r="B37" s="10">
        <v>3</v>
      </c>
      <c r="C37" s="35">
        <v>859</v>
      </c>
      <c r="D37" s="51">
        <v>49580</v>
      </c>
      <c r="E37" s="10">
        <v>45</v>
      </c>
      <c r="F37" s="10">
        <v>620</v>
      </c>
      <c r="G37" s="79">
        <f t="shared" si="3"/>
        <v>194</v>
      </c>
      <c r="H37" s="18">
        <v>42395</v>
      </c>
      <c r="I37" s="81">
        <f t="shared" si="6"/>
        <v>18.428571428571427</v>
      </c>
      <c r="J37" s="29">
        <f t="shared" si="7"/>
        <v>42525</v>
      </c>
      <c r="K37" s="30">
        <v>42543</v>
      </c>
      <c r="L37" s="70">
        <f t="shared" si="2"/>
        <v>18</v>
      </c>
      <c r="M37" s="71"/>
    </row>
    <row r="38" spans="1:13" x14ac:dyDescent="0.25">
      <c r="A38" s="10"/>
      <c r="B38" s="10">
        <v>4</v>
      </c>
      <c r="C38" s="35">
        <v>0</v>
      </c>
      <c r="D38" s="51">
        <v>0</v>
      </c>
      <c r="E38" s="10">
        <v>0</v>
      </c>
      <c r="F38" s="10">
        <v>0</v>
      </c>
      <c r="G38" s="79">
        <f t="shared" si="3"/>
        <v>0</v>
      </c>
      <c r="H38" s="18">
        <v>42396</v>
      </c>
      <c r="I38" s="81">
        <f t="shared" si="6"/>
        <v>18.285714285714285</v>
      </c>
      <c r="J38" s="29">
        <f t="shared" si="7"/>
        <v>42526</v>
      </c>
      <c r="K38" s="30">
        <v>42543</v>
      </c>
      <c r="L38" s="70">
        <f t="shared" si="2"/>
        <v>17</v>
      </c>
      <c r="M38" s="71"/>
    </row>
    <row r="39" spans="1:13" x14ac:dyDescent="0.25">
      <c r="A39" s="10"/>
      <c r="B39" s="10">
        <v>5</v>
      </c>
      <c r="C39" s="35">
        <v>889</v>
      </c>
      <c r="D39" s="51">
        <v>52500</v>
      </c>
      <c r="E39" s="10">
        <v>48</v>
      </c>
      <c r="F39" s="17">
        <v>533</v>
      </c>
      <c r="G39" s="79">
        <f t="shared" si="3"/>
        <v>308</v>
      </c>
      <c r="H39" s="18">
        <v>42403</v>
      </c>
      <c r="I39" s="81">
        <f t="shared" si="6"/>
        <v>17.285714285714285</v>
      </c>
      <c r="J39" s="29">
        <f t="shared" si="7"/>
        <v>42533</v>
      </c>
      <c r="K39" s="30">
        <v>42550</v>
      </c>
      <c r="L39" s="70">
        <f t="shared" si="2"/>
        <v>17</v>
      </c>
      <c r="M39" s="71"/>
    </row>
    <row r="40" spans="1:13" x14ac:dyDescent="0.25">
      <c r="A40" s="82"/>
      <c r="B40" s="82">
        <v>6</v>
      </c>
      <c r="C40" s="94">
        <v>875</v>
      </c>
      <c r="D40" s="84">
        <v>52820</v>
      </c>
      <c r="E40" s="82">
        <v>24</v>
      </c>
      <c r="F40" s="83">
        <v>532</v>
      </c>
      <c r="G40" s="86">
        <f t="shared" si="3"/>
        <v>319</v>
      </c>
      <c r="H40" s="87">
        <v>42403</v>
      </c>
      <c r="I40" s="81">
        <f t="shared" si="6"/>
        <v>17.285714285714285</v>
      </c>
      <c r="J40" s="29">
        <f t="shared" si="7"/>
        <v>42533</v>
      </c>
      <c r="K40" s="30">
        <v>42550</v>
      </c>
      <c r="L40" s="70">
        <f t="shared" si="2"/>
        <v>17</v>
      </c>
      <c r="M40" s="71"/>
    </row>
    <row r="41" spans="1:13" s="24" customFormat="1" ht="15.75" thickBot="1" x14ac:dyDescent="0.3">
      <c r="A41" s="89" t="s">
        <v>27</v>
      </c>
      <c r="B41" s="89"/>
      <c r="C41" s="89">
        <f>SUM(C35:C40)</f>
        <v>2623</v>
      </c>
      <c r="D41" s="90"/>
      <c r="E41" s="89"/>
      <c r="F41" s="89"/>
      <c r="G41" s="91">
        <f>SUM(G35:G40)</f>
        <v>821</v>
      </c>
      <c r="H41" s="89"/>
      <c r="I41" s="92">
        <f>IFERROR(SUMPRODUCT(G35:G40,I35:I40)/G41,0)</f>
        <v>17.555768226900991</v>
      </c>
      <c r="J41" s="25"/>
      <c r="K41" s="25"/>
      <c r="L41" s="67"/>
      <c r="M41" s="68"/>
    </row>
    <row r="42" spans="1:13" x14ac:dyDescent="0.25">
      <c r="A42" s="33" t="s">
        <v>10</v>
      </c>
      <c r="B42" s="12">
        <v>1</v>
      </c>
      <c r="C42" s="88">
        <v>1381</v>
      </c>
      <c r="D42" s="49">
        <v>94737</v>
      </c>
      <c r="E42" s="12">
        <v>57</v>
      </c>
      <c r="F42" s="12">
        <v>0</v>
      </c>
      <c r="G42" s="79">
        <f t="shared" si="3"/>
        <v>1324</v>
      </c>
      <c r="H42" s="37">
        <v>42432</v>
      </c>
      <c r="I42" s="81">
        <f t="shared" ref="I42:I47" si="8">IFERROR(IF(OR(I$2-H42&lt;0,I$2-H42&gt;7*25),0,(I$2-H42)/7),0)</f>
        <v>13.142857142857142</v>
      </c>
      <c r="J42" s="29">
        <f t="shared" ref="J42:J47" si="9">H42+130</f>
        <v>42562</v>
      </c>
      <c r="K42" s="30">
        <v>42586</v>
      </c>
      <c r="L42" s="70">
        <f t="shared" si="2"/>
        <v>24</v>
      </c>
      <c r="M42" s="71"/>
    </row>
    <row r="43" spans="1:13" x14ac:dyDescent="0.25">
      <c r="A43" s="32" t="s">
        <v>37</v>
      </c>
      <c r="B43" s="10">
        <v>2</v>
      </c>
      <c r="C43" s="40">
        <v>1370</v>
      </c>
      <c r="D43" s="51">
        <v>89872</v>
      </c>
      <c r="E43" s="10">
        <v>52</v>
      </c>
      <c r="F43" s="12">
        <v>0</v>
      </c>
      <c r="G43" s="79">
        <f t="shared" si="3"/>
        <v>1318</v>
      </c>
      <c r="H43" s="18">
        <v>42432</v>
      </c>
      <c r="I43" s="81">
        <f t="shared" si="8"/>
        <v>13.142857142857142</v>
      </c>
      <c r="J43" s="29">
        <f>H43+130</f>
        <v>42562</v>
      </c>
      <c r="K43" s="30">
        <v>42586</v>
      </c>
      <c r="L43" s="70">
        <f>K43-J43</f>
        <v>24</v>
      </c>
      <c r="M43" s="71"/>
    </row>
    <row r="44" spans="1:13" x14ac:dyDescent="0.25">
      <c r="A44" s="41" t="s">
        <v>38</v>
      </c>
      <c r="B44" s="10">
        <v>3</v>
      </c>
      <c r="C44" s="10">
        <v>1394</v>
      </c>
      <c r="D44" s="51">
        <v>91084</v>
      </c>
      <c r="E44" s="10">
        <v>47</v>
      </c>
      <c r="F44" s="12">
        <v>0</v>
      </c>
      <c r="G44" s="79">
        <f t="shared" si="3"/>
        <v>1347</v>
      </c>
      <c r="H44" s="18">
        <v>42446</v>
      </c>
      <c r="I44" s="81">
        <f t="shared" si="8"/>
        <v>11.142857142857142</v>
      </c>
      <c r="J44" s="29">
        <f t="shared" si="9"/>
        <v>42576</v>
      </c>
      <c r="K44" s="30">
        <v>42600</v>
      </c>
      <c r="L44" s="70">
        <f t="shared" si="2"/>
        <v>24</v>
      </c>
      <c r="M44" s="71"/>
    </row>
    <row r="45" spans="1:13" x14ac:dyDescent="0.25">
      <c r="A45" s="10"/>
      <c r="B45" s="10">
        <v>4</v>
      </c>
      <c r="C45" s="10">
        <v>1382</v>
      </c>
      <c r="D45" s="51">
        <v>92069</v>
      </c>
      <c r="E45" s="10">
        <v>57</v>
      </c>
      <c r="F45" s="12">
        <v>0</v>
      </c>
      <c r="G45" s="79">
        <f t="shared" si="3"/>
        <v>1325</v>
      </c>
      <c r="H45" s="18">
        <v>42446</v>
      </c>
      <c r="I45" s="81">
        <f t="shared" si="8"/>
        <v>11.142857142857142</v>
      </c>
      <c r="J45" s="29">
        <f t="shared" si="9"/>
        <v>42576</v>
      </c>
      <c r="K45" s="30">
        <v>42600</v>
      </c>
      <c r="L45" s="70">
        <f t="shared" si="2"/>
        <v>24</v>
      </c>
      <c r="M45" s="71"/>
    </row>
    <row r="46" spans="1:13" x14ac:dyDescent="0.25">
      <c r="A46" s="10"/>
      <c r="B46" s="10">
        <v>5</v>
      </c>
      <c r="C46" s="10">
        <v>1452</v>
      </c>
      <c r="D46" s="50">
        <v>95180</v>
      </c>
      <c r="E46" s="10">
        <v>29</v>
      </c>
      <c r="F46" s="12">
        <v>0</v>
      </c>
      <c r="G46" s="79">
        <f t="shared" si="3"/>
        <v>1423</v>
      </c>
      <c r="H46" s="18">
        <v>42461</v>
      </c>
      <c r="I46" s="81">
        <f t="shared" si="8"/>
        <v>9</v>
      </c>
      <c r="J46" s="29">
        <f t="shared" si="9"/>
        <v>42591</v>
      </c>
      <c r="K46" s="30">
        <v>42614</v>
      </c>
      <c r="L46" s="70">
        <f t="shared" si="2"/>
        <v>23</v>
      </c>
      <c r="M46" s="71"/>
    </row>
    <row r="47" spans="1:13" x14ac:dyDescent="0.25">
      <c r="A47" s="82"/>
      <c r="B47" s="82">
        <v>6</v>
      </c>
      <c r="C47" s="10">
        <v>1436</v>
      </c>
      <c r="D47" s="93">
        <v>108280</v>
      </c>
      <c r="E47" s="82">
        <v>41</v>
      </c>
      <c r="F47" s="85">
        <v>0</v>
      </c>
      <c r="G47" s="86">
        <f t="shared" si="3"/>
        <v>1395</v>
      </c>
      <c r="H47" s="87">
        <v>42461</v>
      </c>
      <c r="I47" s="81">
        <f t="shared" si="8"/>
        <v>9</v>
      </c>
      <c r="J47" s="29">
        <f t="shared" si="9"/>
        <v>42591</v>
      </c>
      <c r="K47" s="30">
        <v>42614</v>
      </c>
      <c r="L47" s="70">
        <f t="shared" si="2"/>
        <v>23</v>
      </c>
      <c r="M47" s="71"/>
    </row>
    <row r="48" spans="1:13" s="24" customFormat="1" ht="15.75" thickBot="1" x14ac:dyDescent="0.3">
      <c r="A48" s="89" t="s">
        <v>27</v>
      </c>
      <c r="B48" s="89"/>
      <c r="C48" s="89">
        <f>SUM(C42:C47)</f>
        <v>8415</v>
      </c>
      <c r="D48" s="90"/>
      <c r="E48" s="89"/>
      <c r="F48" s="89"/>
      <c r="G48" s="91">
        <f>SUM(G42:G47)</f>
        <v>8132</v>
      </c>
      <c r="H48" s="89"/>
      <c r="I48" s="92">
        <f>IFERROR(SUMPRODUCT(G42:G47,I42:I47)/G48,0)</f>
        <v>11.050066755674232</v>
      </c>
      <c r="J48" s="25"/>
      <c r="K48" s="25"/>
      <c r="L48" s="67"/>
      <c r="M48" s="68"/>
    </row>
    <row r="49" spans="1:14" x14ac:dyDescent="0.25">
      <c r="A49" s="33" t="s">
        <v>11</v>
      </c>
      <c r="B49" s="12">
        <v>1</v>
      </c>
      <c r="C49" s="42">
        <v>1012</v>
      </c>
      <c r="D49" s="95">
        <v>56055</v>
      </c>
      <c r="E49" s="12">
        <v>50</v>
      </c>
      <c r="F49" s="12">
        <v>170</v>
      </c>
      <c r="G49" s="79">
        <f t="shared" si="3"/>
        <v>792</v>
      </c>
      <c r="H49" s="37">
        <v>42415</v>
      </c>
      <c r="I49" s="81">
        <f t="shared" ref="I49:I54" si="10">IFERROR(IF(OR(I$2-H49&lt;0,I$2-H49&gt;7*25),0,(I$2-H49)/7),0)</f>
        <v>15.571428571428571</v>
      </c>
      <c r="J49" s="29">
        <f t="shared" ref="J49:J54" si="11">H49+130</f>
        <v>42545</v>
      </c>
      <c r="K49" s="69">
        <v>42564</v>
      </c>
      <c r="L49" s="70">
        <f t="shared" si="2"/>
        <v>19</v>
      </c>
      <c r="M49" s="71"/>
    </row>
    <row r="50" spans="1:14" x14ac:dyDescent="0.25">
      <c r="A50" s="32" t="s">
        <v>39</v>
      </c>
      <c r="B50" s="10">
        <v>2</v>
      </c>
      <c r="C50" s="17">
        <v>918</v>
      </c>
      <c r="D50" s="50">
        <v>49985</v>
      </c>
      <c r="E50" s="10">
        <v>28</v>
      </c>
      <c r="F50" s="12">
        <v>169</v>
      </c>
      <c r="G50" s="79">
        <f t="shared" si="3"/>
        <v>721</v>
      </c>
      <c r="H50" s="18">
        <v>42416</v>
      </c>
      <c r="I50" s="81">
        <f t="shared" si="10"/>
        <v>15.428571428571429</v>
      </c>
      <c r="J50" s="29">
        <f t="shared" si="11"/>
        <v>42546</v>
      </c>
      <c r="K50" s="69">
        <v>42564</v>
      </c>
      <c r="L50" s="70">
        <f t="shared" si="2"/>
        <v>18</v>
      </c>
      <c r="M50" s="71"/>
    </row>
    <row r="51" spans="1:14" x14ac:dyDescent="0.25">
      <c r="A51" s="41" t="s">
        <v>38</v>
      </c>
      <c r="B51" s="10">
        <v>3</v>
      </c>
      <c r="C51" s="10">
        <v>1081</v>
      </c>
      <c r="D51" s="50">
        <v>61132</v>
      </c>
      <c r="E51" s="10">
        <v>28</v>
      </c>
      <c r="F51" s="10">
        <v>0</v>
      </c>
      <c r="G51" s="79">
        <f t="shared" si="3"/>
        <v>1053</v>
      </c>
      <c r="H51" s="18">
        <v>42422</v>
      </c>
      <c r="I51" s="81">
        <f t="shared" si="10"/>
        <v>14.571428571428571</v>
      </c>
      <c r="J51" s="29">
        <f t="shared" si="11"/>
        <v>42552</v>
      </c>
      <c r="K51" s="30">
        <v>42571</v>
      </c>
      <c r="L51" s="70">
        <f t="shared" si="2"/>
        <v>19</v>
      </c>
      <c r="M51" s="71"/>
    </row>
    <row r="52" spans="1:14" x14ac:dyDescent="0.25">
      <c r="A52" s="10"/>
      <c r="B52" s="10">
        <v>4</v>
      </c>
      <c r="C52" s="10">
        <v>1086</v>
      </c>
      <c r="D52" s="50">
        <v>54748</v>
      </c>
      <c r="E52" s="10">
        <v>60</v>
      </c>
      <c r="F52" s="10">
        <v>0</v>
      </c>
      <c r="G52" s="79">
        <f t="shared" si="3"/>
        <v>1026</v>
      </c>
      <c r="H52" s="18">
        <v>42422</v>
      </c>
      <c r="I52" s="81">
        <f t="shared" si="10"/>
        <v>14.571428571428571</v>
      </c>
      <c r="J52" s="29">
        <f t="shared" si="11"/>
        <v>42552</v>
      </c>
      <c r="K52" s="30">
        <v>42571</v>
      </c>
      <c r="L52" s="70">
        <f t="shared" si="2"/>
        <v>19</v>
      </c>
      <c r="M52" s="71"/>
    </row>
    <row r="53" spans="1:14" x14ac:dyDescent="0.25">
      <c r="A53" s="10"/>
      <c r="B53" s="10">
        <v>5</v>
      </c>
      <c r="C53" s="35">
        <v>986</v>
      </c>
      <c r="D53" s="50">
        <v>52400</v>
      </c>
      <c r="E53" s="10">
        <v>72</v>
      </c>
      <c r="F53" s="10">
        <v>0</v>
      </c>
      <c r="G53" s="79">
        <f t="shared" si="3"/>
        <v>914</v>
      </c>
      <c r="H53" s="18">
        <v>42432</v>
      </c>
      <c r="I53" s="81">
        <f t="shared" si="10"/>
        <v>13.142857142857142</v>
      </c>
      <c r="J53" s="29">
        <f t="shared" si="11"/>
        <v>42562</v>
      </c>
      <c r="K53" s="30">
        <v>42578</v>
      </c>
      <c r="L53" s="70">
        <f t="shared" si="2"/>
        <v>16</v>
      </c>
      <c r="M53" s="71"/>
    </row>
    <row r="54" spans="1:14" x14ac:dyDescent="0.25">
      <c r="A54" s="82"/>
      <c r="B54" s="82">
        <v>6</v>
      </c>
      <c r="C54" s="94">
        <v>964</v>
      </c>
      <c r="D54" s="93">
        <v>56080</v>
      </c>
      <c r="E54" s="82">
        <v>31</v>
      </c>
      <c r="F54" s="82">
        <v>0</v>
      </c>
      <c r="G54" s="86">
        <f t="shared" si="3"/>
        <v>933</v>
      </c>
      <c r="H54" s="87">
        <v>42433</v>
      </c>
      <c r="I54" s="81">
        <f t="shared" si="10"/>
        <v>13</v>
      </c>
      <c r="J54" s="29">
        <f t="shared" si="11"/>
        <v>42563</v>
      </c>
      <c r="K54" s="30">
        <v>42578</v>
      </c>
      <c r="L54" s="70">
        <f t="shared" si="2"/>
        <v>15</v>
      </c>
      <c r="M54" s="71"/>
    </row>
    <row r="55" spans="1:14" s="24" customFormat="1" ht="15.75" thickBot="1" x14ac:dyDescent="0.3">
      <c r="A55" s="89" t="s">
        <v>27</v>
      </c>
      <c r="B55" s="89"/>
      <c r="C55" s="89">
        <f>SUM(C49:C54)</f>
        <v>6047</v>
      </c>
      <c r="D55" s="90"/>
      <c r="E55" s="89"/>
      <c r="F55" s="89"/>
      <c r="G55" s="91">
        <f>SUM(G49:G54)</f>
        <v>5439</v>
      </c>
      <c r="H55" s="89"/>
      <c r="I55" s="92">
        <f>IFERROR(SUMPRODUCT(G49:G54,I49:I54)/G55,0)</f>
        <v>14.321041157775849</v>
      </c>
      <c r="J55" s="25"/>
      <c r="K55" s="25"/>
      <c r="L55" s="67"/>
      <c r="M55" s="68"/>
    </row>
    <row r="56" spans="1:14" x14ac:dyDescent="0.25">
      <c r="A56" s="96" t="s">
        <v>12</v>
      </c>
      <c r="B56" s="42">
        <v>1</v>
      </c>
      <c r="C56" s="88">
        <v>903</v>
      </c>
      <c r="D56" s="95">
        <v>41260</v>
      </c>
      <c r="E56" s="42">
        <v>10</v>
      </c>
      <c r="F56" s="42">
        <v>0</v>
      </c>
      <c r="G56" s="80">
        <f t="shared" si="3"/>
        <v>893</v>
      </c>
      <c r="H56" s="37">
        <v>42455</v>
      </c>
      <c r="I56" s="81">
        <f t="shared" ref="I56:I61" si="12">IFERROR(IF(OR(I$2-H56&lt;0,I$2-H56&gt;7*25),0,(I$2-H56)/7),0)</f>
        <v>9.8571428571428577</v>
      </c>
      <c r="J56" s="29">
        <f t="shared" ref="J56:J61" si="13">H56+130</f>
        <v>42585</v>
      </c>
      <c r="K56" s="30">
        <v>42606</v>
      </c>
      <c r="L56" s="70">
        <f t="shared" si="2"/>
        <v>21</v>
      </c>
      <c r="M56" s="71"/>
    </row>
    <row r="57" spans="1:14" x14ac:dyDescent="0.25">
      <c r="A57" s="32" t="s">
        <v>39</v>
      </c>
      <c r="B57" s="17">
        <v>2</v>
      </c>
      <c r="C57" s="40">
        <v>973</v>
      </c>
      <c r="D57" s="50">
        <v>38480</v>
      </c>
      <c r="E57" s="17">
        <v>21</v>
      </c>
      <c r="F57" s="42">
        <v>0</v>
      </c>
      <c r="G57" s="80">
        <f t="shared" si="3"/>
        <v>952</v>
      </c>
      <c r="H57" s="18">
        <v>42455</v>
      </c>
      <c r="I57" s="81">
        <f t="shared" si="12"/>
        <v>9.8571428571428577</v>
      </c>
      <c r="J57" s="29">
        <f t="shared" si="13"/>
        <v>42585</v>
      </c>
      <c r="K57" s="30">
        <v>42606</v>
      </c>
      <c r="L57" s="70">
        <f t="shared" si="2"/>
        <v>21</v>
      </c>
      <c r="M57" s="71"/>
    </row>
    <row r="58" spans="1:14" x14ac:dyDescent="0.25">
      <c r="A58" s="43" t="s">
        <v>38</v>
      </c>
      <c r="B58" s="17">
        <v>3</v>
      </c>
      <c r="C58" s="10">
        <v>827</v>
      </c>
      <c r="D58" s="50">
        <v>40120</v>
      </c>
      <c r="E58" s="17">
        <v>19</v>
      </c>
      <c r="F58" s="42">
        <v>0</v>
      </c>
      <c r="G58" s="80">
        <f t="shared" si="3"/>
        <v>808</v>
      </c>
      <c r="H58" s="18">
        <v>42459</v>
      </c>
      <c r="I58" s="81">
        <f t="shared" si="12"/>
        <v>9.2857142857142865</v>
      </c>
      <c r="J58" s="29">
        <f t="shared" si="13"/>
        <v>42589</v>
      </c>
      <c r="K58" s="30">
        <v>42613</v>
      </c>
      <c r="L58" s="70">
        <f t="shared" si="2"/>
        <v>24</v>
      </c>
      <c r="M58" s="71"/>
    </row>
    <row r="59" spans="1:14" x14ac:dyDescent="0.25">
      <c r="A59" s="17"/>
      <c r="B59" s="17">
        <v>4</v>
      </c>
      <c r="C59" s="10">
        <v>804</v>
      </c>
      <c r="D59" s="50">
        <v>36000</v>
      </c>
      <c r="E59" s="17">
        <v>33</v>
      </c>
      <c r="F59" s="42">
        <v>0</v>
      </c>
      <c r="G59" s="80">
        <f t="shared" si="3"/>
        <v>771</v>
      </c>
      <c r="H59" s="18">
        <v>42460</v>
      </c>
      <c r="I59" s="81">
        <f t="shared" si="12"/>
        <v>9.1428571428571423</v>
      </c>
      <c r="J59" s="29">
        <f t="shared" si="13"/>
        <v>42590</v>
      </c>
      <c r="K59" s="30">
        <v>42613</v>
      </c>
      <c r="L59" s="70">
        <f t="shared" si="2"/>
        <v>23</v>
      </c>
      <c r="M59" s="71"/>
    </row>
    <row r="60" spans="1:14" x14ac:dyDescent="0.25">
      <c r="A60" s="17"/>
      <c r="B60" s="17">
        <v>5</v>
      </c>
      <c r="C60" s="17">
        <v>929</v>
      </c>
      <c r="D60" s="50">
        <v>45360</v>
      </c>
      <c r="E60" s="17">
        <v>37</v>
      </c>
      <c r="F60" s="42">
        <v>0</v>
      </c>
      <c r="G60" s="80">
        <f t="shared" si="3"/>
        <v>892</v>
      </c>
      <c r="H60" s="18">
        <v>42464</v>
      </c>
      <c r="I60" s="81">
        <f t="shared" si="12"/>
        <v>8.5714285714285712</v>
      </c>
      <c r="J60" s="29">
        <f t="shared" si="13"/>
        <v>42594</v>
      </c>
      <c r="K60" s="30">
        <v>42620</v>
      </c>
      <c r="L60" s="70">
        <f t="shared" si="2"/>
        <v>26</v>
      </c>
      <c r="M60" s="71"/>
    </row>
    <row r="61" spans="1:14" x14ac:dyDescent="0.25">
      <c r="A61" s="83"/>
      <c r="B61" s="83">
        <v>6</v>
      </c>
      <c r="C61" s="83">
        <v>880</v>
      </c>
      <c r="D61" s="93">
        <v>38300</v>
      </c>
      <c r="E61" s="83">
        <v>37</v>
      </c>
      <c r="F61" s="83">
        <v>0</v>
      </c>
      <c r="G61" s="86">
        <f t="shared" si="3"/>
        <v>843</v>
      </c>
      <c r="H61" s="87">
        <v>42464</v>
      </c>
      <c r="I61" s="81">
        <f t="shared" si="12"/>
        <v>8.5714285714285712</v>
      </c>
      <c r="J61" s="29">
        <f t="shared" si="13"/>
        <v>42594</v>
      </c>
      <c r="K61" s="30">
        <v>42620</v>
      </c>
      <c r="L61" s="70">
        <f t="shared" si="2"/>
        <v>26</v>
      </c>
      <c r="M61" s="71"/>
    </row>
    <row r="62" spans="1:14" s="24" customFormat="1" ht="15.75" thickBot="1" x14ac:dyDescent="0.3">
      <c r="A62" s="89" t="s">
        <v>27</v>
      </c>
      <c r="B62" s="89"/>
      <c r="C62" s="89">
        <f>SUM(C56:C61)</f>
        <v>5316</v>
      </c>
      <c r="D62" s="90"/>
      <c r="E62" s="89"/>
      <c r="F62" s="89"/>
      <c r="G62" s="91">
        <f>SUM(G56:G61)</f>
        <v>5159</v>
      </c>
      <c r="H62" s="89"/>
      <c r="I62" s="92">
        <f>IFERROR(SUMPRODUCT(G56:G61,I56:I61)/G62,0)</f>
        <v>9.228504970509233</v>
      </c>
      <c r="J62" s="25"/>
      <c r="K62" s="25"/>
      <c r="L62" s="67"/>
      <c r="M62" s="68"/>
    </row>
    <row r="63" spans="1:14" x14ac:dyDescent="0.25">
      <c r="A63" s="33" t="s">
        <v>13</v>
      </c>
      <c r="B63" s="12">
        <v>1</v>
      </c>
      <c r="C63" s="36">
        <v>1353</v>
      </c>
      <c r="D63" s="49">
        <v>74065</v>
      </c>
      <c r="E63" s="12">
        <v>86</v>
      </c>
      <c r="F63" s="12">
        <v>360</v>
      </c>
      <c r="G63" s="79">
        <f t="shared" si="3"/>
        <v>907</v>
      </c>
      <c r="H63" s="37">
        <v>42410</v>
      </c>
      <c r="I63" s="81">
        <f>IFERROR(IF(OR(I$2-H63&lt;0,I$2-H63&gt;7*25),0,(I$2-H63)/7),0)</f>
        <v>16.285714285714285</v>
      </c>
      <c r="J63" s="29">
        <f>H63+130</f>
        <v>42540</v>
      </c>
      <c r="K63" s="30">
        <v>42551</v>
      </c>
      <c r="L63" s="70">
        <f t="shared" si="2"/>
        <v>11</v>
      </c>
      <c r="M63" s="72"/>
      <c r="N63" s="39"/>
    </row>
    <row r="64" spans="1:14" x14ac:dyDescent="0.25">
      <c r="A64" s="32" t="s">
        <v>35</v>
      </c>
      <c r="B64" s="10">
        <v>2</v>
      </c>
      <c r="C64" s="35">
        <v>1405</v>
      </c>
      <c r="D64" s="51">
        <v>91241</v>
      </c>
      <c r="E64" s="10">
        <v>86</v>
      </c>
      <c r="F64" s="10">
        <v>177</v>
      </c>
      <c r="G64" s="79">
        <f t="shared" si="3"/>
        <v>1142</v>
      </c>
      <c r="H64" s="18">
        <v>42424</v>
      </c>
      <c r="I64" s="81">
        <f>IFERROR(IF(OR(I$2-H64&lt;0,I$2-H64&gt;7*25),0,(I$2-H64)/7),0)</f>
        <v>14.285714285714286</v>
      </c>
      <c r="J64" s="29">
        <f>H64+130</f>
        <v>42554</v>
      </c>
      <c r="K64" s="30">
        <v>42565</v>
      </c>
      <c r="L64" s="70">
        <f t="shared" si="2"/>
        <v>11</v>
      </c>
      <c r="M64" s="71"/>
      <c r="N64" s="39"/>
    </row>
    <row r="65" spans="1:14" x14ac:dyDescent="0.25">
      <c r="A65" s="41" t="s">
        <v>38</v>
      </c>
      <c r="B65" s="10">
        <v>3</v>
      </c>
      <c r="C65" s="35">
        <v>1410</v>
      </c>
      <c r="D65" s="51">
        <v>69034</v>
      </c>
      <c r="E65" s="10">
        <v>42</v>
      </c>
      <c r="F65" s="10">
        <v>0</v>
      </c>
      <c r="G65" s="79">
        <f t="shared" si="3"/>
        <v>1368</v>
      </c>
      <c r="H65" s="18">
        <v>42424</v>
      </c>
      <c r="I65" s="81">
        <f>IFERROR(IF(OR(I$2-H65&lt;0,I$2-H65&gt;7*25),0,(I$2-H65)/7),0)</f>
        <v>14.285714285714286</v>
      </c>
      <c r="J65" s="29">
        <f>H65+130</f>
        <v>42554</v>
      </c>
      <c r="K65" s="30">
        <v>42565</v>
      </c>
      <c r="L65" s="70">
        <f t="shared" si="2"/>
        <v>11</v>
      </c>
      <c r="M65" s="71"/>
      <c r="N65" s="39"/>
    </row>
    <row r="66" spans="1:14" x14ac:dyDescent="0.25">
      <c r="A66" s="10"/>
      <c r="B66" s="10">
        <v>4</v>
      </c>
      <c r="C66" s="35">
        <v>1359</v>
      </c>
      <c r="D66" s="51">
        <v>74351</v>
      </c>
      <c r="E66" s="10">
        <v>37</v>
      </c>
      <c r="F66" s="10">
        <v>0</v>
      </c>
      <c r="G66" s="79">
        <f t="shared" si="3"/>
        <v>1322</v>
      </c>
      <c r="H66" s="18">
        <v>42436</v>
      </c>
      <c r="I66" s="81">
        <f>IFERROR(IF(OR(I$2-H66&lt;0,I$2-H66&gt;7*25),0,(I$2-H66)/7),0)</f>
        <v>12.571428571428571</v>
      </c>
      <c r="J66" s="29">
        <f>H66+130</f>
        <v>42566</v>
      </c>
      <c r="K66" s="30">
        <v>42579</v>
      </c>
      <c r="L66" s="70">
        <f t="shared" si="2"/>
        <v>13</v>
      </c>
      <c r="M66" s="71"/>
      <c r="N66" s="39"/>
    </row>
    <row r="67" spans="1:14" x14ac:dyDescent="0.25">
      <c r="A67" s="82"/>
      <c r="B67" s="82">
        <v>5</v>
      </c>
      <c r="C67" s="94">
        <v>1338</v>
      </c>
      <c r="D67" s="84">
        <v>53574</v>
      </c>
      <c r="E67" s="82">
        <v>36</v>
      </c>
      <c r="F67" s="82">
        <v>0</v>
      </c>
      <c r="G67" s="86">
        <f t="shared" si="3"/>
        <v>1302</v>
      </c>
      <c r="H67" s="87">
        <v>42436</v>
      </c>
      <c r="I67" s="81">
        <f>IFERROR(IF(OR(I$2-H67&lt;0,I$2-H67&gt;7*25),0,(I$2-H67)/7),0)</f>
        <v>12.571428571428571</v>
      </c>
      <c r="J67" s="29">
        <f>H67+130</f>
        <v>42566</v>
      </c>
      <c r="K67" s="30">
        <v>42579</v>
      </c>
      <c r="L67" s="70">
        <f t="shared" si="2"/>
        <v>13</v>
      </c>
      <c r="M67" s="71"/>
      <c r="N67" s="39"/>
    </row>
    <row r="68" spans="1:14" s="24" customFormat="1" ht="15.75" thickBot="1" x14ac:dyDescent="0.3">
      <c r="A68" s="89" t="s">
        <v>27</v>
      </c>
      <c r="B68" s="89"/>
      <c r="C68" s="89">
        <f>SUM(C63:C67)</f>
        <v>6865</v>
      </c>
      <c r="D68" s="90"/>
      <c r="E68" s="89"/>
      <c r="F68" s="89"/>
      <c r="G68" s="89">
        <f>SUM(G63:G67)</f>
        <v>6041</v>
      </c>
      <c r="H68" s="89"/>
      <c r="I68" s="97">
        <f>IFERROR(SUMPRODUCT(G63:G67,I63:I67)/G68,0)</f>
        <v>13.841369688083809</v>
      </c>
      <c r="J68" s="25"/>
      <c r="K68" s="25"/>
      <c r="L68" s="67"/>
      <c r="M68" s="68"/>
    </row>
    <row r="69" spans="1:14" x14ac:dyDescent="0.25">
      <c r="F69" s="1" t="s">
        <v>0</v>
      </c>
    </row>
    <row r="70" spans="1:14" ht="15.75" thickBot="1" x14ac:dyDescent="0.3">
      <c r="G70" s="19"/>
      <c r="H70" s="20" t="s">
        <v>21</v>
      </c>
      <c r="I70" s="19"/>
    </row>
    <row r="71" spans="1:14" ht="15.75" thickBot="1" x14ac:dyDescent="0.3">
      <c r="B71" s="60" t="s">
        <v>46</v>
      </c>
      <c r="C71" s="55" t="s">
        <v>44</v>
      </c>
      <c r="D71" s="56" t="s">
        <v>45</v>
      </c>
      <c r="E71" s="58"/>
      <c r="G71" s="26" t="s">
        <v>0</v>
      </c>
      <c r="H71" s="26" t="s">
        <v>0</v>
      </c>
      <c r="I71" s="26"/>
    </row>
    <row r="72" spans="1:14" x14ac:dyDescent="0.25">
      <c r="A72" s="1" t="s">
        <v>0</v>
      </c>
      <c r="B72" s="61" t="s">
        <v>40</v>
      </c>
      <c r="C72" s="62">
        <f>C9+C15+C22+C28</f>
        <v>19515</v>
      </c>
      <c r="D72" s="63">
        <v>29040</v>
      </c>
      <c r="E72" s="64">
        <f>C72/D72</f>
        <v>0.67200413223140498</v>
      </c>
      <c r="H72" s="1" t="s">
        <v>0</v>
      </c>
      <c r="J72" s="1" t="s">
        <v>0</v>
      </c>
    </row>
    <row r="73" spans="1:14" ht="15.75" thickBot="1" x14ac:dyDescent="0.3">
      <c r="B73" s="53" t="s">
        <v>41</v>
      </c>
      <c r="C73" s="54">
        <f>C68+C62+C55+C48+C41+C34</f>
        <v>33783</v>
      </c>
      <c r="D73" s="57">
        <v>44880</v>
      </c>
      <c r="E73" s="59">
        <f>C73/D73</f>
        <v>0.7527406417112299</v>
      </c>
      <c r="I73" s="1" t="s">
        <v>0</v>
      </c>
    </row>
  </sheetData>
  <conditionalFormatting sqref="S3:U4">
    <cfRule type="cellIs" dxfId="23" priority="1" stopIfTrue="1" operator="equal">
      <formula>"ERROR"</formula>
    </cfRule>
    <cfRule type="cellIs" dxfId="22" priority="2" stopIfTrue="1" operator="equal">
      <formula>"OK"</formula>
    </cfRule>
  </conditionalFormatting>
  <pageMargins left="0.7" right="0.7" top="0.75" bottom="0.75" header="0.3" footer="0.3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0"/>
  <sheetViews>
    <sheetView workbookViewId="0">
      <selection sqref="A1:E1"/>
    </sheetView>
  </sheetViews>
  <sheetFormatPr defaultRowHeight="15" x14ac:dyDescent="0.25"/>
  <cols>
    <col min="1" max="1" width="21.7109375" customWidth="1"/>
    <col min="2" max="12" width="10.7109375" customWidth="1"/>
    <col min="14" max="14" width="16.5703125" style="106" customWidth="1"/>
    <col min="15" max="15" width="9.140625" style="106" customWidth="1"/>
    <col min="16" max="16" width="17.28515625" style="106" bestFit="1" customWidth="1"/>
    <col min="17" max="17" width="17.28515625" style="106" customWidth="1"/>
  </cols>
  <sheetData>
    <row r="1" spans="1:25" ht="15.75" thickBot="1" x14ac:dyDescent="0.3">
      <c r="A1" s="162">
        <f>+'Digester Sites'!$I$2</f>
        <v>42524</v>
      </c>
      <c r="B1" s="162"/>
      <c r="C1" s="162"/>
      <c r="D1" s="162"/>
      <c r="E1" s="162"/>
      <c r="N1" s="104" t="s">
        <v>53</v>
      </c>
      <c r="O1" s="105"/>
      <c r="P1" s="106" t="s">
        <v>54</v>
      </c>
      <c r="Q1" s="106" t="s">
        <v>55</v>
      </c>
      <c r="S1" s="107" t="s">
        <v>56</v>
      </c>
      <c r="T1" s="108"/>
      <c r="U1" s="109"/>
      <c r="W1" s="110"/>
      <c r="X1" s="110"/>
    </row>
    <row r="2" spans="1:25" s="106" customFormat="1" ht="15.75" thickBot="1" x14ac:dyDescent="0.3">
      <c r="N2" s="89"/>
      <c r="O2" s="111" t="s">
        <v>2</v>
      </c>
      <c r="P2" s="106" t="s">
        <v>57</v>
      </c>
      <c r="Q2" s="106" t="s">
        <v>58</v>
      </c>
      <c r="S2" s="112" t="s">
        <v>59</v>
      </c>
      <c r="T2" s="109"/>
      <c r="U2" s="113">
        <v>0.1</v>
      </c>
      <c r="V2" s="114"/>
    </row>
    <row r="3" spans="1:25" x14ac:dyDescent="0.25">
      <c r="A3" s="25"/>
      <c r="B3" s="115" t="s">
        <v>60</v>
      </c>
      <c r="C3" s="116" t="s">
        <v>61</v>
      </c>
      <c r="D3" s="25" t="s">
        <v>62</v>
      </c>
      <c r="E3" s="25"/>
      <c r="F3" s="106"/>
      <c r="G3" s="115" t="s">
        <v>60</v>
      </c>
      <c r="H3" s="116" t="s">
        <v>61</v>
      </c>
      <c r="I3" s="25" t="s">
        <v>62</v>
      </c>
      <c r="N3" s="117" t="s">
        <v>3</v>
      </c>
      <c r="O3" s="118">
        <v>1</v>
      </c>
      <c r="P3" s="119">
        <f>IFERROR(VLOOKUP(VLOOKUP('Digester Sites'!D3/'Digester Sites'!C3,$S$11:$Y$151,2,TRUE)+'Digester Sites'!I3,$T$11:$Y$151,4,TRUE)*(1+U$2)*'Digester Sites'!G3,0)</f>
        <v>0</v>
      </c>
      <c r="Q3" s="119">
        <f>IFERROR(VLOOKUP(VLOOKUP('Digester Sites'!D3/'Digester Sites'!C3,$S$11:$Y$151,2,TRUE)+'Digester Sites'!I3,$T$11:$Y$151,6,TRUE)*($U$3)*'Digester Sites'!G3,0)</f>
        <v>0</v>
      </c>
      <c r="S3" s="112" t="s">
        <v>63</v>
      </c>
      <c r="T3" s="120"/>
      <c r="U3" s="121">
        <v>7.85</v>
      </c>
    </row>
    <row r="4" spans="1:25" x14ac:dyDescent="0.25">
      <c r="A4" s="24" t="s">
        <v>64</v>
      </c>
      <c r="B4" s="122">
        <f>'Digester Sites'!G9+'Digester Sites'!G15+'Digester Sites'!G22+'Digester Sites'!G28</f>
        <v>16437</v>
      </c>
      <c r="C4" s="122">
        <f>'Digester Sites'!G34+'Digester Sites'!G41+'Digester Sites'!G48+'Digester Sites'!G55+'Digester Sites'!G62+'Digester Sites'!G68</f>
        <v>30107</v>
      </c>
      <c r="D4" s="123">
        <f>B4+C4</f>
        <v>46544</v>
      </c>
      <c r="F4" s="24" t="s">
        <v>52</v>
      </c>
      <c r="G4" s="10" t="str">
        <f>IF(ROUND(SUM(C10:F10),4)=ROUND(B4,4),"OK","ERROR")</f>
        <v>OK</v>
      </c>
      <c r="H4" s="10" t="str">
        <f>IF(ROUND(SUM(G10:L10),4)=ROUND(C4,4),"OK","ERROR")</f>
        <v>OK</v>
      </c>
      <c r="I4" s="10" t="str">
        <f>IF(ROUND(SUM(C10:L10),4)=ROUND(D4,4),"OK","ERROR")</f>
        <v>OK</v>
      </c>
      <c r="N4" s="124"/>
      <c r="O4" s="125">
        <v>2</v>
      </c>
      <c r="P4" s="119">
        <f>IFERROR(VLOOKUP(VLOOKUP('Digester Sites'!D4/'Digester Sites'!C4,$S$11:$Y$151,2,TRUE)+'Digester Sites'!I4,$T$11:$Y$151,4,TRUE)*(1+U$2)*'Digester Sites'!G4,0)</f>
        <v>0</v>
      </c>
      <c r="Q4" s="119">
        <f>IFERROR(VLOOKUP(VLOOKUP('Digester Sites'!D4/'Digester Sites'!C4,$S$11:$Y$151,2,TRUE)+'Digester Sites'!I4,$T$11:$Y$151,6,TRUE)*($U$3)*'Digester Sites'!G4,0)</f>
        <v>0</v>
      </c>
      <c r="S4" s="126" t="s">
        <v>65</v>
      </c>
      <c r="T4" s="109"/>
      <c r="U4" s="127">
        <v>2905</v>
      </c>
    </row>
    <row r="5" spans="1:25" x14ac:dyDescent="0.25">
      <c r="A5" s="24" t="s">
        <v>66</v>
      </c>
      <c r="B5" s="128">
        <f>SUMPRODUCT('Digester Sites'!G3:G28,'Digester Sites'!I3:I28)/B4/2</f>
        <v>10.387201348873187</v>
      </c>
      <c r="C5" s="128">
        <f>SUMPRODUCT('Digester Sites'!G29:G68,'Digester Sites'!I29:I68)/C4/2</f>
        <v>10.621881954362772</v>
      </c>
      <c r="D5" s="128">
        <f>SUMPRODUCT('Digester Sites'!G3:G68,'Digester Sites'!I3:I68)/D4/2</f>
        <v>10.539004567107009</v>
      </c>
      <c r="F5" s="24" t="s">
        <v>52</v>
      </c>
      <c r="G5" s="10" t="str">
        <f>IF(ROUND(SUMPRODUCT(C10:F10,C11:F11)/SUM(C10:F10),4)=ROUND(B5,4),"OK","ERROR")</f>
        <v>OK</v>
      </c>
      <c r="H5" s="10" t="str">
        <f>IF(ROUND(SUMPRODUCT(G10:L10,G11:L11)/SUM(G10:L10),4)=ROUND(C5,4),"OK","ERROR")</f>
        <v>OK</v>
      </c>
      <c r="I5" s="10" t="str">
        <f>IF(ROUND(SUMPRODUCT(C10:L10,C11:L11)/SUM(C10:L10),4)=ROUND(D5,4),"OK","ERROR")</f>
        <v>OK</v>
      </c>
      <c r="J5" s="25"/>
      <c r="K5" s="25"/>
      <c r="L5" s="25"/>
      <c r="N5" s="124"/>
      <c r="O5" s="125">
        <v>3</v>
      </c>
      <c r="P5" s="119">
        <f>IFERROR(VLOOKUP(VLOOKUP('Digester Sites'!D5/'Digester Sites'!C5,$S$11:$Y$151,2,TRUE)+'Digester Sites'!I5,$T$11:$Y$151,4,TRUE)*(1+U$2)*'Digester Sites'!G5,0)</f>
        <v>0</v>
      </c>
      <c r="Q5" s="119">
        <f>IFERROR(VLOOKUP(VLOOKUP('Digester Sites'!D5/'Digester Sites'!C5,$S$11:$Y$151,2,TRUE)+'Digester Sites'!I5,$T$11:$Y$151,6,TRUE)*($U$3)*'Digester Sites'!G5,0)</f>
        <v>0</v>
      </c>
    </row>
    <row r="6" spans="1:25" x14ac:dyDescent="0.25">
      <c r="A6" s="24" t="s">
        <v>67</v>
      </c>
      <c r="B6" s="129">
        <v>29040</v>
      </c>
      <c r="C6" s="129">
        <v>44880</v>
      </c>
      <c r="D6" s="123">
        <f>B6+C6</f>
        <v>73920</v>
      </c>
      <c r="N6" s="124"/>
      <c r="O6" s="125">
        <v>4</v>
      </c>
      <c r="P6" s="119">
        <f>IFERROR(VLOOKUP(VLOOKUP('Digester Sites'!D6/'Digester Sites'!C6,$S$11:$Y$151,2,TRUE)+'Digester Sites'!I6,$T$11:$Y$151,4,TRUE)*(1+U$2)*'Digester Sites'!G6,0)</f>
        <v>0</v>
      </c>
      <c r="Q6" s="119">
        <f>IFERROR(VLOOKUP(VLOOKUP('Digester Sites'!D6/'Digester Sites'!C6,$S$11:$Y$151,2,TRUE)+'Digester Sites'!I6,$T$11:$Y$151,6,TRUE)*($U$3)*'Digester Sites'!G6,0)</f>
        <v>0</v>
      </c>
      <c r="S6" s="130" t="s">
        <v>68</v>
      </c>
      <c r="T6" s="131"/>
      <c r="U6" s="131"/>
      <c r="V6" s="132"/>
      <c r="W6" s="132"/>
      <c r="X6" s="132"/>
      <c r="Y6" s="132"/>
    </row>
    <row r="7" spans="1:25" x14ac:dyDescent="0.25">
      <c r="A7" s="24" t="s">
        <v>69</v>
      </c>
      <c r="B7" s="133">
        <f>B4/B6</f>
        <v>0.56601239669421488</v>
      </c>
      <c r="C7" s="133">
        <f>C4/C6</f>
        <v>0.67083333333333328</v>
      </c>
      <c r="D7" s="133">
        <f>D4/D6</f>
        <v>0.62965367965367969</v>
      </c>
      <c r="N7" s="124"/>
      <c r="O7" s="125">
        <v>5</v>
      </c>
      <c r="P7" s="119">
        <f>IFERROR(VLOOKUP(VLOOKUP('Digester Sites'!D7/'Digester Sites'!C7,$S$11:$Y$151,2,TRUE)+'Digester Sites'!I7,$T$11:$Y$151,4,TRUE)*(1+U$2)*'Digester Sites'!G7,0)</f>
        <v>1079.0802115384633</v>
      </c>
      <c r="Q7" s="119">
        <f>IFERROR(VLOOKUP(VLOOKUP('Digester Sites'!D7/'Digester Sites'!C7,$S$11:$Y$151,2,TRUE)+'Digester Sites'!I7,$T$11:$Y$151,6,TRUE)*($U$3)*'Digester Sites'!G7,0)</f>
        <v>5598.8297816433551</v>
      </c>
      <c r="S7" s="130" t="s">
        <v>70</v>
      </c>
      <c r="T7" s="131"/>
      <c r="U7" s="131"/>
      <c r="V7" s="132"/>
      <c r="W7" s="132"/>
      <c r="X7" s="132"/>
      <c r="Y7" s="132"/>
    </row>
    <row r="8" spans="1:25" x14ac:dyDescent="0.25">
      <c r="N8" s="134"/>
      <c r="O8" s="135">
        <v>6</v>
      </c>
      <c r="P8" s="119">
        <f>IFERROR(VLOOKUP(VLOOKUP('Digester Sites'!D8/'Digester Sites'!C8,$S$11:$Y$151,2,TRUE)+'Digester Sites'!I8,$T$11:$Y$151,4,TRUE)*(1+U$2)*'Digester Sites'!G8,0)</f>
        <v>757.73719780219915</v>
      </c>
      <c r="Q8" s="119">
        <f>IFERROR(VLOOKUP(VLOOKUP('Digester Sites'!D8/'Digester Sites'!C8,$S$11:$Y$151,2,TRUE)+'Digester Sites'!I8,$T$11:$Y$151,6,TRUE)*($U$3)*'Digester Sites'!G8,0)</f>
        <v>3932.1827892107885</v>
      </c>
      <c r="S8" s="130"/>
      <c r="T8" s="131"/>
      <c r="U8" s="163" t="s">
        <v>71</v>
      </c>
      <c r="V8" s="163"/>
      <c r="W8" s="163"/>
      <c r="X8" s="163"/>
      <c r="Y8" s="163"/>
    </row>
    <row r="9" spans="1:25" ht="15.75" thickBot="1" x14ac:dyDescent="0.3">
      <c r="B9" s="25" t="s">
        <v>72</v>
      </c>
      <c r="C9" s="25" t="s">
        <v>3</v>
      </c>
      <c r="D9" s="25" t="s">
        <v>5</v>
      </c>
      <c r="E9" s="25" t="s">
        <v>6</v>
      </c>
      <c r="F9" s="25" t="s">
        <v>7</v>
      </c>
      <c r="G9" s="25" t="s">
        <v>8</v>
      </c>
      <c r="H9" s="25" t="s">
        <v>9</v>
      </c>
      <c r="I9" s="25" t="s">
        <v>10</v>
      </c>
      <c r="J9" s="25" t="s">
        <v>11</v>
      </c>
      <c r="K9" s="25" t="s">
        <v>12</v>
      </c>
      <c r="L9" s="25" t="s">
        <v>13</v>
      </c>
      <c r="N9" s="89" t="s">
        <v>27</v>
      </c>
      <c r="O9" s="136"/>
      <c r="P9" s="137">
        <f>SUM(P3:P8)</f>
        <v>1836.8174093406624</v>
      </c>
      <c r="Q9" s="137">
        <f>SUM(Q3:Q8)</f>
        <v>9531.0125708541436</v>
      </c>
      <c r="S9" s="138" t="s">
        <v>73</v>
      </c>
      <c r="T9" s="139" t="s">
        <v>74</v>
      </c>
      <c r="U9" s="140" t="s">
        <v>16</v>
      </c>
      <c r="V9" s="140" t="s">
        <v>16</v>
      </c>
      <c r="W9" s="140" t="s">
        <v>16</v>
      </c>
      <c r="X9" s="140" t="s">
        <v>75</v>
      </c>
      <c r="Y9" s="140" t="s">
        <v>76</v>
      </c>
    </row>
    <row r="10" spans="1:25" x14ac:dyDescent="0.25">
      <c r="A10" s="24" t="s">
        <v>64</v>
      </c>
      <c r="B10" s="141">
        <f>+'Digester Sites'!$I$2</f>
        <v>42524</v>
      </c>
      <c r="C10" s="122">
        <f>+'Digester Sites'!G9</f>
        <v>2384</v>
      </c>
      <c r="D10" s="122">
        <f>+'Digester Sites'!G15</f>
        <v>5619</v>
      </c>
      <c r="E10" s="122">
        <f>+'Digester Sites'!G22</f>
        <v>6116</v>
      </c>
      <c r="F10" s="122">
        <f>+'Digester Sites'!G28</f>
        <v>2318</v>
      </c>
      <c r="G10" s="122">
        <f>+'Digester Sites'!G34</f>
        <v>4515</v>
      </c>
      <c r="H10" s="122">
        <f>+'Digester Sites'!G41</f>
        <v>821</v>
      </c>
      <c r="I10" s="122">
        <f>+'Digester Sites'!G48</f>
        <v>8132</v>
      </c>
      <c r="J10" s="122">
        <f>+'Digester Sites'!G55</f>
        <v>5439</v>
      </c>
      <c r="K10" s="122">
        <f>+'Digester Sites'!G62</f>
        <v>5159</v>
      </c>
      <c r="L10" s="122">
        <f>+'Digester Sites'!G68</f>
        <v>6041</v>
      </c>
      <c r="N10" s="117" t="s">
        <v>5</v>
      </c>
      <c r="O10" s="118">
        <v>1</v>
      </c>
      <c r="P10" s="119">
        <f>IFERROR(VLOOKUP(VLOOKUP('Digester Sites'!D10/'Digester Sites'!C10,$S$11:$Y$151,2,TRUE)+'Digester Sites'!I10,$T$11:$Y$151,4,TRUE)*(1+U$2)*'Digester Sites'!G10,0)</f>
        <v>1268.1781090909117</v>
      </c>
      <c r="Q10" s="119">
        <f>IFERROR(VLOOKUP(VLOOKUP('Digester Sites'!D10/'Digester Sites'!C10,$S$11:$Y$151,2,TRUE)+'Digester Sites'!I10,$T$11:$Y$151,6,TRUE)*($U$3)*'Digester Sites'!G10,0)</f>
        <v>5911.4633900826593</v>
      </c>
      <c r="S10" s="142" t="s">
        <v>77</v>
      </c>
      <c r="T10" s="142" t="s">
        <v>78</v>
      </c>
      <c r="U10" s="142" t="s">
        <v>77</v>
      </c>
      <c r="V10" s="142" t="s">
        <v>79</v>
      </c>
      <c r="W10" s="142" t="s">
        <v>80</v>
      </c>
      <c r="X10" s="142" t="s">
        <v>81</v>
      </c>
      <c r="Y10" s="142" t="s">
        <v>81</v>
      </c>
    </row>
    <row r="11" spans="1:25" x14ac:dyDescent="0.25">
      <c r="A11" s="24" t="s">
        <v>66</v>
      </c>
      <c r="B11" s="141">
        <f>+'Digester Sites'!$I$2</f>
        <v>42524</v>
      </c>
      <c r="C11" s="143">
        <f>+'Digester Sites'!I9</f>
        <v>7.6113374880153408</v>
      </c>
      <c r="D11" s="143">
        <f>+'Digester Sites'!I15</f>
        <v>7.5808354308087349</v>
      </c>
      <c r="E11" s="143">
        <f>+'Digester Sites'!I22</f>
        <v>11.256797159674859</v>
      </c>
      <c r="F11" s="143">
        <f>+'Digester Sites'!I28</f>
        <v>17.750523850610133</v>
      </c>
      <c r="G11" s="143">
        <f>+'Digester Sites'!I34</f>
        <v>1.4181300427147603</v>
      </c>
      <c r="H11" s="143">
        <f>+'Digester Sites'!I41</f>
        <v>17.555768226900991</v>
      </c>
      <c r="I11" s="143">
        <f>+'Digester Sites'!I48</f>
        <v>11.050066755674232</v>
      </c>
      <c r="J11" s="143">
        <f>+'Digester Sites'!I55</f>
        <v>14.321041157775849</v>
      </c>
      <c r="K11" s="143">
        <f>+'Digester Sites'!I62</f>
        <v>9.228504970509233</v>
      </c>
      <c r="L11" s="143">
        <f>+'Digester Sites'!I68</f>
        <v>13.841369688083809</v>
      </c>
      <c r="N11" s="124"/>
      <c r="O11" s="125">
        <v>2</v>
      </c>
      <c r="P11" s="119">
        <f>IFERROR(VLOOKUP(VLOOKUP('Digester Sites'!D11/'Digester Sites'!C11,$S$11:$Y$151,2,TRUE)+'Digester Sites'!I11,$T$11:$Y$151,4,TRUE)*(1+U$2)*'Digester Sites'!G11,0)</f>
        <v>1174.0301450937973</v>
      </c>
      <c r="Q11" s="119">
        <f>IFERROR(VLOOKUP(VLOOKUP('Digester Sites'!D11/'Digester Sites'!C11,$S$11:$Y$151,2,TRUE)+'Digester Sites'!I11,$T$11:$Y$151,6,TRUE)*($U$3)*'Digester Sites'!G11,0)</f>
        <v>5260.4131654352077</v>
      </c>
      <c r="S11" s="144">
        <v>40</v>
      </c>
      <c r="T11" s="145">
        <v>0</v>
      </c>
      <c r="U11" s="146">
        <v>3</v>
      </c>
      <c r="V11" s="146">
        <v>0.05</v>
      </c>
      <c r="W11" s="146">
        <v>0.37</v>
      </c>
      <c r="X11" s="146">
        <v>0.33</v>
      </c>
      <c r="Y11" s="146">
        <v>0.27</v>
      </c>
    </row>
    <row r="12" spans="1:25" x14ac:dyDescent="0.25">
      <c r="A12" s="24" t="s">
        <v>82</v>
      </c>
      <c r="B12" s="141">
        <f>+'Digester Sites'!$I$2</f>
        <v>42524</v>
      </c>
      <c r="C12" s="147">
        <f>+P9</f>
        <v>1836.8174093406624</v>
      </c>
      <c r="D12" s="147">
        <f>+P15</f>
        <v>5800.6896590907209</v>
      </c>
      <c r="E12" s="147">
        <f>+P22</f>
        <v>7992.4618392496568</v>
      </c>
      <c r="F12" s="147">
        <f>+P28</f>
        <v>4355.0019862637419</v>
      </c>
      <c r="G12" s="147">
        <f>+P34</f>
        <v>2673.1658517675583</v>
      </c>
      <c r="H12" s="147">
        <f>+P41</f>
        <v>1542.6361126373654</v>
      </c>
      <c r="I12" s="147">
        <f>+P48</f>
        <v>11214.518822250786</v>
      </c>
      <c r="J12" s="147">
        <f>+P55</f>
        <v>8546.2934394296281</v>
      </c>
      <c r="K12" s="147">
        <f>+P62</f>
        <v>4449.1016605357227</v>
      </c>
      <c r="L12" s="147">
        <f>+P68</f>
        <v>9142.9725691966905</v>
      </c>
      <c r="N12" s="124"/>
      <c r="O12" s="125">
        <v>3</v>
      </c>
      <c r="P12" s="119">
        <f>IFERROR(VLOOKUP(VLOOKUP('Digester Sites'!D12/'Digester Sites'!C12,$S$11:$Y$151,2,TRUE)+'Digester Sites'!I12,$T$11:$Y$151,4,TRUE)*(1+U$2)*'Digester Sites'!G12,0)</f>
        <v>1181.7038332043674</v>
      </c>
      <c r="Q12" s="119">
        <f>IFERROR(VLOOKUP(VLOOKUP('Digester Sites'!D12/'Digester Sites'!C12,$S$11:$Y$151,2,TRUE)+'Digester Sites'!I12,$T$11:$Y$151,6,TRUE)*($U$3)*'Digester Sites'!G12,0)</f>
        <v>5793.1245392609217</v>
      </c>
      <c r="S12" s="148">
        <f t="shared" ref="S12:S75" si="0">+S11+(S$151-S$11)/T$151/7</f>
        <v>41.857142857142861</v>
      </c>
      <c r="T12" s="149">
        <f>T11+1/7</f>
        <v>0.14285714285714285</v>
      </c>
      <c r="U12" s="150">
        <f t="shared" ref="U12:Y27" si="1">U11+(U$70-U$11)/($T$70-$T$11)/7</f>
        <v>3.0742179176755449</v>
      </c>
      <c r="V12" s="150">
        <f t="shared" si="1"/>
        <v>5.1180629539951582E-2</v>
      </c>
      <c r="W12" s="150">
        <f t="shared" si="1"/>
        <v>0.37877046004842618</v>
      </c>
      <c r="X12" s="150">
        <f t="shared" si="1"/>
        <v>0.33826537530266348</v>
      </c>
      <c r="Y12" s="150">
        <f t="shared" si="1"/>
        <v>0.27640920096852306</v>
      </c>
    </row>
    <row r="13" spans="1:25" x14ac:dyDescent="0.25">
      <c r="A13" s="151" t="s">
        <v>83</v>
      </c>
      <c r="B13" s="141">
        <f>+'Digester Sites'!$I$2</f>
        <v>42524</v>
      </c>
      <c r="C13" s="147">
        <f>+Q9</f>
        <v>9531.0125708541436</v>
      </c>
      <c r="D13" s="147">
        <f>+Q15</f>
        <v>28164.937407689089</v>
      </c>
      <c r="E13" s="147">
        <f>+Q22</f>
        <v>38583.697881063992</v>
      </c>
      <c r="F13" s="147">
        <f>+Q28</f>
        <v>22597.359034840163</v>
      </c>
      <c r="G13" s="147">
        <f>+Q34</f>
        <v>13927.034220460077</v>
      </c>
      <c r="H13" s="147">
        <f>+Q41</f>
        <v>8004.4533415834148</v>
      </c>
      <c r="I13" s="147">
        <f>+Q48</f>
        <v>55473.577376637375</v>
      </c>
      <c r="J13" s="147">
        <f>+Q55</f>
        <v>44568.874020403498</v>
      </c>
      <c r="K13" s="147">
        <f>+Q62</f>
        <v>21394.992978125032</v>
      </c>
      <c r="L13" s="147">
        <f>+Q68</f>
        <v>47021.996665594772</v>
      </c>
      <c r="N13" s="124"/>
      <c r="O13" s="125">
        <v>4</v>
      </c>
      <c r="P13" s="119">
        <f>IFERROR(VLOOKUP(VLOOKUP('Digester Sites'!D13/'Digester Sites'!C13,$S$11:$Y$151,2,TRUE)+'Digester Sites'!I13,$T$11:$Y$151,4,TRUE)*(1+U$2)*'Digester Sites'!G13,0)</f>
        <v>1124.8077857936526</v>
      </c>
      <c r="Q13" s="119">
        <f>IFERROR(VLOOKUP(VLOOKUP('Digester Sites'!D13/'Digester Sites'!C13,$S$11:$Y$151,2,TRUE)+'Digester Sites'!I13,$T$11:$Y$151,6,TRUE)*($U$3)*'Digester Sites'!G13,0)</f>
        <v>5718.0271287698506</v>
      </c>
      <c r="S13" s="148">
        <f t="shared" si="0"/>
        <v>43.714285714285722</v>
      </c>
      <c r="T13" s="149">
        <f t="shared" ref="T13:T76" si="2">T12+1/7</f>
        <v>0.2857142857142857</v>
      </c>
      <c r="U13" s="150">
        <f t="shared" si="1"/>
        <v>3.1484358353510897</v>
      </c>
      <c r="V13" s="150">
        <f t="shared" si="1"/>
        <v>5.2361259079903161E-2</v>
      </c>
      <c r="W13" s="150">
        <f t="shared" si="1"/>
        <v>0.38754092009685237</v>
      </c>
      <c r="X13" s="150">
        <f t="shared" si="1"/>
        <v>0.34653075060532695</v>
      </c>
      <c r="Y13" s="150">
        <f t="shared" si="1"/>
        <v>0.2828184019370461</v>
      </c>
    </row>
    <row r="14" spans="1:25" x14ac:dyDescent="0.25">
      <c r="N14" s="124"/>
      <c r="O14" s="135">
        <v>5</v>
      </c>
      <c r="P14" s="119">
        <f>IFERROR(VLOOKUP(VLOOKUP('Digester Sites'!D14/'Digester Sites'!C14,$S$11:$Y$151,2,TRUE)+'Digester Sites'!I14,$T$11:$Y$151,4,TRUE)*(1+U$2)*'Digester Sites'!G14,0)</f>
        <v>1051.9697859079924</v>
      </c>
      <c r="Q14" s="119">
        <f>IFERROR(VLOOKUP(VLOOKUP('Digester Sites'!D14/'Digester Sites'!C14,$S$11:$Y$151,2,TRUE)+'Digester Sites'!I14,$T$11:$Y$151,6,TRUE)*($U$3)*'Digester Sites'!G14,0)</f>
        <v>5481.9091841404525</v>
      </c>
      <c r="S14" s="148">
        <f t="shared" si="0"/>
        <v>45.571428571428584</v>
      </c>
      <c r="T14" s="149">
        <f t="shared" si="2"/>
        <v>0.42857142857142855</v>
      </c>
      <c r="U14" s="150">
        <f t="shared" si="1"/>
        <v>3.2226537530266346</v>
      </c>
      <c r="V14" s="150">
        <f t="shared" si="1"/>
        <v>5.354188861985474E-2</v>
      </c>
      <c r="W14" s="150">
        <f t="shared" si="1"/>
        <v>0.39631138014527856</v>
      </c>
      <c r="X14" s="150">
        <f t="shared" si="1"/>
        <v>0.35479612590799042</v>
      </c>
      <c r="Y14" s="150">
        <f t="shared" si="1"/>
        <v>0.28922760290556915</v>
      </c>
    </row>
    <row r="15" spans="1:25" ht="15.75" thickBot="1" x14ac:dyDescent="0.3">
      <c r="N15" s="89" t="s">
        <v>27</v>
      </c>
      <c r="O15" s="136"/>
      <c r="P15" s="137">
        <f>SUM(P10:P14)</f>
        <v>5800.6896590907209</v>
      </c>
      <c r="Q15" s="137">
        <f>SUM(Q10:Q14)</f>
        <v>28164.937407689089</v>
      </c>
      <c r="S15" s="148">
        <f t="shared" si="0"/>
        <v>47.428571428571445</v>
      </c>
      <c r="T15" s="149">
        <f t="shared" si="2"/>
        <v>0.5714285714285714</v>
      </c>
      <c r="U15" s="150">
        <f t="shared" si="1"/>
        <v>3.2968716707021795</v>
      </c>
      <c r="V15" s="150">
        <f t="shared" si="1"/>
        <v>5.4722518159806319E-2</v>
      </c>
      <c r="W15" s="150">
        <f t="shared" si="1"/>
        <v>0.40508184019370475</v>
      </c>
      <c r="X15" s="150">
        <f t="shared" si="1"/>
        <v>0.36306150121065389</v>
      </c>
      <c r="Y15" s="150">
        <f t="shared" si="1"/>
        <v>0.29563680387409219</v>
      </c>
    </row>
    <row r="16" spans="1:25" x14ac:dyDescent="0.25">
      <c r="N16" s="117" t="s">
        <v>6</v>
      </c>
      <c r="O16" s="118">
        <v>1</v>
      </c>
      <c r="P16" s="119">
        <f>IFERROR(VLOOKUP(VLOOKUP('Digester Sites'!D16/'Digester Sites'!C16,$S$11:$Y$151,2,TRUE)+'Digester Sites'!I16,$T$11:$Y$151,4,TRUE)*(1+U$2)*'Digester Sites'!G16,0)</f>
        <v>1316.407254978358</v>
      </c>
      <c r="Q16" s="119">
        <f>IFERROR(VLOOKUP(VLOOKUP('Digester Sites'!D16/'Digester Sites'!C16,$S$11:$Y$151,2,TRUE)+'Digester Sites'!I16,$T$11:$Y$151,6,TRUE)*($U$3)*'Digester Sites'!G16,0)</f>
        <v>6609.2814229240666</v>
      </c>
      <c r="S16" s="148">
        <f t="shared" si="0"/>
        <v>49.285714285714306</v>
      </c>
      <c r="T16" s="149">
        <f t="shared" si="2"/>
        <v>0.71428571428571419</v>
      </c>
      <c r="U16" s="150">
        <f t="shared" si="1"/>
        <v>3.3710895883777243</v>
      </c>
      <c r="V16" s="150">
        <f t="shared" si="1"/>
        <v>5.5903147699757898E-2</v>
      </c>
      <c r="W16" s="150">
        <f t="shared" si="1"/>
        <v>0.41385230024213093</v>
      </c>
      <c r="X16" s="150">
        <f t="shared" si="1"/>
        <v>0.37132687651331736</v>
      </c>
      <c r="Y16" s="150">
        <f t="shared" si="1"/>
        <v>0.30204600484261523</v>
      </c>
    </row>
    <row r="17" spans="2:25" x14ac:dyDescent="0.25">
      <c r="B17" s="152"/>
      <c r="C17" s="152"/>
      <c r="D17" s="153"/>
      <c r="E17" s="152"/>
      <c r="N17" s="124"/>
      <c r="O17" s="125">
        <v>2</v>
      </c>
      <c r="P17" s="119">
        <f>IFERROR(VLOOKUP(VLOOKUP('Digester Sites'!D17/'Digester Sites'!C17,$S$11:$Y$151,2,TRUE)+'Digester Sites'!I17,$T$11:$Y$151,4,TRUE)*(1+U$2)*'Digester Sites'!G17,0)</f>
        <v>1319.9124360750393</v>
      </c>
      <c r="Q17" s="119">
        <f>IFERROR(VLOOKUP(VLOOKUP('Digester Sites'!D17/'Digester Sites'!C17,$S$11:$Y$151,2,TRUE)+'Digester Sites'!I17,$T$11:$Y$151,6,TRUE)*($U$3)*'Digester Sites'!G17,0)</f>
        <v>6674.8984432572697</v>
      </c>
      <c r="S17" s="148">
        <f t="shared" si="0"/>
        <v>51.142857142857167</v>
      </c>
      <c r="T17" s="149">
        <f t="shared" si="2"/>
        <v>0.85714285714285698</v>
      </c>
      <c r="U17" s="150">
        <f t="shared" si="1"/>
        <v>3.4453075060532692</v>
      </c>
      <c r="V17" s="150">
        <f t="shared" si="1"/>
        <v>5.7083777239709477E-2</v>
      </c>
      <c r="W17" s="150">
        <f t="shared" si="1"/>
        <v>0.42262276029055712</v>
      </c>
      <c r="X17" s="150">
        <f t="shared" si="1"/>
        <v>0.37959225181598083</v>
      </c>
      <c r="Y17" s="150">
        <f t="shared" si="1"/>
        <v>0.30845520581113828</v>
      </c>
    </row>
    <row r="18" spans="2:25" x14ac:dyDescent="0.25">
      <c r="B18" s="154"/>
      <c r="C18" s="152"/>
      <c r="D18" s="71"/>
      <c r="E18" s="155"/>
      <c r="N18" s="124"/>
      <c r="O18" s="125">
        <v>3</v>
      </c>
      <c r="P18" s="119">
        <f>IFERROR(VLOOKUP(VLOOKUP('Digester Sites'!D18/'Digester Sites'!C18,$S$11:$Y$151,2,TRUE)+'Digester Sites'!I18,$T$11:$Y$151,4,TRUE)*(1+U$2)*'Digester Sites'!G18,0)</f>
        <v>1343.1363464646495</v>
      </c>
      <c r="Q18" s="119">
        <f>IFERROR(VLOOKUP(VLOOKUP('Digester Sites'!D18/'Digester Sites'!C18,$S$11:$Y$151,2,TRUE)+'Digester Sites'!I18,$T$11:$Y$151,6,TRUE)*($U$3)*'Digester Sites'!G18,0)</f>
        <v>6538.9491033517188</v>
      </c>
      <c r="S18" s="148">
        <f t="shared" si="0"/>
        <v>53.000000000000028</v>
      </c>
      <c r="T18" s="149">
        <f t="shared" si="2"/>
        <v>0.99999999999999978</v>
      </c>
      <c r="U18" s="150">
        <f t="shared" si="1"/>
        <v>3.5195254237288141</v>
      </c>
      <c r="V18" s="150">
        <f t="shared" si="1"/>
        <v>5.8264406779661056E-2</v>
      </c>
      <c r="W18" s="150">
        <f t="shared" si="1"/>
        <v>0.43139322033898331</v>
      </c>
      <c r="X18" s="150">
        <f t="shared" si="1"/>
        <v>0.3878576271186443</v>
      </c>
      <c r="Y18" s="150">
        <f t="shared" si="1"/>
        <v>0.31486440677966132</v>
      </c>
    </row>
    <row r="19" spans="2:25" x14ac:dyDescent="0.25">
      <c r="B19" s="154"/>
      <c r="C19" s="152"/>
      <c r="D19" s="71"/>
      <c r="E19" s="155"/>
      <c r="N19" s="124"/>
      <c r="O19" s="125">
        <v>4</v>
      </c>
      <c r="P19" s="119">
        <f>IFERROR(VLOOKUP(VLOOKUP('Digester Sites'!D19/'Digester Sites'!C19,$S$11:$Y$151,2,TRUE)+'Digester Sites'!I19,$T$11:$Y$151,4,TRUE)*(1+U$2)*'Digester Sites'!G19,0)</f>
        <v>1364.6463714285742</v>
      </c>
      <c r="Q19" s="119">
        <f>IFERROR(VLOOKUP(VLOOKUP('Digester Sites'!D19/'Digester Sites'!C19,$S$11:$Y$151,2,TRUE)+'Digester Sites'!I19,$T$11:$Y$151,6,TRUE)*($U$3)*'Digester Sites'!G19,0)</f>
        <v>6589.2819461039144</v>
      </c>
      <c r="S19" s="148">
        <f t="shared" si="0"/>
        <v>54.85714285714289</v>
      </c>
      <c r="T19" s="149">
        <f t="shared" si="2"/>
        <v>1.1428571428571426</v>
      </c>
      <c r="U19" s="150">
        <f t="shared" si="1"/>
        <v>3.5937433414043589</v>
      </c>
      <c r="V19" s="150">
        <f t="shared" si="1"/>
        <v>5.9445036319612635E-2</v>
      </c>
      <c r="W19" s="150">
        <f t="shared" si="1"/>
        <v>0.44016368038740949</v>
      </c>
      <c r="X19" s="150">
        <f t="shared" si="1"/>
        <v>0.39612300242130777</v>
      </c>
      <c r="Y19" s="150">
        <f t="shared" si="1"/>
        <v>0.32127360774818436</v>
      </c>
    </row>
    <row r="20" spans="2:25" x14ac:dyDescent="0.25">
      <c r="N20" s="124"/>
      <c r="O20" s="125">
        <v>5</v>
      </c>
      <c r="P20" s="119">
        <f>IFERROR(VLOOKUP(VLOOKUP('Digester Sites'!D20/'Digester Sites'!C20,$S$11:$Y$151,2,TRUE)+'Digester Sites'!I20,$T$11:$Y$151,4,TRUE)*(1+U$2)*'Digester Sites'!G20,0)</f>
        <v>1353.7298069264098</v>
      </c>
      <c r="Q20" s="119">
        <f>IFERROR(VLOOKUP(VLOOKUP('Digester Sites'!D20/'Digester Sites'!C20,$S$11:$Y$151,2,TRUE)+'Digester Sites'!I20,$T$11:$Y$151,6,TRUE)*($U$3)*'Digester Sites'!G20,0)</f>
        <v>6310.2525870326799</v>
      </c>
      <c r="S20" s="148">
        <f t="shared" si="0"/>
        <v>56.714285714285751</v>
      </c>
      <c r="T20" s="149">
        <f t="shared" si="2"/>
        <v>1.2857142857142854</v>
      </c>
      <c r="U20" s="150">
        <f t="shared" si="1"/>
        <v>3.6679612590799038</v>
      </c>
      <c r="V20" s="150">
        <f t="shared" si="1"/>
        <v>6.0625665859564214E-2</v>
      </c>
      <c r="W20" s="150">
        <f t="shared" si="1"/>
        <v>0.44893414043583568</v>
      </c>
      <c r="X20" s="150">
        <f t="shared" si="1"/>
        <v>0.40438837772397124</v>
      </c>
      <c r="Y20" s="150">
        <f t="shared" si="1"/>
        <v>0.32768280871670741</v>
      </c>
    </row>
    <row r="21" spans="2:25" x14ac:dyDescent="0.25">
      <c r="N21" s="124"/>
      <c r="O21" s="135">
        <v>6</v>
      </c>
      <c r="P21" s="119">
        <f>IFERROR(VLOOKUP(VLOOKUP('Digester Sites'!D21/'Digester Sites'!C21,$S$11:$Y$151,2,TRUE)+'Digester Sites'!I21,$T$11:$Y$151,4,TRUE)*(1+U$2)*'Digester Sites'!G21,0)</f>
        <v>1294.6296233766259</v>
      </c>
      <c r="Q21" s="119">
        <f>IFERROR(VLOOKUP(VLOOKUP('Digester Sites'!D21/'Digester Sites'!C21,$S$11:$Y$151,2,TRUE)+'Digester Sites'!I21,$T$11:$Y$151,6,TRUE)*($U$3)*'Digester Sites'!G21,0)</f>
        <v>5861.0343783943454</v>
      </c>
      <c r="S21" s="148">
        <f t="shared" si="0"/>
        <v>58.571428571428612</v>
      </c>
      <c r="T21" s="149">
        <f t="shared" si="2"/>
        <v>1.4285714285714282</v>
      </c>
      <c r="U21" s="150">
        <f t="shared" si="1"/>
        <v>3.7421791767554486</v>
      </c>
      <c r="V21" s="150">
        <f t="shared" si="1"/>
        <v>6.1806295399515793E-2</v>
      </c>
      <c r="W21" s="150">
        <f t="shared" si="1"/>
        <v>0.45770460048426187</v>
      </c>
      <c r="X21" s="150">
        <f t="shared" si="1"/>
        <v>0.41265375302663471</v>
      </c>
      <c r="Y21" s="150">
        <f t="shared" si="1"/>
        <v>0.33409200968523045</v>
      </c>
    </row>
    <row r="22" spans="2:25" ht="15.75" thickBot="1" x14ac:dyDescent="0.3">
      <c r="N22" s="89" t="s">
        <v>27</v>
      </c>
      <c r="O22" s="136"/>
      <c r="P22" s="137">
        <f>SUM(P16:P21)</f>
        <v>7992.4618392496568</v>
      </c>
      <c r="Q22" s="137">
        <f>SUM(Q16:Q21)</f>
        <v>38583.697881063992</v>
      </c>
      <c r="S22" s="148">
        <f t="shared" si="0"/>
        <v>60.428571428571473</v>
      </c>
      <c r="T22" s="149">
        <f t="shared" si="2"/>
        <v>1.571428571428571</v>
      </c>
      <c r="U22" s="150">
        <f t="shared" si="1"/>
        <v>3.8163970944309935</v>
      </c>
      <c r="V22" s="150">
        <f t="shared" si="1"/>
        <v>6.2986924939467365E-2</v>
      </c>
      <c r="W22" s="150">
        <f t="shared" si="1"/>
        <v>0.46647506053268806</v>
      </c>
      <c r="X22" s="150">
        <f t="shared" si="1"/>
        <v>0.42091912832929818</v>
      </c>
      <c r="Y22" s="150">
        <f t="shared" si="1"/>
        <v>0.34050121065375349</v>
      </c>
    </row>
    <row r="23" spans="2:25" x14ac:dyDescent="0.25">
      <c r="N23" s="117" t="s">
        <v>7</v>
      </c>
      <c r="O23" s="118">
        <v>1</v>
      </c>
      <c r="P23" s="119">
        <f>IFERROR(VLOOKUP(VLOOKUP('Digester Sites'!D23/'Digester Sites'!C23,$S$11:$Y$151,2,TRUE)+'Digester Sites'!I23,$T$11:$Y$151,4,TRUE)*(1+U$2)*'Digester Sites'!G23,0)</f>
        <v>0</v>
      </c>
      <c r="Q23" s="119">
        <f>IFERROR(VLOOKUP(VLOOKUP('Digester Sites'!D23/'Digester Sites'!C23,$S$11:$Y$151,2,TRUE)+'Digester Sites'!I23,$T$11:$Y$151,6,TRUE)*($U$3)*'Digester Sites'!G23,0)</f>
        <v>0</v>
      </c>
      <c r="S23" s="148">
        <f t="shared" si="0"/>
        <v>62.285714285714334</v>
      </c>
      <c r="T23" s="149">
        <f t="shared" si="2"/>
        <v>1.7142857142857137</v>
      </c>
      <c r="U23" s="150">
        <f t="shared" si="1"/>
        <v>3.8906150121065384</v>
      </c>
      <c r="V23" s="150">
        <f t="shared" si="1"/>
        <v>6.4167554479418937E-2</v>
      </c>
      <c r="W23" s="150">
        <f t="shared" si="1"/>
        <v>0.47524552058111424</v>
      </c>
      <c r="X23" s="150">
        <f t="shared" si="1"/>
        <v>0.42918450363196164</v>
      </c>
      <c r="Y23" s="150">
        <f t="shared" si="1"/>
        <v>0.34691041162227654</v>
      </c>
    </row>
    <row r="24" spans="2:25" x14ac:dyDescent="0.25">
      <c r="N24" s="124"/>
      <c r="O24" s="125">
        <v>2</v>
      </c>
      <c r="P24" s="119">
        <f>IFERROR(VLOOKUP(VLOOKUP('Digester Sites'!D24/'Digester Sites'!C24,$S$11:$Y$151,2,TRUE)+'Digester Sites'!I24,$T$11:$Y$151,4,TRUE)*(1+U$2)*'Digester Sites'!G24,0)</f>
        <v>0</v>
      </c>
      <c r="Q24" s="119">
        <f>IFERROR(VLOOKUP(VLOOKUP('Digester Sites'!D24/'Digester Sites'!C24,$S$11:$Y$151,2,TRUE)+'Digester Sites'!I24,$T$11:$Y$151,6,TRUE)*($U$3)*'Digester Sites'!G24,0)</f>
        <v>0</v>
      </c>
      <c r="S24" s="148">
        <f t="shared" si="0"/>
        <v>64.142857142857196</v>
      </c>
      <c r="T24" s="149">
        <f t="shared" si="2"/>
        <v>1.8571428571428565</v>
      </c>
      <c r="U24" s="150">
        <f t="shared" si="1"/>
        <v>3.9648329297820832</v>
      </c>
      <c r="V24" s="150">
        <f t="shared" si="1"/>
        <v>6.5348184019370509E-2</v>
      </c>
      <c r="W24" s="150">
        <f t="shared" si="1"/>
        <v>0.48401598062954043</v>
      </c>
      <c r="X24" s="150">
        <f t="shared" si="1"/>
        <v>0.43744987893462511</v>
      </c>
      <c r="Y24" s="150">
        <f t="shared" si="1"/>
        <v>0.35331961259079958</v>
      </c>
    </row>
    <row r="25" spans="2:25" x14ac:dyDescent="0.25">
      <c r="N25" s="124"/>
      <c r="O25" s="125">
        <v>3</v>
      </c>
      <c r="P25" s="119">
        <f>IFERROR(VLOOKUP(VLOOKUP('Digester Sites'!D25/'Digester Sites'!C25,$S$11:$Y$151,2,TRUE)+'Digester Sites'!I25,$T$11:$Y$151,4,TRUE)*(1+U$2)*'Digester Sites'!G25,0)</f>
        <v>1340.8890000000001</v>
      </c>
      <c r="Q25" s="119">
        <f>IFERROR(VLOOKUP(VLOOKUP('Digester Sites'!D25/'Digester Sites'!C25,$S$11:$Y$151,2,TRUE)+'Digester Sites'!I25,$T$11:$Y$151,6,TRUE)*($U$3)*'Digester Sites'!G25,0)</f>
        <v>6949.6050000000005</v>
      </c>
      <c r="S25" s="148">
        <f t="shared" si="0"/>
        <v>66.000000000000057</v>
      </c>
      <c r="T25" s="149">
        <f t="shared" si="2"/>
        <v>1.9999999999999993</v>
      </c>
      <c r="U25" s="150">
        <f t="shared" si="1"/>
        <v>4.0390508474576281</v>
      </c>
      <c r="V25" s="150">
        <f t="shared" si="1"/>
        <v>6.6528813559322081E-2</v>
      </c>
      <c r="W25" s="150">
        <f t="shared" si="1"/>
        <v>0.49278644067796662</v>
      </c>
      <c r="X25" s="150">
        <f t="shared" si="1"/>
        <v>0.44571525423728858</v>
      </c>
      <c r="Y25" s="150">
        <f t="shared" si="1"/>
        <v>0.35972881355932262</v>
      </c>
    </row>
    <row r="26" spans="2:25" x14ac:dyDescent="0.25">
      <c r="N26" s="124"/>
      <c r="O26" s="125">
        <v>4</v>
      </c>
      <c r="P26" s="119">
        <f>IFERROR(VLOOKUP(VLOOKUP('Digester Sites'!D26/'Digester Sites'!C26,$S$11:$Y$151,2,TRUE)+'Digester Sites'!I26,$T$11:$Y$151,4,TRUE)*(1+U$2)*'Digester Sites'!G26,0)</f>
        <v>1428.8841730769257</v>
      </c>
      <c r="Q26" s="119">
        <f>IFERROR(VLOOKUP(VLOOKUP('Digester Sites'!D26/'Digester Sites'!C26,$S$11:$Y$151,2,TRUE)+'Digester Sites'!I26,$T$11:$Y$151,6,TRUE)*($U$3)*'Digester Sites'!G26,0)</f>
        <v>7411.3986791958005</v>
      </c>
      <c r="S26" s="148">
        <f t="shared" si="0"/>
        <v>67.857142857142918</v>
      </c>
      <c r="T26" s="149">
        <f t="shared" si="2"/>
        <v>2.1428571428571423</v>
      </c>
      <c r="U26" s="150">
        <f t="shared" si="1"/>
        <v>4.1132687651331734</v>
      </c>
      <c r="V26" s="150">
        <f t="shared" si="1"/>
        <v>6.7709443099273653E-2</v>
      </c>
      <c r="W26" s="150">
        <f t="shared" si="1"/>
        <v>0.50155690072639281</v>
      </c>
      <c r="X26" s="150">
        <f t="shared" si="1"/>
        <v>0.45398062953995205</v>
      </c>
      <c r="Y26" s="150">
        <f t="shared" si="1"/>
        <v>0.36613801452784567</v>
      </c>
    </row>
    <row r="27" spans="2:25" x14ac:dyDescent="0.25">
      <c r="N27" s="124"/>
      <c r="O27" s="135">
        <v>5</v>
      </c>
      <c r="P27" s="119">
        <f>IFERROR(VLOOKUP(VLOOKUP('Digester Sites'!D27/'Digester Sites'!C27,$S$11:$Y$151,2,TRUE)+'Digester Sites'!I27,$T$11:$Y$151,4,TRUE)*(1+U$2)*'Digester Sites'!G27,0)</f>
        <v>1585.2288131868158</v>
      </c>
      <c r="Q27" s="119">
        <f>IFERROR(VLOOKUP(VLOOKUP('Digester Sites'!D27/'Digester Sites'!C27,$S$11:$Y$151,2,TRUE)+'Digester Sites'!I27,$T$11:$Y$151,6,TRUE)*($U$3)*'Digester Sites'!G27,0)</f>
        <v>8236.3553556443621</v>
      </c>
      <c r="S27" s="148">
        <f t="shared" si="0"/>
        <v>69.714285714285779</v>
      </c>
      <c r="T27" s="149">
        <f t="shared" si="2"/>
        <v>2.2857142857142851</v>
      </c>
      <c r="U27" s="150">
        <f t="shared" si="1"/>
        <v>4.1874866828087187</v>
      </c>
      <c r="V27" s="150">
        <f t="shared" si="1"/>
        <v>6.8890072639225225E-2</v>
      </c>
      <c r="W27" s="150">
        <f t="shared" si="1"/>
        <v>0.51032736077481899</v>
      </c>
      <c r="X27" s="150">
        <f t="shared" si="1"/>
        <v>0.46224600484261552</v>
      </c>
      <c r="Y27" s="150">
        <f t="shared" si="1"/>
        <v>0.37254721549636871</v>
      </c>
    </row>
    <row r="28" spans="2:25" ht="15.75" thickBot="1" x14ac:dyDescent="0.3">
      <c r="N28" s="89" t="s">
        <v>27</v>
      </c>
      <c r="O28" s="136"/>
      <c r="P28" s="137">
        <f>SUM(P23:P27)</f>
        <v>4355.0019862637419</v>
      </c>
      <c r="Q28" s="137">
        <f>SUM(Q23:Q27)</f>
        <v>22597.359034840163</v>
      </c>
      <c r="S28" s="148">
        <f t="shared" si="0"/>
        <v>71.57142857142864</v>
      </c>
      <c r="T28" s="149">
        <f t="shared" si="2"/>
        <v>2.4285714285714279</v>
      </c>
      <c r="U28" s="150">
        <f t="shared" ref="U28:Y43" si="3">U27+(U$70-U$11)/($T$70-$T$11)/7</f>
        <v>4.261704600484264</v>
      </c>
      <c r="V28" s="150">
        <f t="shared" si="3"/>
        <v>7.0070702179176797E-2</v>
      </c>
      <c r="W28" s="150">
        <f t="shared" si="3"/>
        <v>0.51909782082324518</v>
      </c>
      <c r="X28" s="150">
        <f t="shared" si="3"/>
        <v>0.47051138014527899</v>
      </c>
      <c r="Y28" s="150">
        <f t="shared" si="3"/>
        <v>0.37895641646489175</v>
      </c>
    </row>
    <row r="29" spans="2:25" x14ac:dyDescent="0.25">
      <c r="N29" s="117" t="s">
        <v>8</v>
      </c>
      <c r="O29" s="118">
        <v>1</v>
      </c>
      <c r="P29" s="119">
        <f>IFERROR(VLOOKUP(VLOOKUP('Digester Sites'!D29/'Digester Sites'!C29,$S$11:$Y$151,2,TRUE)+'Digester Sites'!I29,$T$11:$Y$151,4,TRUE)*(1+U$2)*'Digester Sites'!G29,0)</f>
        <v>704.21537627118767</v>
      </c>
      <c r="Q29" s="119">
        <f>IFERROR(VLOOKUP(VLOOKUP('Digester Sites'!D29/'Digester Sites'!C29,$S$11:$Y$151,2,TRUE)+'Digester Sites'!I29,$T$11:$Y$151,6,TRUE)*($U$3)*'Digester Sites'!G29,0)</f>
        <v>3669.3720677966194</v>
      </c>
      <c r="S29" s="148">
        <f t="shared" si="0"/>
        <v>73.428571428571502</v>
      </c>
      <c r="T29" s="149">
        <f t="shared" si="2"/>
        <v>2.5714285714285707</v>
      </c>
      <c r="U29" s="150">
        <f t="shared" si="3"/>
        <v>4.3359225181598093</v>
      </c>
      <c r="V29" s="150">
        <f t="shared" si="3"/>
        <v>7.1251331719128369E-2</v>
      </c>
      <c r="W29" s="150">
        <f t="shared" si="3"/>
        <v>0.52786828087167137</v>
      </c>
      <c r="X29" s="150">
        <f t="shared" si="3"/>
        <v>0.47877675544794246</v>
      </c>
      <c r="Y29" s="150">
        <f t="shared" si="3"/>
        <v>0.3853656174334148</v>
      </c>
    </row>
    <row r="30" spans="2:25" x14ac:dyDescent="0.25">
      <c r="N30" s="124"/>
      <c r="O30" s="125">
        <v>2</v>
      </c>
      <c r="P30" s="119">
        <f>IFERROR(VLOOKUP(VLOOKUP('Digester Sites'!D30/'Digester Sites'!C30,$S$11:$Y$151,2,TRUE)+'Digester Sites'!I30,$T$11:$Y$151,4,TRUE)*(1+U$2)*'Digester Sites'!G30,0)</f>
        <v>678.2280472639236</v>
      </c>
      <c r="Q30" s="119">
        <f>IFERROR(VLOOKUP(VLOOKUP('Digester Sites'!D30/'Digester Sites'!C30,$S$11:$Y$151,2,TRUE)+'Digester Sites'!I30,$T$11:$Y$151,6,TRUE)*($U$3)*'Digester Sites'!G30,0)</f>
        <v>3533.8740731234952</v>
      </c>
      <c r="S30" s="148">
        <f t="shared" si="0"/>
        <v>75.285714285714363</v>
      </c>
      <c r="T30" s="149">
        <f t="shared" si="2"/>
        <v>2.7142857142857135</v>
      </c>
      <c r="U30" s="150">
        <f t="shared" si="3"/>
        <v>4.4101404358353546</v>
      </c>
      <c r="V30" s="150">
        <f t="shared" si="3"/>
        <v>7.2431961259079941E-2</v>
      </c>
      <c r="W30" s="150">
        <f t="shared" si="3"/>
        <v>0.53663874092009756</v>
      </c>
      <c r="X30" s="150">
        <f t="shared" si="3"/>
        <v>0.48704213075060593</v>
      </c>
      <c r="Y30" s="150">
        <f t="shared" si="3"/>
        <v>0.39177481840193784</v>
      </c>
    </row>
    <row r="31" spans="2:25" x14ac:dyDescent="0.25">
      <c r="N31" s="124"/>
      <c r="O31" s="125">
        <v>3</v>
      </c>
      <c r="P31" s="119">
        <f>IFERROR(VLOOKUP(VLOOKUP('Digester Sites'!D31/'Digester Sites'!C31,$S$11:$Y$151,2,TRUE)+'Digester Sites'!I31,$T$11:$Y$151,4,TRUE)*(1+U$2)*'Digester Sites'!G31,0)</f>
        <v>696.64788019370542</v>
      </c>
      <c r="Q31" s="119">
        <f>IFERROR(VLOOKUP(VLOOKUP('Digester Sites'!D31/'Digester Sites'!C31,$S$11:$Y$151,2,TRUE)+'Digester Sites'!I31,$T$11:$Y$151,6,TRUE)*($U$3)*'Digester Sites'!G31,0)</f>
        <v>3629.2990912832997</v>
      </c>
      <c r="S31" s="148">
        <f t="shared" si="0"/>
        <v>77.142857142857224</v>
      </c>
      <c r="T31" s="149">
        <f t="shared" si="2"/>
        <v>2.8571428571428563</v>
      </c>
      <c r="U31" s="150">
        <f t="shared" si="3"/>
        <v>4.4843583535109</v>
      </c>
      <c r="V31" s="150">
        <f t="shared" si="3"/>
        <v>7.3612590799031513E-2</v>
      </c>
      <c r="W31" s="150">
        <f t="shared" si="3"/>
        <v>0.54540920096852374</v>
      </c>
      <c r="X31" s="150">
        <f t="shared" si="3"/>
        <v>0.4953075060532694</v>
      </c>
      <c r="Y31" s="150">
        <f t="shared" si="3"/>
        <v>0.39818401937046088</v>
      </c>
    </row>
    <row r="32" spans="2:25" x14ac:dyDescent="0.25">
      <c r="N32" s="124"/>
      <c r="O32" s="125">
        <v>4</v>
      </c>
      <c r="P32" s="119">
        <f>IFERROR(VLOOKUP(VLOOKUP('Digester Sites'!D32/'Digester Sites'!C32,$S$11:$Y$151,2,TRUE)+'Digester Sites'!I32,$T$11:$Y$151,4,TRUE)*(1+U$2)*'Digester Sites'!G32,0)</f>
        <v>594.07454803874145</v>
      </c>
      <c r="Q32" s="119">
        <f>IFERROR(VLOOKUP(VLOOKUP('Digester Sites'!D32/'Digester Sites'!C32,$S$11:$Y$151,2,TRUE)+'Digester Sites'!I32,$T$11:$Y$151,6,TRUE)*($U$3)*'Digester Sites'!G32,0)</f>
        <v>3094.4889882566622</v>
      </c>
      <c r="S32" s="148">
        <f t="shared" si="0"/>
        <v>79.000000000000085</v>
      </c>
      <c r="T32" s="149">
        <f t="shared" si="2"/>
        <v>2.9999999999999991</v>
      </c>
      <c r="U32" s="150">
        <f t="shared" si="3"/>
        <v>4.5585762711864453</v>
      </c>
      <c r="V32" s="150">
        <f t="shared" si="3"/>
        <v>7.4793220338983085E-2</v>
      </c>
      <c r="W32" s="150">
        <f t="shared" si="3"/>
        <v>0.55417966101694993</v>
      </c>
      <c r="X32" s="150">
        <f t="shared" si="3"/>
        <v>0.50357288135593281</v>
      </c>
      <c r="Y32" s="150">
        <f t="shared" si="3"/>
        <v>0.40459322033898393</v>
      </c>
    </row>
    <row r="33" spans="14:25" x14ac:dyDescent="0.25">
      <c r="N33" s="124"/>
      <c r="O33" s="135">
        <v>5</v>
      </c>
      <c r="P33" s="119">
        <f>IFERROR(VLOOKUP(VLOOKUP('Digester Sites'!D33/'Digester Sites'!C33,$S$11:$Y$151,2,TRUE)+'Digester Sites'!I33,$T$11:$Y$151,4,TRUE)*(1+U$2)*'Digester Sites'!G33,0)</f>
        <v>0</v>
      </c>
      <c r="Q33" s="119">
        <f>IFERROR(VLOOKUP(VLOOKUP('Digester Sites'!D33/'Digester Sites'!C33,$S$11:$Y$151,2,TRUE)+'Digester Sites'!I33,$T$11:$Y$151,6,TRUE)*($U$3)*'Digester Sites'!G33,0)</f>
        <v>0</v>
      </c>
      <c r="S33" s="148">
        <f t="shared" si="0"/>
        <v>80.857142857142946</v>
      </c>
      <c r="T33" s="149">
        <f t="shared" si="2"/>
        <v>3.1428571428571419</v>
      </c>
      <c r="U33" s="150">
        <f t="shared" si="3"/>
        <v>4.6327941888619906</v>
      </c>
      <c r="V33" s="150">
        <f t="shared" si="3"/>
        <v>7.5973849878934657E-2</v>
      </c>
      <c r="W33" s="150">
        <f t="shared" si="3"/>
        <v>0.56295012106537612</v>
      </c>
      <c r="X33" s="150">
        <f t="shared" si="3"/>
        <v>0.51183825665859628</v>
      </c>
      <c r="Y33" s="150">
        <f t="shared" si="3"/>
        <v>0.41100242130750697</v>
      </c>
    </row>
    <row r="34" spans="14:25" ht="15.75" thickBot="1" x14ac:dyDescent="0.3">
      <c r="N34" s="89" t="s">
        <v>27</v>
      </c>
      <c r="O34" s="136"/>
      <c r="P34" s="137">
        <f>SUM(P29:P33)</f>
        <v>2673.1658517675583</v>
      </c>
      <c r="Q34" s="137">
        <f>SUM(Q29:Q33)</f>
        <v>13927.034220460077</v>
      </c>
      <c r="S34" s="148">
        <f t="shared" si="0"/>
        <v>82.714285714285808</v>
      </c>
      <c r="T34" s="149">
        <f t="shared" si="2"/>
        <v>3.2857142857142847</v>
      </c>
      <c r="U34" s="150">
        <f t="shared" si="3"/>
        <v>4.7070121065375359</v>
      </c>
      <c r="V34" s="150">
        <f t="shared" si="3"/>
        <v>7.7154479418886229E-2</v>
      </c>
      <c r="W34" s="150">
        <f t="shared" si="3"/>
        <v>0.57172058111380231</v>
      </c>
      <c r="X34" s="150">
        <f t="shared" si="3"/>
        <v>0.52010363196125975</v>
      </c>
      <c r="Y34" s="150">
        <f t="shared" si="3"/>
        <v>0.41741162227603001</v>
      </c>
    </row>
    <row r="35" spans="14:25" x14ac:dyDescent="0.25">
      <c r="N35" s="117" t="s">
        <v>9</v>
      </c>
      <c r="O35" s="118">
        <v>1</v>
      </c>
      <c r="P35" s="119">
        <f>IFERROR(VLOOKUP(VLOOKUP('Digester Sites'!D35/'Digester Sites'!C35,$S$11:$Y$151,2,TRUE)+'Digester Sites'!I35,$T$11:$Y$151,4,TRUE)*(1+U$2)*'Digester Sites'!G35,0)</f>
        <v>0</v>
      </c>
      <c r="Q35" s="119">
        <f>IFERROR(VLOOKUP(VLOOKUP('Digester Sites'!D35/'Digester Sites'!C35,$S$11:$Y$151,2,TRUE)+'Digester Sites'!I35,$T$11:$Y$151,6,TRUE)*($U$3)*'Digester Sites'!G35,0)</f>
        <v>0</v>
      </c>
      <c r="S35" s="148">
        <f t="shared" si="0"/>
        <v>84.571428571428669</v>
      </c>
      <c r="T35" s="149">
        <f t="shared" si="2"/>
        <v>3.4285714285714275</v>
      </c>
      <c r="U35" s="150">
        <f t="shared" si="3"/>
        <v>4.7812300242130812</v>
      </c>
      <c r="V35" s="150">
        <f t="shared" si="3"/>
        <v>7.8335108958837801E-2</v>
      </c>
      <c r="W35" s="150">
        <f t="shared" si="3"/>
        <v>0.58049104116222849</v>
      </c>
      <c r="X35" s="150">
        <f t="shared" si="3"/>
        <v>0.52836900726392322</v>
      </c>
      <c r="Y35" s="150">
        <f t="shared" si="3"/>
        <v>0.42382082324455306</v>
      </c>
    </row>
    <row r="36" spans="14:25" x14ac:dyDescent="0.25">
      <c r="N36" s="124"/>
      <c r="O36" s="125">
        <v>2</v>
      </c>
      <c r="P36" s="119">
        <f>IFERROR(VLOOKUP(VLOOKUP('Digester Sites'!D36/'Digester Sites'!C36,$S$11:$Y$151,2,TRUE)+'Digester Sites'!I36,$T$11:$Y$151,4,TRUE)*(1+U$2)*'Digester Sites'!G36,0)</f>
        <v>0</v>
      </c>
      <c r="Q36" s="119">
        <f>IFERROR(VLOOKUP(VLOOKUP('Digester Sites'!D36/'Digester Sites'!C36,$S$11:$Y$151,2,TRUE)+'Digester Sites'!I36,$T$11:$Y$151,6,TRUE)*($U$3)*'Digester Sites'!G36,0)</f>
        <v>0</v>
      </c>
      <c r="S36" s="148">
        <f t="shared" si="0"/>
        <v>86.42857142857153</v>
      </c>
      <c r="T36" s="149">
        <f t="shared" si="2"/>
        <v>3.5714285714285703</v>
      </c>
      <c r="U36" s="150">
        <f t="shared" si="3"/>
        <v>4.8554479418886265</v>
      </c>
      <c r="V36" s="150">
        <f t="shared" si="3"/>
        <v>7.9515738498789373E-2</v>
      </c>
      <c r="W36" s="150">
        <f t="shared" si="3"/>
        <v>0.58926150121065468</v>
      </c>
      <c r="X36" s="150">
        <f t="shared" si="3"/>
        <v>0.53663438256658669</v>
      </c>
      <c r="Y36" s="150">
        <f t="shared" si="3"/>
        <v>0.4302300242130761</v>
      </c>
    </row>
    <row r="37" spans="14:25" x14ac:dyDescent="0.25">
      <c r="N37" s="124"/>
      <c r="O37" s="125">
        <v>3</v>
      </c>
      <c r="P37" s="119">
        <f>IFERROR(VLOOKUP(VLOOKUP('Digester Sites'!D37/'Digester Sites'!C37,$S$11:$Y$151,2,TRUE)+'Digester Sites'!I37,$T$11:$Y$151,4,TRUE)*(1+U$2)*'Digester Sites'!G37,0)</f>
        <v>377.23086813186882</v>
      </c>
      <c r="Q37" s="119">
        <f>IFERROR(VLOOKUP(VLOOKUP('Digester Sites'!D37/'Digester Sites'!C37,$S$11:$Y$151,2,TRUE)+'Digester Sites'!I37,$T$11:$Y$151,6,TRUE)*($U$3)*'Digester Sites'!G37,0)</f>
        <v>1955.7185253746236</v>
      </c>
      <c r="S37" s="148">
        <f t="shared" si="0"/>
        <v>88.285714285714391</v>
      </c>
      <c r="T37" s="149">
        <f t="shared" si="2"/>
        <v>3.7142857142857131</v>
      </c>
      <c r="U37" s="150">
        <f t="shared" si="3"/>
        <v>4.9296658595641718</v>
      </c>
      <c r="V37" s="150">
        <f t="shared" si="3"/>
        <v>8.0696368038740945E-2</v>
      </c>
      <c r="W37" s="150">
        <f t="shared" si="3"/>
        <v>0.59803196125908087</v>
      </c>
      <c r="X37" s="150">
        <f t="shared" si="3"/>
        <v>0.54489975786925016</v>
      </c>
      <c r="Y37" s="150">
        <f t="shared" si="3"/>
        <v>0.43663922518159914</v>
      </c>
    </row>
    <row r="38" spans="14:25" x14ac:dyDescent="0.25">
      <c r="N38" s="124"/>
      <c r="O38" s="125">
        <v>4</v>
      </c>
      <c r="P38" s="119">
        <f>IFERROR(VLOOKUP(VLOOKUP('Digester Sites'!D38/'Digester Sites'!C38,$S$11:$Y$151,2,TRUE)+'Digester Sites'!I38,$T$11:$Y$151,4,TRUE)*(1+U$2)*'Digester Sites'!G38,0)</f>
        <v>0</v>
      </c>
      <c r="Q38" s="119">
        <f>IFERROR(VLOOKUP(VLOOKUP('Digester Sites'!D38/'Digester Sites'!C38,$S$11:$Y$151,2,TRUE)+'Digester Sites'!I38,$T$11:$Y$151,6,TRUE)*($U$3)*'Digester Sites'!G38,0)</f>
        <v>0</v>
      </c>
      <c r="S38" s="148">
        <f t="shared" si="0"/>
        <v>90.142857142857252</v>
      </c>
      <c r="T38" s="149">
        <f t="shared" si="2"/>
        <v>3.8571428571428559</v>
      </c>
      <c r="U38" s="150">
        <f t="shared" si="3"/>
        <v>5.0038837772397171</v>
      </c>
      <c r="V38" s="150">
        <f t="shared" si="3"/>
        <v>8.1876997578692517E-2</v>
      </c>
      <c r="W38" s="150">
        <f t="shared" si="3"/>
        <v>0.60680242130750706</v>
      </c>
      <c r="X38" s="150">
        <f t="shared" si="3"/>
        <v>0.55316513317191363</v>
      </c>
      <c r="Y38" s="150">
        <f t="shared" si="3"/>
        <v>0.44304842615012219</v>
      </c>
    </row>
    <row r="39" spans="14:25" x14ac:dyDescent="0.25">
      <c r="N39" s="124"/>
      <c r="O39" s="125">
        <v>5</v>
      </c>
      <c r="P39" s="119">
        <f>IFERROR(VLOOKUP(VLOOKUP('Digester Sites'!D39/'Digester Sites'!C39,$S$11:$Y$151,2,TRUE)+'Digester Sites'!I39,$T$11:$Y$151,4,TRUE)*(1+U$2)*'Digester Sites'!G39,0)</f>
        <v>572.47976923077022</v>
      </c>
      <c r="Q39" s="119">
        <f>IFERROR(VLOOKUP(VLOOKUP('Digester Sites'!D39/'Digester Sites'!C39,$S$11:$Y$151,2,TRUE)+'Digester Sites'!I39,$T$11:$Y$151,6,TRUE)*($U$3)*'Digester Sites'!G39,0)</f>
        <v>2971.3083307692309</v>
      </c>
      <c r="S39" s="148">
        <f t="shared" si="0"/>
        <v>92.000000000000114</v>
      </c>
      <c r="T39" s="149">
        <f t="shared" si="2"/>
        <v>3.9999999999999987</v>
      </c>
      <c r="U39" s="150">
        <f t="shared" si="3"/>
        <v>5.0781016949152624</v>
      </c>
      <c r="V39" s="150">
        <f t="shared" si="3"/>
        <v>8.305762711864409E-2</v>
      </c>
      <c r="W39" s="150">
        <f t="shared" si="3"/>
        <v>0.61557288135593324</v>
      </c>
      <c r="X39" s="150">
        <f t="shared" si="3"/>
        <v>0.56143050847457709</v>
      </c>
      <c r="Y39" s="150">
        <f t="shared" si="3"/>
        <v>0.44945762711864523</v>
      </c>
    </row>
    <row r="40" spans="14:25" x14ac:dyDescent="0.25">
      <c r="N40" s="124"/>
      <c r="O40" s="135">
        <v>6</v>
      </c>
      <c r="P40" s="119">
        <f>IFERROR(VLOOKUP(VLOOKUP('Digester Sites'!D40/'Digester Sites'!C40,$S$11:$Y$151,2,TRUE)+'Digester Sites'!I40,$T$11:$Y$151,4,TRUE)*(1+U$2)*'Digester Sites'!G40,0)</f>
        <v>592.9254752747263</v>
      </c>
      <c r="Q40" s="119">
        <f>IFERROR(VLOOKUP(VLOOKUP('Digester Sites'!D40/'Digester Sites'!C40,$S$11:$Y$151,2,TRUE)+'Digester Sites'!I40,$T$11:$Y$151,6,TRUE)*($U$3)*'Digester Sites'!G40,0)</f>
        <v>3077.4264854395606</v>
      </c>
      <c r="S40" s="148">
        <f t="shared" si="0"/>
        <v>93.857142857142975</v>
      </c>
      <c r="T40" s="149">
        <f t="shared" si="2"/>
        <v>4.1428571428571415</v>
      </c>
      <c r="U40" s="150">
        <f t="shared" si="3"/>
        <v>5.1523196125908077</v>
      </c>
      <c r="V40" s="150">
        <f t="shared" si="3"/>
        <v>8.4238256658595662E-2</v>
      </c>
      <c r="W40" s="150">
        <f t="shared" si="3"/>
        <v>0.62434334140435943</v>
      </c>
      <c r="X40" s="150">
        <f t="shared" si="3"/>
        <v>0.56969588377724056</v>
      </c>
      <c r="Y40" s="150">
        <f t="shared" si="3"/>
        <v>0.45586682808716827</v>
      </c>
    </row>
    <row r="41" spans="14:25" ht="15.75" thickBot="1" x14ac:dyDescent="0.3">
      <c r="N41" s="89" t="s">
        <v>27</v>
      </c>
      <c r="O41" s="136"/>
      <c r="P41" s="137">
        <f>SUM(P35:P40)</f>
        <v>1542.6361126373654</v>
      </c>
      <c r="Q41" s="137">
        <f>SUM(Q35:Q40)</f>
        <v>8004.4533415834148</v>
      </c>
      <c r="S41" s="148">
        <f t="shared" si="0"/>
        <v>95.714285714285836</v>
      </c>
      <c r="T41" s="149">
        <f t="shared" si="2"/>
        <v>4.2857142857142847</v>
      </c>
      <c r="U41" s="150">
        <f t="shared" si="3"/>
        <v>5.226537530266353</v>
      </c>
      <c r="V41" s="150">
        <f t="shared" si="3"/>
        <v>8.5418886198547234E-2</v>
      </c>
      <c r="W41" s="150">
        <f t="shared" si="3"/>
        <v>0.63311380145278562</v>
      </c>
      <c r="X41" s="150">
        <f t="shared" si="3"/>
        <v>0.57796125907990403</v>
      </c>
      <c r="Y41" s="150">
        <f t="shared" si="3"/>
        <v>0.46227602905569132</v>
      </c>
    </row>
    <row r="42" spans="14:25" x14ac:dyDescent="0.25">
      <c r="N42" s="117" t="s">
        <v>10</v>
      </c>
      <c r="O42" s="118">
        <v>1</v>
      </c>
      <c r="P42" s="119">
        <f>IFERROR(VLOOKUP(VLOOKUP('Digester Sites'!D42/'Digester Sites'!C42,$S$11:$Y$151,2,TRUE)+'Digester Sites'!I42,$T$11:$Y$151,4,TRUE)*(1+U$2)*'Digester Sites'!G42,0)</f>
        <v>2071.4348239665123</v>
      </c>
      <c r="Q42" s="119">
        <f>IFERROR(VLOOKUP(VLOOKUP('Digester Sites'!D42/'Digester Sites'!C42,$S$11:$Y$151,2,TRUE)+'Digester Sites'!I42,$T$11:$Y$151,6,TRUE)*($U$3)*'Digester Sites'!G42,0)</f>
        <v>10803.990967870248</v>
      </c>
      <c r="S42" s="148">
        <f t="shared" si="0"/>
        <v>97.571428571428697</v>
      </c>
      <c r="T42" s="149">
        <f t="shared" si="2"/>
        <v>4.4285714285714279</v>
      </c>
      <c r="U42" s="150">
        <f t="shared" si="3"/>
        <v>5.3007554479418983</v>
      </c>
      <c r="V42" s="150">
        <f t="shared" si="3"/>
        <v>8.6599515738498806E-2</v>
      </c>
      <c r="W42" s="150">
        <f t="shared" si="3"/>
        <v>0.64188426150121181</v>
      </c>
      <c r="X42" s="150">
        <f t="shared" si="3"/>
        <v>0.5862266343825675</v>
      </c>
      <c r="Y42" s="150">
        <f t="shared" si="3"/>
        <v>0.46868523002421436</v>
      </c>
    </row>
    <row r="43" spans="14:25" x14ac:dyDescent="0.25">
      <c r="N43" s="124"/>
      <c r="O43" s="125">
        <v>2</v>
      </c>
      <c r="P43" s="119">
        <f>IFERROR(VLOOKUP(VLOOKUP('Digester Sites'!D43/'Digester Sites'!C43,$S$11:$Y$151,2,TRUE)+'Digester Sites'!I43,$T$11:$Y$151,4,TRUE)*(1+U$2)*'Digester Sites'!G43,0)</f>
        <v>2029.73237995814</v>
      </c>
      <c r="Q43" s="119">
        <f>IFERROR(VLOOKUP(VLOOKUP('Digester Sites'!D43/'Digester Sites'!C43,$S$11:$Y$151,2,TRUE)+'Digester Sites'!I43,$T$11:$Y$151,6,TRUE)*($U$3)*'Digester Sites'!G43,0)</f>
        <v>10591.803755292349</v>
      </c>
      <c r="S43" s="148">
        <f t="shared" si="0"/>
        <v>99.428571428571558</v>
      </c>
      <c r="T43" s="149">
        <f t="shared" si="2"/>
        <v>4.5714285714285712</v>
      </c>
      <c r="U43" s="150">
        <f t="shared" si="3"/>
        <v>5.3749733656174437</v>
      </c>
      <c r="V43" s="150">
        <f t="shared" si="3"/>
        <v>8.7780145278450378E-2</v>
      </c>
      <c r="W43" s="150">
        <f t="shared" si="3"/>
        <v>0.65065472154963799</v>
      </c>
      <c r="X43" s="150">
        <f t="shared" si="3"/>
        <v>0.59449200968523097</v>
      </c>
      <c r="Y43" s="150">
        <f t="shared" si="3"/>
        <v>0.4750944309927374</v>
      </c>
    </row>
    <row r="44" spans="14:25" x14ac:dyDescent="0.25">
      <c r="N44" s="124"/>
      <c r="O44" s="125">
        <v>3</v>
      </c>
      <c r="P44" s="119">
        <f>IFERROR(VLOOKUP(VLOOKUP('Digester Sites'!D44/'Digester Sites'!C44,$S$11:$Y$151,2,TRUE)+'Digester Sites'!I44,$T$11:$Y$151,4,TRUE)*(1+U$2)*'Digester Sites'!G44,0)</f>
        <v>1843.2438383116923</v>
      </c>
      <c r="Q44" s="119">
        <f>IFERROR(VLOOKUP(VLOOKUP('Digester Sites'!D44/'Digester Sites'!C44,$S$11:$Y$151,2,TRUE)+'Digester Sites'!I44,$T$11:$Y$151,6,TRUE)*($U$3)*'Digester Sites'!G44,0)</f>
        <v>9254.3680630755898</v>
      </c>
      <c r="S44" s="148">
        <f t="shared" si="0"/>
        <v>101.28571428571442</v>
      </c>
      <c r="T44" s="149">
        <f t="shared" si="2"/>
        <v>4.7142857142857144</v>
      </c>
      <c r="U44" s="150">
        <f t="shared" ref="U44:Y59" si="4">U43+(U$70-U$11)/($T$70-$T$11)/7</f>
        <v>5.449191283292989</v>
      </c>
      <c r="V44" s="150">
        <f t="shared" si="4"/>
        <v>8.896077481840195E-2</v>
      </c>
      <c r="W44" s="150">
        <f t="shared" si="4"/>
        <v>0.65942518159806418</v>
      </c>
      <c r="X44" s="150">
        <f t="shared" si="4"/>
        <v>0.60275738498789444</v>
      </c>
      <c r="Y44" s="150">
        <f t="shared" si="4"/>
        <v>0.48150363196126045</v>
      </c>
    </row>
    <row r="45" spans="14:25" x14ac:dyDescent="0.25">
      <c r="N45" s="124"/>
      <c r="O45" s="125">
        <v>4</v>
      </c>
      <c r="P45" s="119">
        <f>IFERROR(VLOOKUP(VLOOKUP('Digester Sites'!D45/'Digester Sites'!C45,$S$11:$Y$151,2,TRUE)+'Digester Sites'!I45,$T$11:$Y$151,4,TRUE)*(1+U$2)*'Digester Sites'!G45,0)</f>
        <v>1829.3765458153002</v>
      </c>
      <c r="Q45" s="119">
        <f>IFERROR(VLOOKUP(VLOOKUP('Digester Sites'!D45/'Digester Sites'!C45,$S$11:$Y$151,2,TRUE)+'Digester Sites'!I45,$T$11:$Y$151,6,TRUE)*($U$3)*'Digester Sites'!G45,0)</f>
        <v>9251.297528573099</v>
      </c>
      <c r="S45" s="148">
        <f t="shared" si="0"/>
        <v>103.14285714285728</v>
      </c>
      <c r="T45" s="149">
        <f t="shared" si="2"/>
        <v>4.8571428571428577</v>
      </c>
      <c r="U45" s="150">
        <f t="shared" si="4"/>
        <v>5.5234092009685343</v>
      </c>
      <c r="V45" s="150">
        <f t="shared" si="4"/>
        <v>9.0141404358353522E-2</v>
      </c>
      <c r="W45" s="150">
        <f t="shared" si="4"/>
        <v>0.66819564164649037</v>
      </c>
      <c r="X45" s="150">
        <f t="shared" si="4"/>
        <v>0.61102276029055791</v>
      </c>
      <c r="Y45" s="150">
        <f t="shared" si="4"/>
        <v>0.48791283292978349</v>
      </c>
    </row>
    <row r="46" spans="14:25" x14ac:dyDescent="0.25">
      <c r="N46" s="124"/>
      <c r="O46" s="125">
        <v>5</v>
      </c>
      <c r="P46" s="119">
        <f>IFERROR(VLOOKUP(VLOOKUP('Digester Sites'!D46/'Digester Sites'!C46,$S$11:$Y$151,2,TRUE)+'Digester Sites'!I46,$T$11:$Y$151,4,TRUE)*(1+U$2)*'Digester Sites'!G46,0)</f>
        <v>1685.6633153679684</v>
      </c>
      <c r="Q46" s="119">
        <f>IFERROR(VLOOKUP(VLOOKUP('Digester Sites'!D46/'Digester Sites'!C46,$S$11:$Y$151,2,TRUE)+'Digester Sites'!I46,$T$11:$Y$151,6,TRUE)*($U$3)*'Digester Sites'!G46,0)</f>
        <v>7391.0739773366922</v>
      </c>
      <c r="S46" s="148">
        <f t="shared" si="0"/>
        <v>105.00000000000014</v>
      </c>
      <c r="T46" s="149">
        <f t="shared" si="2"/>
        <v>5.0000000000000009</v>
      </c>
      <c r="U46" s="150">
        <f t="shared" si="4"/>
        <v>5.5976271186440796</v>
      </c>
      <c r="V46" s="150">
        <f t="shared" si="4"/>
        <v>9.1322033898305094E-2</v>
      </c>
      <c r="W46" s="150">
        <f t="shared" si="4"/>
        <v>0.67696610169491656</v>
      </c>
      <c r="X46" s="150">
        <f t="shared" si="4"/>
        <v>0.61928813559322138</v>
      </c>
      <c r="Y46" s="150">
        <f t="shared" si="4"/>
        <v>0.49432203389830653</v>
      </c>
    </row>
    <row r="47" spans="14:25" x14ac:dyDescent="0.25">
      <c r="N47" s="124"/>
      <c r="O47" s="135">
        <v>6</v>
      </c>
      <c r="P47" s="119">
        <f>IFERROR(VLOOKUP(VLOOKUP('Digester Sites'!D47/'Digester Sites'!C47,$S$11:$Y$151,2,TRUE)+'Digester Sites'!I47,$T$11:$Y$151,4,TRUE)*(1+U$2)*'Digester Sites'!G47,0)</f>
        <v>1755.0679188311726</v>
      </c>
      <c r="Q47" s="119">
        <f>IFERROR(VLOOKUP(VLOOKUP('Digester Sites'!D47/'Digester Sites'!C47,$S$11:$Y$151,2,TRUE)+'Digester Sites'!I47,$T$11:$Y$151,6,TRUE)*($U$3)*'Digester Sites'!G47,0)</f>
        <v>8181.0430844893945</v>
      </c>
      <c r="S47" s="148">
        <f t="shared" si="0"/>
        <v>106.857142857143</v>
      </c>
      <c r="T47" s="149">
        <f t="shared" si="2"/>
        <v>5.1428571428571441</v>
      </c>
      <c r="U47" s="150">
        <f t="shared" si="4"/>
        <v>5.6718450363196249</v>
      </c>
      <c r="V47" s="150">
        <f t="shared" si="4"/>
        <v>9.2502663438256666E-2</v>
      </c>
      <c r="W47" s="150">
        <f t="shared" si="4"/>
        <v>0.68573656174334274</v>
      </c>
      <c r="X47" s="150">
        <f t="shared" si="4"/>
        <v>0.62755351089588485</v>
      </c>
      <c r="Y47" s="150">
        <f t="shared" si="4"/>
        <v>0.50073123486682958</v>
      </c>
    </row>
    <row r="48" spans="14:25" ht="15.75" thickBot="1" x14ac:dyDescent="0.3">
      <c r="N48" s="89" t="s">
        <v>27</v>
      </c>
      <c r="O48" s="136"/>
      <c r="P48" s="137">
        <f>SUM(P42:P47)</f>
        <v>11214.518822250786</v>
      </c>
      <c r="Q48" s="137">
        <f>SUM(Q42:Q47)</f>
        <v>55473.577376637375</v>
      </c>
      <c r="S48" s="148">
        <f t="shared" si="0"/>
        <v>108.71428571428586</v>
      </c>
      <c r="T48" s="149">
        <f t="shared" si="2"/>
        <v>5.2857142857142874</v>
      </c>
      <c r="U48" s="150">
        <f t="shared" si="4"/>
        <v>5.7460629539951702</v>
      </c>
      <c r="V48" s="150">
        <f t="shared" si="4"/>
        <v>9.3683292978208238E-2</v>
      </c>
      <c r="W48" s="150">
        <f t="shared" si="4"/>
        <v>0.69450702179176893</v>
      </c>
      <c r="X48" s="150">
        <f t="shared" si="4"/>
        <v>0.63581888619854832</v>
      </c>
      <c r="Y48" s="150">
        <f t="shared" si="4"/>
        <v>0.50714043583535262</v>
      </c>
    </row>
    <row r="49" spans="14:25" x14ac:dyDescent="0.25">
      <c r="N49" s="117" t="s">
        <v>11</v>
      </c>
      <c r="O49" s="118">
        <v>1</v>
      </c>
      <c r="P49" s="119">
        <f>IFERROR(VLOOKUP(VLOOKUP('Digester Sites'!D49/'Digester Sites'!C49,$S$11:$Y$151,2,TRUE)+'Digester Sites'!I49,$T$11:$Y$151,4,TRUE)*(1+U$2)*'Digester Sites'!G49,0)</f>
        <v>1336.1989695447421</v>
      </c>
      <c r="Q49" s="119">
        <f>IFERROR(VLOOKUP(VLOOKUP('Digester Sites'!D49/'Digester Sites'!C49,$S$11:$Y$151,2,TRUE)+'Digester Sites'!I49,$T$11:$Y$151,6,TRUE)*($U$3)*'Digester Sites'!G49,0)</f>
        <v>6953.2329569858894</v>
      </c>
      <c r="S49" s="148">
        <f t="shared" si="0"/>
        <v>110.57142857142873</v>
      </c>
      <c r="T49" s="149">
        <f t="shared" si="2"/>
        <v>5.4285714285714306</v>
      </c>
      <c r="U49" s="150">
        <f t="shared" si="4"/>
        <v>5.8202808716707155</v>
      </c>
      <c r="V49" s="150">
        <f t="shared" si="4"/>
        <v>9.486392251815981E-2</v>
      </c>
      <c r="W49" s="150">
        <f t="shared" si="4"/>
        <v>0.70327748184019512</v>
      </c>
      <c r="X49" s="150">
        <f t="shared" si="4"/>
        <v>0.64408426150121179</v>
      </c>
      <c r="Y49" s="150">
        <f t="shared" si="4"/>
        <v>0.51354963680387566</v>
      </c>
    </row>
    <row r="50" spans="14:25" x14ac:dyDescent="0.25">
      <c r="N50" s="124"/>
      <c r="O50" s="125">
        <v>2</v>
      </c>
      <c r="P50" s="119">
        <f>IFERROR(VLOOKUP(VLOOKUP('Digester Sites'!D50/'Digester Sites'!C50,$S$11:$Y$151,2,TRUE)+'Digester Sites'!I50,$T$11:$Y$151,4,TRUE)*(1+U$2)*'Digester Sites'!G50,0)</f>
        <v>1198.7356752747264</v>
      </c>
      <c r="Q50" s="119">
        <f>IFERROR(VLOOKUP(VLOOKUP('Digester Sites'!D50/'Digester Sites'!C50,$S$11:$Y$151,2,TRUE)+'Digester Sites'!I50,$T$11:$Y$151,6,TRUE)*($U$3)*'Digester Sites'!G50,0)</f>
        <v>6240.608605894121</v>
      </c>
      <c r="S50" s="148">
        <f t="shared" si="0"/>
        <v>112.42857142857159</v>
      </c>
      <c r="T50" s="149">
        <f t="shared" si="2"/>
        <v>5.5714285714285738</v>
      </c>
      <c r="U50" s="150">
        <f t="shared" si="4"/>
        <v>5.8944987893462608</v>
      </c>
      <c r="V50" s="150">
        <f t="shared" si="4"/>
        <v>9.6044552058111382E-2</v>
      </c>
      <c r="W50" s="150">
        <f t="shared" si="4"/>
        <v>0.71204794188862131</v>
      </c>
      <c r="X50" s="150">
        <f t="shared" si="4"/>
        <v>0.65234963680387525</v>
      </c>
      <c r="Y50" s="150">
        <f t="shared" si="4"/>
        <v>0.51995883777239871</v>
      </c>
    </row>
    <row r="51" spans="14:25" x14ac:dyDescent="0.25">
      <c r="N51" s="124"/>
      <c r="O51" s="125">
        <v>3</v>
      </c>
      <c r="P51" s="119">
        <f>IFERROR(VLOOKUP(VLOOKUP('Digester Sites'!D51/'Digester Sites'!C51,$S$11:$Y$151,2,TRUE)+'Digester Sites'!I51,$T$11:$Y$151,4,TRUE)*(1+U$2)*'Digester Sites'!G51,0)</f>
        <v>1686.1746306122468</v>
      </c>
      <c r="Q51" s="119">
        <f>IFERROR(VLOOKUP(VLOOKUP('Digester Sites'!D51/'Digester Sites'!C51,$S$11:$Y$151,2,TRUE)+'Digester Sites'!I51,$T$11:$Y$151,6,TRUE)*($U$3)*'Digester Sites'!G51,0)</f>
        <v>8788.2118288497404</v>
      </c>
      <c r="S51" s="148">
        <f t="shared" si="0"/>
        <v>114.28571428571445</v>
      </c>
      <c r="T51" s="149">
        <f t="shared" si="2"/>
        <v>5.7142857142857171</v>
      </c>
      <c r="U51" s="150">
        <f t="shared" si="4"/>
        <v>5.9687167070218061</v>
      </c>
      <c r="V51" s="150">
        <f t="shared" si="4"/>
        <v>9.7225181598062954E-2</v>
      </c>
      <c r="W51" s="150">
        <f t="shared" si="4"/>
        <v>0.72081840193704749</v>
      </c>
      <c r="X51" s="150">
        <f t="shared" si="4"/>
        <v>0.66061501210653872</v>
      </c>
      <c r="Y51" s="150">
        <f t="shared" si="4"/>
        <v>0.52636803874092175</v>
      </c>
    </row>
    <row r="52" spans="14:25" x14ac:dyDescent="0.25">
      <c r="N52" s="124"/>
      <c r="O52" s="125">
        <v>4</v>
      </c>
      <c r="P52" s="119">
        <f>IFERROR(VLOOKUP(VLOOKUP('Digester Sites'!D52/'Digester Sites'!C52,$S$11:$Y$151,2,TRUE)+'Digester Sites'!I52,$T$11:$Y$151,4,TRUE)*(1+U$2)*'Digester Sites'!G52,0)</f>
        <v>1605.2055357927807</v>
      </c>
      <c r="Q52" s="119">
        <f>IFERROR(VLOOKUP(VLOOKUP('Digester Sites'!D52/'Digester Sites'!C52,$S$11:$Y$151,2,TRUE)+'Digester Sites'!I52,$T$11:$Y$151,6,TRUE)*($U$3)*'Digester Sites'!G52,0)</f>
        <v>8372.2769886970345</v>
      </c>
      <c r="S52" s="148">
        <f t="shared" si="0"/>
        <v>116.14285714285731</v>
      </c>
      <c r="T52" s="149">
        <f t="shared" si="2"/>
        <v>5.8571428571428603</v>
      </c>
      <c r="U52" s="150">
        <f t="shared" si="4"/>
        <v>6.0429346246973514</v>
      </c>
      <c r="V52" s="150">
        <f t="shared" si="4"/>
        <v>9.8405811138014526E-2</v>
      </c>
      <c r="W52" s="150">
        <f t="shared" si="4"/>
        <v>0.72958886198547368</v>
      </c>
      <c r="X52" s="150">
        <f t="shared" si="4"/>
        <v>0.66888038740920219</v>
      </c>
      <c r="Y52" s="150">
        <f t="shared" si="4"/>
        <v>0.53277723970944479</v>
      </c>
    </row>
    <row r="53" spans="14:25" x14ac:dyDescent="0.25">
      <c r="N53" s="124"/>
      <c r="O53" s="125">
        <v>5</v>
      </c>
      <c r="P53" s="119">
        <f>IFERROR(VLOOKUP(VLOOKUP('Digester Sites'!D53/'Digester Sites'!C53,$S$11:$Y$151,2,TRUE)+'Digester Sites'!I53,$T$11:$Y$151,4,TRUE)*(1+U$2)*'Digester Sites'!G53,0)</f>
        <v>1340.3390784406092</v>
      </c>
      <c r="Q53" s="119">
        <f>IFERROR(VLOOKUP(VLOOKUP('Digester Sites'!D53/'Digester Sites'!C53,$S$11:$Y$151,2,TRUE)+'Digester Sites'!I53,$T$11:$Y$151,6,TRUE)*($U$3)*'Digester Sites'!G53,0)</f>
        <v>7005.5701755482733</v>
      </c>
      <c r="S53" s="148">
        <f t="shared" si="0"/>
        <v>118.00000000000017</v>
      </c>
      <c r="T53" s="149">
        <f t="shared" si="2"/>
        <v>6.0000000000000036</v>
      </c>
      <c r="U53" s="150">
        <f t="shared" si="4"/>
        <v>6.1171525423728967</v>
      </c>
      <c r="V53" s="150">
        <f t="shared" si="4"/>
        <v>9.9586440677966098E-2</v>
      </c>
      <c r="W53" s="150">
        <f t="shared" si="4"/>
        <v>0.73835932203389987</v>
      </c>
      <c r="X53" s="150">
        <f t="shared" si="4"/>
        <v>0.67714576271186566</v>
      </c>
      <c r="Y53" s="150">
        <f t="shared" si="4"/>
        <v>0.53918644067796784</v>
      </c>
    </row>
    <row r="54" spans="14:25" x14ac:dyDescent="0.25">
      <c r="N54" s="124"/>
      <c r="O54" s="135">
        <v>6</v>
      </c>
      <c r="P54" s="119">
        <f>IFERROR(VLOOKUP(VLOOKUP('Digester Sites'!D54/'Digester Sites'!C54,$S$11:$Y$151,2,TRUE)+'Digester Sites'!I54,$T$11:$Y$151,4,TRUE)*(1+U$2)*'Digester Sites'!G54,0)</f>
        <v>1379.6395497645235</v>
      </c>
      <c r="Q54" s="119">
        <f>IFERROR(VLOOKUP(VLOOKUP('Digester Sites'!D54/'Digester Sites'!C54,$S$11:$Y$151,2,TRUE)+'Digester Sites'!I54,$T$11:$Y$151,6,TRUE)*($U$3)*'Digester Sites'!G54,0)</f>
        <v>7208.9734644284417</v>
      </c>
      <c r="S54" s="148">
        <f t="shared" si="0"/>
        <v>119.85714285714303</v>
      </c>
      <c r="T54" s="149">
        <f t="shared" si="2"/>
        <v>6.1428571428571468</v>
      </c>
      <c r="U54" s="150">
        <f t="shared" si="4"/>
        <v>6.191370460048442</v>
      </c>
      <c r="V54" s="150">
        <f t="shared" si="4"/>
        <v>0.10076707021791767</v>
      </c>
      <c r="W54" s="150">
        <f t="shared" si="4"/>
        <v>0.74712978208232605</v>
      </c>
      <c r="X54" s="150">
        <f t="shared" si="4"/>
        <v>0.68541113801452913</v>
      </c>
      <c r="Y54" s="150">
        <f t="shared" si="4"/>
        <v>0.54559564164649088</v>
      </c>
    </row>
    <row r="55" spans="14:25" ht="15.75" thickBot="1" x14ac:dyDescent="0.3">
      <c r="N55" s="89" t="s">
        <v>27</v>
      </c>
      <c r="O55" s="136"/>
      <c r="P55" s="137">
        <f>SUM(P49:P54)</f>
        <v>8546.2934394296281</v>
      </c>
      <c r="Q55" s="137">
        <f>SUM(Q49:Q54)</f>
        <v>44568.874020403498</v>
      </c>
      <c r="S55" s="148">
        <f t="shared" si="0"/>
        <v>121.71428571428589</v>
      </c>
      <c r="T55" s="149">
        <f t="shared" si="2"/>
        <v>6.28571428571429</v>
      </c>
      <c r="U55" s="150">
        <f t="shared" si="4"/>
        <v>6.2655883777239874</v>
      </c>
      <c r="V55" s="150">
        <f t="shared" si="4"/>
        <v>0.10194769975786924</v>
      </c>
      <c r="W55" s="150">
        <f t="shared" si="4"/>
        <v>0.75590024213075224</v>
      </c>
      <c r="X55" s="150">
        <f t="shared" si="4"/>
        <v>0.6936765133171926</v>
      </c>
      <c r="Y55" s="150">
        <f t="shared" si="4"/>
        <v>0.55200484261501392</v>
      </c>
    </row>
    <row r="56" spans="14:25" x14ac:dyDescent="0.25">
      <c r="N56" s="156" t="s">
        <v>12</v>
      </c>
      <c r="O56" s="157">
        <v>1</v>
      </c>
      <c r="P56" s="119">
        <f>IFERROR(VLOOKUP(VLOOKUP('Digester Sites'!D56/'Digester Sites'!C56,$S$11:$Y$151,2,TRUE)+'Digester Sites'!I56,$T$11:$Y$151,4,TRUE)*(1+U$2)*'Digester Sites'!G56,0)</f>
        <v>1014.0511908432563</v>
      </c>
      <c r="Q56" s="119">
        <f>IFERROR(VLOOKUP(VLOOKUP('Digester Sites'!D56/'Digester Sites'!C56,$S$11:$Y$151,2,TRUE)+'Digester Sites'!I56,$T$11:$Y$151,6,TRUE)*($U$3)*'Digester Sites'!G56,0)</f>
        <v>4539.4002994295697</v>
      </c>
      <c r="S56" s="148">
        <f t="shared" si="0"/>
        <v>123.57142857142875</v>
      </c>
      <c r="T56" s="149">
        <f t="shared" si="2"/>
        <v>6.4285714285714333</v>
      </c>
      <c r="U56" s="150">
        <f t="shared" si="4"/>
        <v>6.3398062953995327</v>
      </c>
      <c r="V56" s="150">
        <f t="shared" si="4"/>
        <v>0.10312832929782081</v>
      </c>
      <c r="W56" s="150">
        <f t="shared" si="4"/>
        <v>0.76467070217917843</v>
      </c>
      <c r="X56" s="150">
        <f t="shared" si="4"/>
        <v>0.70194188861985607</v>
      </c>
      <c r="Y56" s="150">
        <f t="shared" si="4"/>
        <v>0.55841404358353697</v>
      </c>
    </row>
    <row r="57" spans="14:25" x14ac:dyDescent="0.25">
      <c r="N57" s="124"/>
      <c r="O57" s="158">
        <v>2</v>
      </c>
      <c r="P57" s="119">
        <f>IFERROR(VLOOKUP(VLOOKUP('Digester Sites'!D57/'Digester Sites'!C57,$S$11:$Y$151,2,TRUE)+'Digester Sites'!I57,$T$11:$Y$151,4,TRUE)*(1+U$2)*'Digester Sites'!G57,0)</f>
        <v>0</v>
      </c>
      <c r="Q57" s="119">
        <f>IFERROR(VLOOKUP(VLOOKUP('Digester Sites'!D57/'Digester Sites'!C57,$S$11:$Y$151,2,TRUE)+'Digester Sites'!I57,$T$11:$Y$151,6,TRUE)*($U$3)*'Digester Sites'!G57,0)</f>
        <v>0</v>
      </c>
      <c r="S57" s="148">
        <f t="shared" si="0"/>
        <v>125.42857142857162</v>
      </c>
      <c r="T57" s="149">
        <f t="shared" si="2"/>
        <v>6.5714285714285765</v>
      </c>
      <c r="U57" s="150">
        <f t="shared" si="4"/>
        <v>6.414024213075078</v>
      </c>
      <c r="V57" s="150">
        <f t="shared" si="4"/>
        <v>0.10430895883777239</v>
      </c>
      <c r="W57" s="150">
        <f t="shared" si="4"/>
        <v>0.77344116222760462</v>
      </c>
      <c r="X57" s="150">
        <f t="shared" si="4"/>
        <v>0.71020726392251954</v>
      </c>
      <c r="Y57" s="150">
        <f t="shared" si="4"/>
        <v>0.56482324455206001</v>
      </c>
    </row>
    <row r="58" spans="14:25" x14ac:dyDescent="0.25">
      <c r="N58" s="124"/>
      <c r="O58" s="158">
        <v>3</v>
      </c>
      <c r="P58" s="119">
        <f>IFERROR(VLOOKUP(VLOOKUP('Digester Sites'!D58/'Digester Sites'!C58,$S$11:$Y$151,2,TRUE)+'Digester Sites'!I58,$T$11:$Y$151,4,TRUE)*(1+U$2)*'Digester Sites'!G58,0)</f>
        <v>877.91140642857306</v>
      </c>
      <c r="Q58" s="119">
        <f>IFERROR(VLOOKUP(VLOOKUP('Digester Sites'!D58/'Digester Sites'!C58,$S$11:$Y$151,2,TRUE)+'Digester Sites'!I58,$T$11:$Y$151,6,TRUE)*($U$3)*'Digester Sites'!G58,0)</f>
        <v>4108.46375178572</v>
      </c>
      <c r="S58" s="148">
        <f t="shared" si="0"/>
        <v>127.28571428571448</v>
      </c>
      <c r="T58" s="149">
        <f t="shared" si="2"/>
        <v>6.7142857142857197</v>
      </c>
      <c r="U58" s="150">
        <f t="shared" si="4"/>
        <v>6.4882421307506233</v>
      </c>
      <c r="V58" s="150">
        <f t="shared" si="4"/>
        <v>0.10548958837772396</v>
      </c>
      <c r="W58" s="150">
        <f t="shared" si="4"/>
        <v>0.7822116222760308</v>
      </c>
      <c r="X58" s="150">
        <f t="shared" si="4"/>
        <v>0.71847263922518301</v>
      </c>
      <c r="Y58" s="150">
        <f t="shared" si="4"/>
        <v>0.57123244552058305</v>
      </c>
    </row>
    <row r="59" spans="14:25" x14ac:dyDescent="0.25">
      <c r="N59" s="124"/>
      <c r="O59" s="158">
        <v>4</v>
      </c>
      <c r="P59" s="119">
        <f>IFERROR(VLOOKUP(VLOOKUP('Digester Sites'!D59/'Digester Sites'!C59,$S$11:$Y$151,2,TRUE)+'Digester Sites'!I59,$T$11:$Y$151,4,TRUE)*(1+U$2)*'Digester Sites'!G59,0)</f>
        <v>809.35747946428728</v>
      </c>
      <c r="Q59" s="119">
        <f>IFERROR(VLOOKUP(VLOOKUP('Digester Sites'!D59/'Digester Sites'!C59,$S$11:$Y$151,2,TRUE)+'Digester Sites'!I59,$T$11:$Y$151,6,TRUE)*($U$3)*'Digester Sites'!G59,0)</f>
        <v>3921.1482433035776</v>
      </c>
      <c r="S59" s="148">
        <f t="shared" si="0"/>
        <v>129.14285714285734</v>
      </c>
      <c r="T59" s="149">
        <f t="shared" si="2"/>
        <v>6.857142857142863</v>
      </c>
      <c r="U59" s="150">
        <f t="shared" si="4"/>
        <v>6.5624600484261686</v>
      </c>
      <c r="V59" s="150">
        <f t="shared" si="4"/>
        <v>0.10667021791767553</v>
      </c>
      <c r="W59" s="150">
        <f t="shared" si="4"/>
        <v>0.79098208232445699</v>
      </c>
      <c r="X59" s="150">
        <f t="shared" si="4"/>
        <v>0.72673801452784648</v>
      </c>
      <c r="Y59" s="150">
        <f t="shared" si="4"/>
        <v>0.5776416464891061</v>
      </c>
    </row>
    <row r="60" spans="14:25" x14ac:dyDescent="0.25">
      <c r="N60" s="124"/>
      <c r="O60" s="158">
        <v>5</v>
      </c>
      <c r="P60" s="119">
        <f>IFERROR(VLOOKUP(VLOOKUP('Digester Sites'!D60/'Digester Sites'!C60,$S$11:$Y$151,2,TRUE)+'Digester Sites'!I60,$T$11:$Y$151,4,TRUE)*(1+U$2)*'Digester Sites'!G60,0)</f>
        <v>914.50915984127153</v>
      </c>
      <c r="Q60" s="119">
        <f>IFERROR(VLOOKUP(VLOOKUP('Digester Sites'!D60/'Digester Sites'!C60,$S$11:$Y$151,2,TRUE)+'Digester Sites'!I60,$T$11:$Y$151,6,TRUE)*($U$3)*'Digester Sites'!G60,0)</f>
        <v>4537.1616281746101</v>
      </c>
      <c r="S60" s="148">
        <f t="shared" si="0"/>
        <v>131.0000000000002</v>
      </c>
      <c r="T60" s="149">
        <f t="shared" si="2"/>
        <v>7.0000000000000062</v>
      </c>
      <c r="U60" s="150">
        <f t="shared" ref="U60:Y69" si="5">U59+(U$70-U$11)/($T$70-$T$11)/7</f>
        <v>6.6366779661017139</v>
      </c>
      <c r="V60" s="150">
        <f t="shared" si="5"/>
        <v>0.1078508474576271</v>
      </c>
      <c r="W60" s="150">
        <f t="shared" si="5"/>
        <v>0.79975254237288318</v>
      </c>
      <c r="X60" s="150">
        <f t="shared" si="5"/>
        <v>0.73500338983050995</v>
      </c>
      <c r="Y60" s="150">
        <f t="shared" si="5"/>
        <v>0.58405084745762914</v>
      </c>
    </row>
    <row r="61" spans="14:25" x14ac:dyDescent="0.25">
      <c r="N61" s="124"/>
      <c r="O61" s="159">
        <v>6</v>
      </c>
      <c r="P61" s="119">
        <f>IFERROR(VLOOKUP(VLOOKUP('Digester Sites'!D61/'Digester Sites'!C61,$S$11:$Y$151,2,TRUE)+'Digester Sites'!I61,$T$11:$Y$151,4,TRUE)*(1+U$2)*'Digester Sites'!G61,0)</f>
        <v>833.2724239583348</v>
      </c>
      <c r="Q61" s="119">
        <f>IFERROR(VLOOKUP(VLOOKUP('Digester Sites'!D61/'Digester Sites'!C61,$S$11:$Y$151,2,TRUE)+'Digester Sites'!I61,$T$11:$Y$151,6,TRUE)*($U$3)*'Digester Sites'!G61,0)</f>
        <v>4288.8190554315552</v>
      </c>
      <c r="S61" s="148">
        <f t="shared" si="0"/>
        <v>132.85714285714306</v>
      </c>
      <c r="T61" s="149">
        <f t="shared" si="2"/>
        <v>7.1428571428571495</v>
      </c>
      <c r="U61" s="150">
        <f t="shared" si="5"/>
        <v>6.7108958837772592</v>
      </c>
      <c r="V61" s="150">
        <f t="shared" si="5"/>
        <v>0.10903147699757867</v>
      </c>
      <c r="W61" s="150">
        <f t="shared" si="5"/>
        <v>0.80852300242130937</v>
      </c>
      <c r="X61" s="150">
        <f t="shared" si="5"/>
        <v>0.74326876513317341</v>
      </c>
      <c r="Y61" s="150">
        <f t="shared" si="5"/>
        <v>0.59046004842615218</v>
      </c>
    </row>
    <row r="62" spans="14:25" ht="15.75" thickBot="1" x14ac:dyDescent="0.3">
      <c r="N62" s="89" t="s">
        <v>27</v>
      </c>
      <c r="O62" s="136"/>
      <c r="P62" s="137">
        <f>SUM(P56:P61)</f>
        <v>4449.1016605357227</v>
      </c>
      <c r="Q62" s="137">
        <f>SUM(Q56:Q61)</f>
        <v>21394.992978125032</v>
      </c>
      <c r="S62" s="148">
        <f t="shared" si="0"/>
        <v>134.71428571428592</v>
      </c>
      <c r="T62" s="149">
        <f t="shared" si="2"/>
        <v>7.2857142857142927</v>
      </c>
      <c r="U62" s="150">
        <f t="shared" si="5"/>
        <v>6.7851138014528045</v>
      </c>
      <c r="V62" s="150">
        <f t="shared" si="5"/>
        <v>0.11021210653753025</v>
      </c>
      <c r="W62" s="150">
        <f t="shared" si="5"/>
        <v>0.81729346246973555</v>
      </c>
      <c r="X62" s="150">
        <f t="shared" si="5"/>
        <v>0.75153414043583688</v>
      </c>
      <c r="Y62" s="150">
        <f t="shared" si="5"/>
        <v>0.59686924939467523</v>
      </c>
    </row>
    <row r="63" spans="14:25" x14ac:dyDescent="0.25">
      <c r="N63" s="117" t="s">
        <v>13</v>
      </c>
      <c r="O63" s="118">
        <v>1</v>
      </c>
      <c r="P63" s="119">
        <f>IFERROR(VLOOKUP(VLOOKUP('Digester Sites'!D63/'Digester Sites'!C63,$S$11:$Y$151,2,TRUE)+'Digester Sites'!I63,$T$11:$Y$151,4,TRUE)*(1+U$2)*'Digester Sites'!G63,0)</f>
        <v>1574.6840631868156</v>
      </c>
      <c r="Q63" s="119">
        <f>IFERROR(VLOOKUP(VLOOKUP('Digester Sites'!D63/'Digester Sites'!C63,$S$11:$Y$151,2,TRUE)+'Digester Sites'!I63,$T$11:$Y$151,6,TRUE)*($U$3)*'Digester Sites'!G63,0)</f>
        <v>8187.6899942807304</v>
      </c>
      <c r="S63" s="148">
        <f t="shared" si="0"/>
        <v>136.57142857142878</v>
      </c>
      <c r="T63" s="149">
        <f t="shared" si="2"/>
        <v>7.4285714285714359</v>
      </c>
      <c r="U63" s="150">
        <f t="shared" si="5"/>
        <v>6.8593317191283498</v>
      </c>
      <c r="V63" s="150">
        <f t="shared" si="5"/>
        <v>0.11139273607748182</v>
      </c>
      <c r="W63" s="150">
        <f t="shared" si="5"/>
        <v>0.82606392251816174</v>
      </c>
      <c r="X63" s="150">
        <f t="shared" si="5"/>
        <v>0.75979951573850035</v>
      </c>
      <c r="Y63" s="150">
        <f t="shared" si="5"/>
        <v>0.60327845036319827</v>
      </c>
    </row>
    <row r="64" spans="14:25" x14ac:dyDescent="0.25">
      <c r="N64" s="124"/>
      <c r="O64" s="125">
        <v>2</v>
      </c>
      <c r="P64" s="119">
        <f>IFERROR(VLOOKUP(VLOOKUP('Digester Sites'!D64/'Digester Sites'!C64,$S$11:$Y$151,2,TRUE)+'Digester Sites'!I64,$T$11:$Y$151,4,TRUE)*(1+U$2)*'Digester Sites'!G64,0)</f>
        <v>1870.6908678702268</v>
      </c>
      <c r="Q64" s="119">
        <f>IFERROR(VLOOKUP(VLOOKUP('Digester Sites'!D64/'Digester Sites'!C64,$S$11:$Y$151,2,TRUE)+'Digester Sites'!I64,$T$11:$Y$151,6,TRUE)*($U$3)*'Digester Sites'!G64,0)</f>
        <v>9743.14011413351</v>
      </c>
      <c r="S64" s="148">
        <f t="shared" si="0"/>
        <v>138.42857142857164</v>
      </c>
      <c r="T64" s="149">
        <f t="shared" si="2"/>
        <v>7.5714285714285792</v>
      </c>
      <c r="U64" s="150">
        <f t="shared" si="5"/>
        <v>6.9335496368038951</v>
      </c>
      <c r="V64" s="150">
        <f t="shared" si="5"/>
        <v>0.11257336561743339</v>
      </c>
      <c r="W64" s="150">
        <f t="shared" si="5"/>
        <v>0.83483438256658793</v>
      </c>
      <c r="X64" s="150">
        <f t="shared" si="5"/>
        <v>0.76806489104116382</v>
      </c>
      <c r="Y64" s="150">
        <f t="shared" si="5"/>
        <v>0.60968765133172131</v>
      </c>
    </row>
    <row r="65" spans="14:25" x14ac:dyDescent="0.25">
      <c r="N65" s="124"/>
      <c r="O65" s="125">
        <v>3</v>
      </c>
      <c r="P65" s="119">
        <f>IFERROR(VLOOKUP(VLOOKUP('Digester Sites'!D65/'Digester Sites'!C65,$S$11:$Y$151,2,TRUE)+'Digester Sites'!I65,$T$11:$Y$151,4,TRUE)*(1+U$2)*'Digester Sites'!G65,0)</f>
        <v>2089.9622505494535</v>
      </c>
      <c r="Q65" s="119">
        <f>IFERROR(VLOOKUP(VLOOKUP('Digester Sites'!D65/'Digester Sites'!C65,$S$11:$Y$151,2,TRUE)+'Digester Sites'!I65,$T$11:$Y$151,6,TRUE)*($U$3)*'Digester Sites'!G65,0)</f>
        <v>10908.907884515507</v>
      </c>
      <c r="S65" s="148">
        <f t="shared" si="0"/>
        <v>140.2857142857145</v>
      </c>
      <c r="T65" s="149">
        <f t="shared" si="2"/>
        <v>7.7142857142857224</v>
      </c>
      <c r="U65" s="150">
        <f t="shared" si="5"/>
        <v>7.0077675544794404</v>
      </c>
      <c r="V65" s="150">
        <f t="shared" si="5"/>
        <v>0.11375399515738496</v>
      </c>
      <c r="W65" s="150">
        <f t="shared" si="5"/>
        <v>0.84360484261501412</v>
      </c>
      <c r="X65" s="150">
        <f t="shared" si="5"/>
        <v>0.77633026634382729</v>
      </c>
      <c r="Y65" s="150">
        <f t="shared" si="5"/>
        <v>0.61609685230024436</v>
      </c>
    </row>
    <row r="66" spans="14:25" x14ac:dyDescent="0.25">
      <c r="N66" s="124"/>
      <c r="O66" s="125">
        <v>4</v>
      </c>
      <c r="P66" s="119">
        <f>IFERROR(VLOOKUP(VLOOKUP('Digester Sites'!D66/'Digester Sites'!C66,$S$11:$Y$151,2,TRUE)+'Digester Sites'!I66,$T$11:$Y$151,4,TRUE)*(1+U$2)*'Digester Sites'!G66,0)</f>
        <v>1873.8372330447373</v>
      </c>
      <c r="Q66" s="119">
        <f>IFERROR(VLOOKUP(VLOOKUP('Digester Sites'!D66/'Digester Sites'!C66,$S$11:$Y$151,2,TRUE)+'Digester Sites'!I66,$T$11:$Y$151,6,TRUE)*($U$3)*'Digester Sites'!G66,0)</f>
        <v>9673.5772071691281</v>
      </c>
      <c r="S66" s="148">
        <f t="shared" si="0"/>
        <v>142.14285714285737</v>
      </c>
      <c r="T66" s="149">
        <f t="shared" si="2"/>
        <v>7.8571428571428656</v>
      </c>
      <c r="U66" s="150">
        <f t="shared" si="5"/>
        <v>7.0819854721549858</v>
      </c>
      <c r="V66" s="150">
        <f t="shared" si="5"/>
        <v>0.11493462469733653</v>
      </c>
      <c r="W66" s="150">
        <f t="shared" si="5"/>
        <v>0.8523753026634403</v>
      </c>
      <c r="X66" s="150">
        <f t="shared" si="5"/>
        <v>0.78459564164649076</v>
      </c>
      <c r="Y66" s="150">
        <f t="shared" si="5"/>
        <v>0.6225060532687674</v>
      </c>
    </row>
    <row r="67" spans="14:25" x14ac:dyDescent="0.25">
      <c r="N67" s="124"/>
      <c r="O67" s="135">
        <v>5</v>
      </c>
      <c r="P67" s="119">
        <f>IFERROR(VLOOKUP(VLOOKUP('Digester Sites'!D67/'Digester Sites'!C67,$S$11:$Y$151,2,TRUE)+'Digester Sites'!I67,$T$11:$Y$151,4,TRUE)*(1+U$2)*'Digester Sites'!G67,0)</f>
        <v>1733.7981545454584</v>
      </c>
      <c r="Q67" s="119">
        <f>IFERROR(VLOOKUP(VLOOKUP('Digester Sites'!D67/'Digester Sites'!C67,$S$11:$Y$151,2,TRUE)+'Digester Sites'!I67,$T$11:$Y$151,6,TRUE)*($U$3)*'Digester Sites'!G67,0)</f>
        <v>8508.6814654958926</v>
      </c>
      <c r="S67" s="148">
        <f t="shared" si="0"/>
        <v>144.00000000000023</v>
      </c>
      <c r="T67" s="149">
        <f t="shared" si="2"/>
        <v>8.0000000000000089</v>
      </c>
      <c r="U67" s="150">
        <f t="shared" si="5"/>
        <v>7.1562033898305311</v>
      </c>
      <c r="V67" s="150">
        <f t="shared" si="5"/>
        <v>0.11611525423728811</v>
      </c>
      <c r="W67" s="150">
        <f t="shared" si="5"/>
        <v>0.86114576271186649</v>
      </c>
      <c r="X67" s="150">
        <f t="shared" si="5"/>
        <v>0.79286101694915423</v>
      </c>
      <c r="Y67" s="150">
        <f t="shared" si="5"/>
        <v>0.62891525423729044</v>
      </c>
    </row>
    <row r="68" spans="14:25" ht="15.75" thickBot="1" x14ac:dyDescent="0.3">
      <c r="N68" s="89" t="s">
        <v>27</v>
      </c>
      <c r="O68" s="136"/>
      <c r="P68" s="137">
        <f>SUM(P63:P67)</f>
        <v>9142.9725691966905</v>
      </c>
      <c r="Q68" s="137">
        <f>SUM(Q63:Q67)</f>
        <v>47021.996665594772</v>
      </c>
      <c r="S68" s="148">
        <f t="shared" si="0"/>
        <v>145.85714285714309</v>
      </c>
      <c r="T68" s="149">
        <f t="shared" si="2"/>
        <v>8.1428571428571512</v>
      </c>
      <c r="U68" s="150">
        <f t="shared" si="5"/>
        <v>7.2304213075060764</v>
      </c>
      <c r="V68" s="150">
        <f t="shared" si="5"/>
        <v>0.11729588377723968</v>
      </c>
      <c r="W68" s="150">
        <f t="shared" si="5"/>
        <v>0.86991622276029268</v>
      </c>
      <c r="X68" s="150">
        <f t="shared" si="5"/>
        <v>0.8011263922518177</v>
      </c>
      <c r="Y68" s="150">
        <f t="shared" si="5"/>
        <v>0.63532445520581349</v>
      </c>
    </row>
    <row r="69" spans="14:25" x14ac:dyDescent="0.25">
      <c r="S69" s="148">
        <f t="shared" si="0"/>
        <v>147.71428571428595</v>
      </c>
      <c r="T69" s="149">
        <f t="shared" si="2"/>
        <v>8.2857142857142936</v>
      </c>
      <c r="U69" s="150">
        <f t="shared" si="5"/>
        <v>7.3046392251816217</v>
      </c>
      <c r="V69" s="150">
        <f t="shared" si="5"/>
        <v>0.11847651331719125</v>
      </c>
      <c r="W69" s="150">
        <f t="shared" si="5"/>
        <v>0.87868668280871887</v>
      </c>
      <c r="X69" s="150">
        <f t="shared" si="5"/>
        <v>0.80939176755448117</v>
      </c>
      <c r="Y69" s="150">
        <f t="shared" si="5"/>
        <v>0.64173365617433653</v>
      </c>
    </row>
    <row r="70" spans="14:25" x14ac:dyDescent="0.25">
      <c r="S70" s="160">
        <f t="shared" si="0"/>
        <v>149.57142857142881</v>
      </c>
      <c r="T70" s="161">
        <f t="shared" si="2"/>
        <v>8.4285714285714359</v>
      </c>
      <c r="U70" s="146">
        <f>($S70/150)*7.4</f>
        <v>7.3788571428571554</v>
      </c>
      <c r="V70" s="146">
        <f>($S70/150)*0.12</f>
        <v>0.11965714285714305</v>
      </c>
      <c r="W70" s="146">
        <f>($S70/150)*0.89</f>
        <v>0.88745714285714428</v>
      </c>
      <c r="X70" s="146">
        <f>($S70/150)*0.82</f>
        <v>0.81765714285714419</v>
      </c>
      <c r="Y70" s="146">
        <f>($S70/150)*0.65</f>
        <v>0.64814285714285824</v>
      </c>
    </row>
    <row r="71" spans="14:25" x14ac:dyDescent="0.25">
      <c r="S71" s="148">
        <f t="shared" si="0"/>
        <v>151.42857142857167</v>
      </c>
      <c r="T71" s="149">
        <f t="shared" si="2"/>
        <v>8.5714285714285783</v>
      </c>
      <c r="U71" s="150">
        <f t="shared" ref="U71:Y85" si="6">U70+(U$86-U$70)/($T$86-$T$70)/7</f>
        <v>7.4717212301587432</v>
      </c>
      <c r="V71" s="150">
        <f t="shared" si="6"/>
        <v>0.12089384920634941</v>
      </c>
      <c r="W71" s="150">
        <f t="shared" si="6"/>
        <v>0.8986006944444459</v>
      </c>
      <c r="X71" s="150">
        <f t="shared" si="6"/>
        <v>0.82756051587301727</v>
      </c>
      <c r="Y71" s="150">
        <f t="shared" si="6"/>
        <v>0.64809771825396933</v>
      </c>
    </row>
    <row r="72" spans="14:25" x14ac:dyDescent="0.25">
      <c r="S72" s="148">
        <f t="shared" si="0"/>
        <v>153.28571428571453</v>
      </c>
      <c r="T72" s="149">
        <f t="shared" si="2"/>
        <v>8.7142857142857206</v>
      </c>
      <c r="U72" s="150">
        <f t="shared" si="6"/>
        <v>7.564585317460331</v>
      </c>
      <c r="V72" s="150">
        <f t="shared" si="6"/>
        <v>0.12213055555555577</v>
      </c>
      <c r="W72" s="150">
        <f t="shared" si="6"/>
        <v>0.90974424603174753</v>
      </c>
      <c r="X72" s="150">
        <f t="shared" si="6"/>
        <v>0.83746388888889034</v>
      </c>
      <c r="Y72" s="150">
        <f t="shared" si="6"/>
        <v>0.64805257936508043</v>
      </c>
    </row>
    <row r="73" spans="14:25" x14ac:dyDescent="0.25">
      <c r="S73" s="148">
        <f t="shared" si="0"/>
        <v>155.14285714285739</v>
      </c>
      <c r="T73" s="149">
        <f t="shared" si="2"/>
        <v>8.857142857142863</v>
      </c>
      <c r="U73" s="150">
        <f t="shared" si="6"/>
        <v>7.6574494047619188</v>
      </c>
      <c r="V73" s="150">
        <f t="shared" si="6"/>
        <v>0.12336726190476213</v>
      </c>
      <c r="W73" s="150">
        <f t="shared" si="6"/>
        <v>0.92088779761904915</v>
      </c>
      <c r="X73" s="150">
        <f t="shared" si="6"/>
        <v>0.84736726190476341</v>
      </c>
      <c r="Y73" s="150">
        <f t="shared" si="6"/>
        <v>0.64800744047619152</v>
      </c>
    </row>
    <row r="74" spans="14:25" x14ac:dyDescent="0.25">
      <c r="S74" s="148">
        <f t="shared" si="0"/>
        <v>157.00000000000026</v>
      </c>
      <c r="T74" s="149">
        <f t="shared" si="2"/>
        <v>9.0000000000000053</v>
      </c>
      <c r="U74" s="150">
        <f t="shared" si="6"/>
        <v>7.7503134920635066</v>
      </c>
      <c r="V74" s="150">
        <f t="shared" si="6"/>
        <v>0.12460396825396849</v>
      </c>
      <c r="W74" s="150">
        <f t="shared" si="6"/>
        <v>0.93203134920635078</v>
      </c>
      <c r="X74" s="150">
        <f t="shared" si="6"/>
        <v>0.85727063492063649</v>
      </c>
      <c r="Y74" s="150">
        <f t="shared" si="6"/>
        <v>0.64796230158730261</v>
      </c>
    </row>
    <row r="75" spans="14:25" x14ac:dyDescent="0.25">
      <c r="S75" s="148">
        <f t="shared" si="0"/>
        <v>158.85714285714312</v>
      </c>
      <c r="T75" s="149">
        <f t="shared" si="2"/>
        <v>9.1428571428571477</v>
      </c>
      <c r="U75" s="150">
        <f t="shared" si="6"/>
        <v>7.8431775793650944</v>
      </c>
      <c r="V75" s="150">
        <f t="shared" si="6"/>
        <v>0.12584067460317486</v>
      </c>
      <c r="W75" s="150">
        <f t="shared" si="6"/>
        <v>0.9431749007936524</v>
      </c>
      <c r="X75" s="150">
        <f t="shared" si="6"/>
        <v>0.86717400793650956</v>
      </c>
      <c r="Y75" s="150">
        <f t="shared" si="6"/>
        <v>0.64791716269841371</v>
      </c>
    </row>
    <row r="76" spans="14:25" x14ac:dyDescent="0.25">
      <c r="S76" s="148">
        <f t="shared" ref="S76:S139" si="7">+S75+(S$151-S$11)/T$151/7</f>
        <v>160.71428571428598</v>
      </c>
      <c r="T76" s="149">
        <f t="shared" si="2"/>
        <v>9.28571428571429</v>
      </c>
      <c r="U76" s="150">
        <f t="shared" si="6"/>
        <v>7.9360416666666822</v>
      </c>
      <c r="V76" s="150">
        <f t="shared" si="6"/>
        <v>0.12707738095238122</v>
      </c>
      <c r="W76" s="150">
        <f t="shared" si="6"/>
        <v>0.95431845238095403</v>
      </c>
      <c r="X76" s="150">
        <f t="shared" si="6"/>
        <v>0.87707738095238263</v>
      </c>
      <c r="Y76" s="150">
        <f t="shared" si="6"/>
        <v>0.6478720238095248</v>
      </c>
    </row>
    <row r="77" spans="14:25" x14ac:dyDescent="0.25">
      <c r="S77" s="148">
        <f t="shared" si="7"/>
        <v>162.57142857142884</v>
      </c>
      <c r="T77" s="149">
        <f t="shared" ref="T77:T140" si="8">T76+1/7</f>
        <v>9.4285714285714324</v>
      </c>
      <c r="U77" s="150">
        <f t="shared" si="6"/>
        <v>8.0289057539682709</v>
      </c>
      <c r="V77" s="150">
        <f t="shared" si="6"/>
        <v>0.12831408730158758</v>
      </c>
      <c r="W77" s="150">
        <f t="shared" si="6"/>
        <v>0.96546200396825566</v>
      </c>
      <c r="X77" s="150">
        <f t="shared" si="6"/>
        <v>0.88698075396825571</v>
      </c>
      <c r="Y77" s="150">
        <f t="shared" si="6"/>
        <v>0.64782688492063589</v>
      </c>
    </row>
    <row r="78" spans="14:25" x14ac:dyDescent="0.25">
      <c r="S78" s="148">
        <f t="shared" si="7"/>
        <v>164.4285714285717</v>
      </c>
      <c r="T78" s="149">
        <f t="shared" si="8"/>
        <v>9.5714285714285747</v>
      </c>
      <c r="U78" s="150">
        <f t="shared" si="6"/>
        <v>8.1217698412698596</v>
      </c>
      <c r="V78" s="150">
        <f t="shared" si="6"/>
        <v>0.12955079365079394</v>
      </c>
      <c r="W78" s="150">
        <f t="shared" si="6"/>
        <v>0.97660555555555728</v>
      </c>
      <c r="X78" s="150">
        <f t="shared" si="6"/>
        <v>0.89688412698412878</v>
      </c>
      <c r="Y78" s="150">
        <f t="shared" si="6"/>
        <v>0.64778174603174699</v>
      </c>
    </row>
    <row r="79" spans="14:25" x14ac:dyDescent="0.25">
      <c r="S79" s="148">
        <f t="shared" si="7"/>
        <v>166.28571428571456</v>
      </c>
      <c r="T79" s="149">
        <f t="shared" si="8"/>
        <v>9.7142857142857171</v>
      </c>
      <c r="U79" s="150">
        <f t="shared" si="6"/>
        <v>8.2146339285714483</v>
      </c>
      <c r="V79" s="150">
        <f t="shared" si="6"/>
        <v>0.13078750000000031</v>
      </c>
      <c r="W79" s="150">
        <f t="shared" si="6"/>
        <v>0.98774910714285891</v>
      </c>
      <c r="X79" s="150">
        <f t="shared" si="6"/>
        <v>0.90678750000000186</v>
      </c>
      <c r="Y79" s="150">
        <f t="shared" si="6"/>
        <v>0.64773660714285808</v>
      </c>
    </row>
    <row r="80" spans="14:25" x14ac:dyDescent="0.25">
      <c r="S80" s="148">
        <f t="shared" si="7"/>
        <v>168.14285714285742</v>
      </c>
      <c r="T80" s="149">
        <f t="shared" si="8"/>
        <v>9.8571428571428594</v>
      </c>
      <c r="U80" s="150">
        <f t="shared" si="6"/>
        <v>8.3074980158730369</v>
      </c>
      <c r="V80" s="150">
        <f t="shared" si="6"/>
        <v>0.13202420634920667</v>
      </c>
      <c r="W80" s="150">
        <f t="shared" si="6"/>
        <v>0.99889265873016053</v>
      </c>
      <c r="X80" s="150">
        <f t="shared" si="6"/>
        <v>0.91669087301587493</v>
      </c>
      <c r="Y80" s="150">
        <f t="shared" si="6"/>
        <v>0.64769146825396917</v>
      </c>
    </row>
    <row r="81" spans="19:25" x14ac:dyDescent="0.25">
      <c r="S81" s="148">
        <f t="shared" si="7"/>
        <v>170.00000000000028</v>
      </c>
      <c r="T81" s="149">
        <f t="shared" si="8"/>
        <v>10.000000000000002</v>
      </c>
      <c r="U81" s="150">
        <f t="shared" si="6"/>
        <v>8.4003621031746256</v>
      </c>
      <c r="V81" s="150">
        <f t="shared" si="6"/>
        <v>0.13326091269841303</v>
      </c>
      <c r="W81" s="150">
        <f t="shared" si="6"/>
        <v>1.0100362103174623</v>
      </c>
      <c r="X81" s="150">
        <f t="shared" si="6"/>
        <v>0.926594246031748</v>
      </c>
      <c r="Y81" s="150">
        <f t="shared" si="6"/>
        <v>0.64764632936508026</v>
      </c>
    </row>
    <row r="82" spans="19:25" x14ac:dyDescent="0.25">
      <c r="S82" s="148">
        <f t="shared" si="7"/>
        <v>171.85714285714315</v>
      </c>
      <c r="T82" s="149">
        <f t="shared" si="8"/>
        <v>10.142857142857144</v>
      </c>
      <c r="U82" s="150">
        <f t="shared" si="6"/>
        <v>8.4932261904762143</v>
      </c>
      <c r="V82" s="150">
        <f t="shared" si="6"/>
        <v>0.13449761904761939</v>
      </c>
      <c r="W82" s="150">
        <f t="shared" si="6"/>
        <v>1.021179761904764</v>
      </c>
      <c r="X82" s="150">
        <f t="shared" si="6"/>
        <v>0.93649761904762108</v>
      </c>
      <c r="Y82" s="150">
        <f t="shared" si="6"/>
        <v>0.64760119047619136</v>
      </c>
    </row>
    <row r="83" spans="19:25" x14ac:dyDescent="0.25">
      <c r="S83" s="148">
        <f t="shared" si="7"/>
        <v>173.71428571428601</v>
      </c>
      <c r="T83" s="149">
        <f t="shared" si="8"/>
        <v>10.285714285714286</v>
      </c>
      <c r="U83" s="150">
        <f t="shared" si="6"/>
        <v>8.586090277777803</v>
      </c>
      <c r="V83" s="150">
        <f t="shared" si="6"/>
        <v>0.13573432539682576</v>
      </c>
      <c r="W83" s="150">
        <f t="shared" si="6"/>
        <v>1.0323233134920657</v>
      </c>
      <c r="X83" s="150">
        <f t="shared" si="6"/>
        <v>0.94640099206349415</v>
      </c>
      <c r="Y83" s="150">
        <f t="shared" si="6"/>
        <v>0.64755605158730245</v>
      </c>
    </row>
    <row r="84" spans="19:25" x14ac:dyDescent="0.25">
      <c r="S84" s="148">
        <f t="shared" si="7"/>
        <v>175.57142857142887</v>
      </c>
      <c r="T84" s="149">
        <f t="shared" si="8"/>
        <v>10.428571428571429</v>
      </c>
      <c r="U84" s="150">
        <f t="shared" si="6"/>
        <v>8.6789543650793917</v>
      </c>
      <c r="V84" s="150">
        <f t="shared" si="6"/>
        <v>0.13697103174603212</v>
      </c>
      <c r="W84" s="150">
        <f t="shared" si="6"/>
        <v>1.0434668650793675</v>
      </c>
      <c r="X84" s="150">
        <f t="shared" si="6"/>
        <v>0.95630436507936722</v>
      </c>
      <c r="Y84" s="150">
        <f t="shared" si="6"/>
        <v>0.64751091269841354</v>
      </c>
    </row>
    <row r="85" spans="19:25" x14ac:dyDescent="0.25">
      <c r="S85" s="148">
        <f t="shared" si="7"/>
        <v>177.42857142857173</v>
      </c>
      <c r="T85" s="149">
        <f t="shared" si="8"/>
        <v>10.571428571428571</v>
      </c>
      <c r="U85" s="150">
        <f t="shared" si="6"/>
        <v>8.7718184523809803</v>
      </c>
      <c r="V85" s="150">
        <f t="shared" si="6"/>
        <v>0.13820773809523848</v>
      </c>
      <c r="W85" s="150">
        <f t="shared" si="6"/>
        <v>1.0546104166666692</v>
      </c>
      <c r="X85" s="150">
        <f t="shared" si="6"/>
        <v>0.9662077380952403</v>
      </c>
      <c r="Y85" s="150">
        <f t="shared" si="6"/>
        <v>0.64746577380952464</v>
      </c>
    </row>
    <row r="86" spans="19:25" x14ac:dyDescent="0.25">
      <c r="S86" s="160">
        <f t="shared" si="7"/>
        <v>179.28571428571459</v>
      </c>
      <c r="T86" s="161">
        <f t="shared" si="8"/>
        <v>10.714285714285714</v>
      </c>
      <c r="U86" s="146">
        <f>($S86/180)*8.9</f>
        <v>8.8646825396825548</v>
      </c>
      <c r="V86" s="146">
        <f>($S86/180)*0.14</f>
        <v>0.1394444444444447</v>
      </c>
      <c r="W86" s="146">
        <f>($S86/180)*1.07</f>
        <v>1.0657539682539701</v>
      </c>
      <c r="X86" s="146">
        <f>($S86/180)*0.98</f>
        <v>0.97611111111111271</v>
      </c>
      <c r="Y86" s="146">
        <f>($S86/180)*0.65</f>
        <v>0.64742063492063606</v>
      </c>
    </row>
    <row r="87" spans="19:25" x14ac:dyDescent="0.25">
      <c r="S87" s="148">
        <f t="shared" si="7"/>
        <v>181.14285714285745</v>
      </c>
      <c r="T87" s="149">
        <f t="shared" si="8"/>
        <v>10.857142857142856</v>
      </c>
      <c r="U87" s="150">
        <f t="shared" ref="U87:Y102" si="9">U86+(U$108-U$86)/($T$108-$T$86)/7</f>
        <v>8.9575186934278008</v>
      </c>
      <c r="V87" s="150">
        <f t="shared" si="9"/>
        <v>0.1412931916568283</v>
      </c>
      <c r="W87" s="150">
        <f t="shared" si="9"/>
        <v>1.0768947264856374</v>
      </c>
      <c r="X87" s="150">
        <f t="shared" si="9"/>
        <v>0.9863232979142087</v>
      </c>
      <c r="Y87" s="150">
        <f t="shared" si="9"/>
        <v>0.6616571231798517</v>
      </c>
    </row>
    <row r="88" spans="19:25" x14ac:dyDescent="0.25">
      <c r="S88" s="148">
        <f t="shared" si="7"/>
        <v>183.00000000000031</v>
      </c>
      <c r="T88" s="149">
        <f t="shared" si="8"/>
        <v>10.999999999999998</v>
      </c>
      <c r="U88" s="150">
        <f t="shared" si="9"/>
        <v>9.0503548471730468</v>
      </c>
      <c r="V88" s="150">
        <f t="shared" si="9"/>
        <v>0.14314193886921189</v>
      </c>
      <c r="W88" s="150">
        <f t="shared" si="9"/>
        <v>1.0880354847173048</v>
      </c>
      <c r="X88" s="150">
        <f t="shared" si="9"/>
        <v>0.99653548471730469</v>
      </c>
      <c r="Y88" s="150">
        <f t="shared" si="9"/>
        <v>0.67589361143906734</v>
      </c>
    </row>
    <row r="89" spans="19:25" x14ac:dyDescent="0.25">
      <c r="S89" s="148">
        <f t="shared" si="7"/>
        <v>184.85714285714317</v>
      </c>
      <c r="T89" s="149">
        <f t="shared" si="8"/>
        <v>11.142857142857141</v>
      </c>
      <c r="U89" s="150">
        <f t="shared" si="9"/>
        <v>9.1431910009182928</v>
      </c>
      <c r="V89" s="150">
        <f t="shared" si="9"/>
        <v>0.14499068608159549</v>
      </c>
      <c r="W89" s="150">
        <f t="shared" si="9"/>
        <v>1.0991762429489722</v>
      </c>
      <c r="X89" s="150">
        <f t="shared" si="9"/>
        <v>1.0067476715204007</v>
      </c>
      <c r="Y89" s="150">
        <f t="shared" si="9"/>
        <v>0.69013009969828298</v>
      </c>
    </row>
    <row r="90" spans="19:25" x14ac:dyDescent="0.25">
      <c r="S90" s="148">
        <f t="shared" si="7"/>
        <v>186.71428571428604</v>
      </c>
      <c r="T90" s="149">
        <f t="shared" si="8"/>
        <v>11.285714285714283</v>
      </c>
      <c r="U90" s="150">
        <f t="shared" si="9"/>
        <v>9.2360271546635389</v>
      </c>
      <c r="V90" s="150">
        <f t="shared" si="9"/>
        <v>0.14683943329397908</v>
      </c>
      <c r="W90" s="150">
        <f t="shared" si="9"/>
        <v>1.1103170011806396</v>
      </c>
      <c r="X90" s="150">
        <f t="shared" si="9"/>
        <v>1.0169598583234967</v>
      </c>
      <c r="Y90" s="150">
        <f t="shared" si="9"/>
        <v>0.70436658795749862</v>
      </c>
    </row>
    <row r="91" spans="19:25" x14ac:dyDescent="0.25">
      <c r="S91" s="148">
        <f t="shared" si="7"/>
        <v>188.5714285714289</v>
      </c>
      <c r="T91" s="149">
        <f t="shared" si="8"/>
        <v>11.428571428571425</v>
      </c>
      <c r="U91" s="150">
        <f t="shared" si="9"/>
        <v>9.3288633084087849</v>
      </c>
      <c r="V91" s="150">
        <f t="shared" si="9"/>
        <v>0.14868818050636268</v>
      </c>
      <c r="W91" s="150">
        <f t="shared" si="9"/>
        <v>1.121457759412307</v>
      </c>
      <c r="X91" s="150">
        <f t="shared" si="9"/>
        <v>1.0271720451265927</v>
      </c>
      <c r="Y91" s="150">
        <f t="shared" si="9"/>
        <v>0.71860307621671426</v>
      </c>
    </row>
    <row r="92" spans="19:25" x14ac:dyDescent="0.25">
      <c r="S92" s="148">
        <f t="shared" si="7"/>
        <v>190.42857142857176</v>
      </c>
      <c r="T92" s="149">
        <f t="shared" si="8"/>
        <v>11.571428571428568</v>
      </c>
      <c r="U92" s="150">
        <f t="shared" si="9"/>
        <v>9.4216994621540309</v>
      </c>
      <c r="V92" s="150">
        <f t="shared" si="9"/>
        <v>0.15053692771874627</v>
      </c>
      <c r="W92" s="150">
        <f t="shared" si="9"/>
        <v>1.1325985176439743</v>
      </c>
      <c r="X92" s="150">
        <f t="shared" si="9"/>
        <v>1.0373842319296886</v>
      </c>
      <c r="Y92" s="150">
        <f t="shared" si="9"/>
        <v>0.73283956447592991</v>
      </c>
    </row>
    <row r="93" spans="19:25" x14ac:dyDescent="0.25">
      <c r="S93" s="148">
        <f t="shared" si="7"/>
        <v>192.28571428571462</v>
      </c>
      <c r="T93" s="149">
        <f t="shared" si="8"/>
        <v>11.71428571428571</v>
      </c>
      <c r="U93" s="150">
        <f t="shared" si="9"/>
        <v>9.5145356158992769</v>
      </c>
      <c r="V93" s="150">
        <f t="shared" si="9"/>
        <v>0.15238567493112987</v>
      </c>
      <c r="W93" s="150">
        <f t="shared" si="9"/>
        <v>1.1437392758756417</v>
      </c>
      <c r="X93" s="150">
        <f t="shared" si="9"/>
        <v>1.0475964187327846</v>
      </c>
      <c r="Y93" s="150">
        <f t="shared" si="9"/>
        <v>0.74707605273514555</v>
      </c>
    </row>
    <row r="94" spans="19:25" x14ac:dyDescent="0.25">
      <c r="S94" s="148">
        <f t="shared" si="7"/>
        <v>194.14285714285748</v>
      </c>
      <c r="T94" s="149">
        <f t="shared" si="8"/>
        <v>11.857142857142852</v>
      </c>
      <c r="U94" s="150">
        <f t="shared" si="9"/>
        <v>9.6073717696445229</v>
      </c>
      <c r="V94" s="150">
        <f t="shared" si="9"/>
        <v>0.15423442214351346</v>
      </c>
      <c r="W94" s="150">
        <f t="shared" si="9"/>
        <v>1.1548800341073091</v>
      </c>
      <c r="X94" s="150">
        <f t="shared" si="9"/>
        <v>1.0578086055358806</v>
      </c>
      <c r="Y94" s="150">
        <f t="shared" si="9"/>
        <v>0.76131254099436119</v>
      </c>
    </row>
    <row r="95" spans="19:25" x14ac:dyDescent="0.25">
      <c r="S95" s="148">
        <f t="shared" si="7"/>
        <v>196.00000000000034</v>
      </c>
      <c r="T95" s="149">
        <f t="shared" si="8"/>
        <v>11.999999999999995</v>
      </c>
      <c r="U95" s="150">
        <f t="shared" si="9"/>
        <v>9.7002079233897689</v>
      </c>
      <c r="V95" s="150">
        <f t="shared" si="9"/>
        <v>0.15608316935589706</v>
      </c>
      <c r="W95" s="150">
        <f t="shared" si="9"/>
        <v>1.1660207923389765</v>
      </c>
      <c r="X95" s="150">
        <f t="shared" si="9"/>
        <v>1.0680207923389766</v>
      </c>
      <c r="Y95" s="150">
        <f t="shared" si="9"/>
        <v>0.77554902925357683</v>
      </c>
    </row>
    <row r="96" spans="19:25" x14ac:dyDescent="0.25">
      <c r="S96" s="148">
        <f t="shared" si="7"/>
        <v>197.8571428571432</v>
      </c>
      <c r="T96" s="149">
        <f t="shared" si="8"/>
        <v>12.142857142857137</v>
      </c>
      <c r="U96" s="150">
        <f t="shared" si="9"/>
        <v>9.7930440771350149</v>
      </c>
      <c r="V96" s="150">
        <f t="shared" si="9"/>
        <v>0.15793191656828065</v>
      </c>
      <c r="W96" s="150">
        <f t="shared" si="9"/>
        <v>1.1771615505706439</v>
      </c>
      <c r="X96" s="150">
        <f t="shared" si="9"/>
        <v>1.0782329791420726</v>
      </c>
      <c r="Y96" s="150">
        <f t="shared" si="9"/>
        <v>0.78978551751279247</v>
      </c>
    </row>
    <row r="97" spans="19:25" x14ac:dyDescent="0.25">
      <c r="S97" s="148">
        <f t="shared" si="7"/>
        <v>199.71428571428606</v>
      </c>
      <c r="T97" s="149">
        <f t="shared" si="8"/>
        <v>12.285714285714279</v>
      </c>
      <c r="U97" s="150">
        <f t="shared" si="9"/>
        <v>9.8858802308802609</v>
      </c>
      <c r="V97" s="150">
        <f t="shared" si="9"/>
        <v>0.15978066378066424</v>
      </c>
      <c r="W97" s="150">
        <f t="shared" si="9"/>
        <v>1.1883023088023112</v>
      </c>
      <c r="X97" s="150">
        <f t="shared" si="9"/>
        <v>1.0884451659451686</v>
      </c>
      <c r="Y97" s="150">
        <f t="shared" si="9"/>
        <v>0.80402200577200811</v>
      </c>
    </row>
    <row r="98" spans="19:25" x14ac:dyDescent="0.25">
      <c r="S98" s="148">
        <f t="shared" si="7"/>
        <v>201.57142857142892</v>
      </c>
      <c r="T98" s="149">
        <f t="shared" si="8"/>
        <v>12.428571428571422</v>
      </c>
      <c r="U98" s="150">
        <f t="shared" si="9"/>
        <v>9.9787163846255069</v>
      </c>
      <c r="V98" s="150">
        <f t="shared" si="9"/>
        <v>0.16162941099304784</v>
      </c>
      <c r="W98" s="150">
        <f t="shared" si="9"/>
        <v>1.1994430670339786</v>
      </c>
      <c r="X98" s="150">
        <f t="shared" si="9"/>
        <v>1.0986573527482646</v>
      </c>
      <c r="Y98" s="150">
        <f t="shared" si="9"/>
        <v>0.81825849403122375</v>
      </c>
    </row>
    <row r="99" spans="19:25" x14ac:dyDescent="0.25">
      <c r="S99" s="148">
        <f t="shared" si="7"/>
        <v>203.42857142857179</v>
      </c>
      <c r="T99" s="149">
        <f t="shared" si="8"/>
        <v>12.571428571428564</v>
      </c>
      <c r="U99" s="150">
        <f t="shared" si="9"/>
        <v>10.071552538370753</v>
      </c>
      <c r="V99" s="150">
        <f t="shared" si="9"/>
        <v>0.16347815820543143</v>
      </c>
      <c r="W99" s="150">
        <f t="shared" si="9"/>
        <v>1.210583825265646</v>
      </c>
      <c r="X99" s="150">
        <f t="shared" si="9"/>
        <v>1.1088695395513606</v>
      </c>
      <c r="Y99" s="150">
        <f t="shared" si="9"/>
        <v>0.83249498229043939</v>
      </c>
    </row>
    <row r="100" spans="19:25" x14ac:dyDescent="0.25">
      <c r="S100" s="148">
        <f t="shared" si="7"/>
        <v>205.28571428571465</v>
      </c>
      <c r="T100" s="149">
        <f t="shared" si="8"/>
        <v>12.714285714285706</v>
      </c>
      <c r="U100" s="150">
        <f t="shared" si="9"/>
        <v>10.164388692115999</v>
      </c>
      <c r="V100" s="150">
        <f t="shared" si="9"/>
        <v>0.16532690541781503</v>
      </c>
      <c r="W100" s="150">
        <f t="shared" si="9"/>
        <v>1.2217245834973134</v>
      </c>
      <c r="X100" s="150">
        <f t="shared" si="9"/>
        <v>1.1190817263544566</v>
      </c>
      <c r="Y100" s="150">
        <f t="shared" si="9"/>
        <v>0.84673147054965503</v>
      </c>
    </row>
    <row r="101" spans="19:25" x14ac:dyDescent="0.25">
      <c r="S101" s="148">
        <f t="shared" si="7"/>
        <v>207.14285714285751</v>
      </c>
      <c r="T101" s="149">
        <f t="shared" si="8"/>
        <v>12.857142857142849</v>
      </c>
      <c r="U101" s="150">
        <f t="shared" si="9"/>
        <v>10.257224845861245</v>
      </c>
      <c r="V101" s="150">
        <f t="shared" si="9"/>
        <v>0.16717565263019862</v>
      </c>
      <c r="W101" s="150">
        <f t="shared" si="9"/>
        <v>1.2328653417289808</v>
      </c>
      <c r="X101" s="150">
        <f t="shared" si="9"/>
        <v>1.1292939131575526</v>
      </c>
      <c r="Y101" s="150">
        <f t="shared" si="9"/>
        <v>0.86096795880887067</v>
      </c>
    </row>
    <row r="102" spans="19:25" x14ac:dyDescent="0.25">
      <c r="S102" s="148">
        <f t="shared" si="7"/>
        <v>209.00000000000037</v>
      </c>
      <c r="T102" s="149">
        <f t="shared" si="8"/>
        <v>12.999999999999991</v>
      </c>
      <c r="U102" s="150">
        <f t="shared" si="9"/>
        <v>10.350060999606491</v>
      </c>
      <c r="V102" s="150">
        <f t="shared" si="9"/>
        <v>0.16902439984258222</v>
      </c>
      <c r="W102" s="150">
        <f t="shared" si="9"/>
        <v>1.2440060999606481</v>
      </c>
      <c r="X102" s="150">
        <f t="shared" si="9"/>
        <v>1.1395060999606486</v>
      </c>
      <c r="Y102" s="150">
        <f t="shared" si="9"/>
        <v>0.87520444706808631</v>
      </c>
    </row>
    <row r="103" spans="19:25" x14ac:dyDescent="0.25">
      <c r="S103" s="148">
        <f t="shared" si="7"/>
        <v>210.85714285714323</v>
      </c>
      <c r="T103" s="149">
        <f t="shared" si="8"/>
        <v>13.142857142857133</v>
      </c>
      <c r="U103" s="150">
        <f t="shared" ref="U103:Y107" si="10">U102+(U$108-U$86)/($T$108-$T$86)/7</f>
        <v>10.442897153351737</v>
      </c>
      <c r="V103" s="150">
        <f t="shared" si="10"/>
        <v>0.17087314705496581</v>
      </c>
      <c r="W103" s="150">
        <f t="shared" si="10"/>
        <v>1.2551468581923155</v>
      </c>
      <c r="X103" s="150">
        <f t="shared" si="10"/>
        <v>1.1497182867637445</v>
      </c>
      <c r="Y103" s="150">
        <f t="shared" si="10"/>
        <v>0.88944093532730195</v>
      </c>
    </row>
    <row r="104" spans="19:25" x14ac:dyDescent="0.25">
      <c r="S104" s="148">
        <f t="shared" si="7"/>
        <v>212.71428571428609</v>
      </c>
      <c r="T104" s="149">
        <f t="shared" si="8"/>
        <v>13.285714285714276</v>
      </c>
      <c r="U104" s="150">
        <f t="shared" si="10"/>
        <v>10.535733307096983</v>
      </c>
      <c r="V104" s="150">
        <f t="shared" si="10"/>
        <v>0.17272189426734941</v>
      </c>
      <c r="W104" s="150">
        <f t="shared" si="10"/>
        <v>1.2662876164239829</v>
      </c>
      <c r="X104" s="150">
        <f t="shared" si="10"/>
        <v>1.1599304735668405</v>
      </c>
      <c r="Y104" s="150">
        <f t="shared" si="10"/>
        <v>0.90367742358651759</v>
      </c>
    </row>
    <row r="105" spans="19:25" x14ac:dyDescent="0.25">
      <c r="S105" s="148">
        <f t="shared" si="7"/>
        <v>214.57142857142895</v>
      </c>
      <c r="T105" s="149">
        <f t="shared" si="8"/>
        <v>13.428571428571418</v>
      </c>
      <c r="U105" s="150">
        <f t="shared" si="10"/>
        <v>10.628569460842229</v>
      </c>
      <c r="V105" s="150">
        <f t="shared" si="10"/>
        <v>0.174570641479733</v>
      </c>
      <c r="W105" s="150">
        <f t="shared" si="10"/>
        <v>1.2774283746556503</v>
      </c>
      <c r="X105" s="150">
        <f t="shared" si="10"/>
        <v>1.1701426603699365</v>
      </c>
      <c r="Y105" s="150">
        <f t="shared" si="10"/>
        <v>0.91791391184573323</v>
      </c>
    </row>
    <row r="106" spans="19:25" x14ac:dyDescent="0.25">
      <c r="S106" s="148">
        <f t="shared" si="7"/>
        <v>216.42857142857181</v>
      </c>
      <c r="T106" s="149">
        <f t="shared" si="8"/>
        <v>13.571428571428561</v>
      </c>
      <c r="U106" s="150">
        <f t="shared" si="10"/>
        <v>10.721405614587475</v>
      </c>
      <c r="V106" s="150">
        <f t="shared" si="10"/>
        <v>0.1764193886921166</v>
      </c>
      <c r="W106" s="150">
        <f t="shared" si="10"/>
        <v>1.2885691328873177</v>
      </c>
      <c r="X106" s="150">
        <f t="shared" si="10"/>
        <v>1.1803548471730325</v>
      </c>
      <c r="Y106" s="150">
        <f t="shared" si="10"/>
        <v>0.93215040010494887</v>
      </c>
    </row>
    <row r="107" spans="19:25" x14ac:dyDescent="0.25">
      <c r="S107" s="148">
        <f t="shared" si="7"/>
        <v>218.28571428571468</v>
      </c>
      <c r="T107" s="149">
        <f t="shared" si="8"/>
        <v>13.714285714285703</v>
      </c>
      <c r="U107" s="150">
        <f t="shared" si="10"/>
        <v>10.814241768332721</v>
      </c>
      <c r="V107" s="150">
        <f t="shared" si="10"/>
        <v>0.17826813590450019</v>
      </c>
      <c r="W107" s="150">
        <f t="shared" si="10"/>
        <v>1.2997098911189851</v>
      </c>
      <c r="X107" s="150">
        <f t="shared" si="10"/>
        <v>1.1905670339761285</v>
      </c>
      <c r="Y107" s="150">
        <f t="shared" si="10"/>
        <v>0.94638688836416451</v>
      </c>
    </row>
    <row r="108" spans="19:25" x14ac:dyDescent="0.25">
      <c r="S108" s="160">
        <f t="shared" si="7"/>
        <v>220.14285714285754</v>
      </c>
      <c r="T108" s="161">
        <f t="shared" si="8"/>
        <v>13.857142857142845</v>
      </c>
      <c r="U108" s="146">
        <f>($S108/220)*10.9</f>
        <v>10.90707792207794</v>
      </c>
      <c r="V108" s="146">
        <f>($S108/220)*0.18</f>
        <v>0.18011688311688343</v>
      </c>
      <c r="W108" s="146">
        <f>($S108/220)*1.31</f>
        <v>1.3108506493506515</v>
      </c>
      <c r="X108" s="146">
        <f>($S108/220)*1.2</f>
        <v>1.2007792207792227</v>
      </c>
      <c r="Y108" s="146">
        <f>($S108/220)*0.96</f>
        <v>0.96062337662337827</v>
      </c>
    </row>
    <row r="109" spans="19:25" x14ac:dyDescent="0.25">
      <c r="S109" s="148">
        <f t="shared" si="7"/>
        <v>222.0000000000004</v>
      </c>
      <c r="T109" s="149">
        <f t="shared" si="8"/>
        <v>13.999999999999988</v>
      </c>
      <c r="U109" s="150">
        <f t="shared" ref="U109:Y124" si="11">U108+(U$129-U$108)/($T$129-$T$108)/7</f>
        <v>10.995207649493382</v>
      </c>
      <c r="V109" s="150">
        <f t="shared" si="11"/>
        <v>0.18150692164977911</v>
      </c>
      <c r="W109" s="150">
        <f t="shared" si="11"/>
        <v>1.3219953855668163</v>
      </c>
      <c r="X109" s="150">
        <f t="shared" si="11"/>
        <v>1.2105207649493384</v>
      </c>
      <c r="Y109" s="150">
        <f t="shared" si="11"/>
        <v>0.96851153608296636</v>
      </c>
    </row>
    <row r="110" spans="19:25" x14ac:dyDescent="0.25">
      <c r="S110" s="148">
        <f t="shared" si="7"/>
        <v>223.85714285714326</v>
      </c>
      <c r="T110" s="149">
        <f t="shared" si="8"/>
        <v>14.14285714285713</v>
      </c>
      <c r="U110" s="150">
        <f t="shared" si="11"/>
        <v>11.083337376908824</v>
      </c>
      <c r="V110" s="150">
        <f t="shared" si="11"/>
        <v>0.18289696018267479</v>
      </c>
      <c r="W110" s="150">
        <f t="shared" si="11"/>
        <v>1.333140121782981</v>
      </c>
      <c r="X110" s="150">
        <f t="shared" si="11"/>
        <v>1.220262309119454</v>
      </c>
      <c r="Y110" s="150">
        <f t="shared" si="11"/>
        <v>0.97639969554255446</v>
      </c>
    </row>
    <row r="111" spans="19:25" x14ac:dyDescent="0.25">
      <c r="S111" s="148">
        <f t="shared" si="7"/>
        <v>225.71428571428612</v>
      </c>
      <c r="T111" s="149">
        <f t="shared" si="8"/>
        <v>14.285714285714272</v>
      </c>
      <c r="U111" s="150">
        <f t="shared" si="11"/>
        <v>11.171467104324266</v>
      </c>
      <c r="V111" s="150">
        <f t="shared" si="11"/>
        <v>0.18428699871557047</v>
      </c>
      <c r="W111" s="150">
        <f t="shared" si="11"/>
        <v>1.3442848579991458</v>
      </c>
      <c r="X111" s="150">
        <f t="shared" si="11"/>
        <v>1.2300038532895696</v>
      </c>
      <c r="Y111" s="150">
        <f t="shared" si="11"/>
        <v>0.98428785500214255</v>
      </c>
    </row>
    <row r="112" spans="19:25" x14ac:dyDescent="0.25">
      <c r="S112" s="148">
        <f t="shared" si="7"/>
        <v>227.57142857142898</v>
      </c>
      <c r="T112" s="149">
        <f t="shared" si="8"/>
        <v>14.428571428571415</v>
      </c>
      <c r="U112" s="150">
        <f t="shared" si="11"/>
        <v>11.259596831739708</v>
      </c>
      <c r="V112" s="150">
        <f t="shared" si="11"/>
        <v>0.18567703724846615</v>
      </c>
      <c r="W112" s="150">
        <f t="shared" si="11"/>
        <v>1.3554295942153105</v>
      </c>
      <c r="X112" s="150">
        <f t="shared" si="11"/>
        <v>1.2397453974596853</v>
      </c>
      <c r="Y112" s="150">
        <f t="shared" si="11"/>
        <v>0.99217601446173065</v>
      </c>
    </row>
    <row r="113" spans="19:25" x14ac:dyDescent="0.25">
      <c r="S113" s="148">
        <f t="shared" si="7"/>
        <v>229.42857142857184</v>
      </c>
      <c r="T113" s="149">
        <f t="shared" si="8"/>
        <v>14.571428571428557</v>
      </c>
      <c r="U113" s="150">
        <f t="shared" si="11"/>
        <v>11.34772655915515</v>
      </c>
      <c r="V113" s="150">
        <f t="shared" si="11"/>
        <v>0.18706707578136184</v>
      </c>
      <c r="W113" s="150">
        <f t="shared" si="11"/>
        <v>1.3665743304314752</v>
      </c>
      <c r="X113" s="150">
        <f t="shared" si="11"/>
        <v>1.2494869416298009</v>
      </c>
      <c r="Y113" s="150">
        <f t="shared" si="11"/>
        <v>1.0000641739213187</v>
      </c>
    </row>
    <row r="114" spans="19:25" x14ac:dyDescent="0.25">
      <c r="S114" s="148">
        <f t="shared" si="7"/>
        <v>231.2857142857147</v>
      </c>
      <c r="T114" s="149">
        <f t="shared" si="8"/>
        <v>14.714285714285699</v>
      </c>
      <c r="U114" s="150">
        <f t="shared" si="11"/>
        <v>11.435856286570592</v>
      </c>
      <c r="V114" s="150">
        <f t="shared" si="11"/>
        <v>0.18845711431425752</v>
      </c>
      <c r="W114" s="150">
        <f t="shared" si="11"/>
        <v>1.37771906664764</v>
      </c>
      <c r="X114" s="150">
        <f t="shared" si="11"/>
        <v>1.2592284857999165</v>
      </c>
      <c r="Y114" s="150">
        <f t="shared" si="11"/>
        <v>1.0079523333809068</v>
      </c>
    </row>
    <row r="115" spans="19:25" x14ac:dyDescent="0.25">
      <c r="S115" s="148">
        <f t="shared" si="7"/>
        <v>233.14285714285757</v>
      </c>
      <c r="T115" s="149">
        <f t="shared" si="8"/>
        <v>14.857142857142842</v>
      </c>
      <c r="U115" s="150">
        <f t="shared" si="11"/>
        <v>11.523986013986034</v>
      </c>
      <c r="V115" s="150">
        <f t="shared" si="11"/>
        <v>0.1898471528471532</v>
      </c>
      <c r="W115" s="150">
        <f t="shared" si="11"/>
        <v>1.3888638028638047</v>
      </c>
      <c r="X115" s="150">
        <f t="shared" si="11"/>
        <v>1.2689700299700322</v>
      </c>
      <c r="Y115" s="150">
        <f t="shared" si="11"/>
        <v>1.0158404928404949</v>
      </c>
    </row>
    <row r="116" spans="19:25" x14ac:dyDescent="0.25">
      <c r="S116" s="148">
        <f t="shared" si="7"/>
        <v>235.00000000000043</v>
      </c>
      <c r="T116" s="149">
        <f t="shared" si="8"/>
        <v>14.999999999999984</v>
      </c>
      <c r="U116" s="150">
        <f t="shared" si="11"/>
        <v>11.612115741401476</v>
      </c>
      <c r="V116" s="150">
        <f t="shared" si="11"/>
        <v>0.19123719138004888</v>
      </c>
      <c r="W116" s="150">
        <f t="shared" si="11"/>
        <v>1.4000085390799695</v>
      </c>
      <c r="X116" s="150">
        <f t="shared" si="11"/>
        <v>1.2787115741401478</v>
      </c>
      <c r="Y116" s="150">
        <f t="shared" si="11"/>
        <v>1.023728652300083</v>
      </c>
    </row>
    <row r="117" spans="19:25" x14ac:dyDescent="0.25">
      <c r="S117" s="148">
        <f t="shared" si="7"/>
        <v>236.85714285714329</v>
      </c>
      <c r="T117" s="149">
        <f t="shared" si="8"/>
        <v>15.142857142857126</v>
      </c>
      <c r="U117" s="150">
        <f t="shared" si="11"/>
        <v>11.700245468816918</v>
      </c>
      <c r="V117" s="150">
        <f t="shared" si="11"/>
        <v>0.19262722991294456</v>
      </c>
      <c r="W117" s="150">
        <f t="shared" si="11"/>
        <v>1.4111532752961342</v>
      </c>
      <c r="X117" s="150">
        <f t="shared" si="11"/>
        <v>1.2884531183102634</v>
      </c>
      <c r="Y117" s="150">
        <f t="shared" si="11"/>
        <v>1.0316168117596711</v>
      </c>
    </row>
    <row r="118" spans="19:25" x14ac:dyDescent="0.25">
      <c r="S118" s="148">
        <f t="shared" si="7"/>
        <v>238.71428571428615</v>
      </c>
      <c r="T118" s="149">
        <f t="shared" si="8"/>
        <v>15.285714285714269</v>
      </c>
      <c r="U118" s="150">
        <f t="shared" si="11"/>
        <v>11.78837519623236</v>
      </c>
      <c r="V118" s="150">
        <f t="shared" si="11"/>
        <v>0.19401726844584025</v>
      </c>
      <c r="W118" s="150">
        <f t="shared" si="11"/>
        <v>1.422298011512299</v>
      </c>
      <c r="X118" s="150">
        <f t="shared" si="11"/>
        <v>1.2981946624803791</v>
      </c>
      <c r="Y118" s="150">
        <f t="shared" si="11"/>
        <v>1.0395049712192592</v>
      </c>
    </row>
    <row r="119" spans="19:25" x14ac:dyDescent="0.25">
      <c r="S119" s="148">
        <f t="shared" si="7"/>
        <v>240.57142857142901</v>
      </c>
      <c r="T119" s="149">
        <f t="shared" si="8"/>
        <v>15.428571428571411</v>
      </c>
      <c r="U119" s="150">
        <f t="shared" si="11"/>
        <v>11.876504923647802</v>
      </c>
      <c r="V119" s="150">
        <f t="shared" si="11"/>
        <v>0.19540730697873593</v>
      </c>
      <c r="W119" s="150">
        <f t="shared" si="11"/>
        <v>1.4334427477284637</v>
      </c>
      <c r="X119" s="150">
        <f t="shared" si="11"/>
        <v>1.3079362066504947</v>
      </c>
      <c r="Y119" s="150">
        <f t="shared" si="11"/>
        <v>1.0473931306788473</v>
      </c>
    </row>
    <row r="120" spans="19:25" x14ac:dyDescent="0.25">
      <c r="S120" s="148">
        <f t="shared" si="7"/>
        <v>242.42857142857187</v>
      </c>
      <c r="T120" s="149">
        <f t="shared" si="8"/>
        <v>15.571428571428553</v>
      </c>
      <c r="U120" s="150">
        <f t="shared" si="11"/>
        <v>11.964634651063244</v>
      </c>
      <c r="V120" s="150">
        <f t="shared" si="11"/>
        <v>0.19679734551163161</v>
      </c>
      <c r="W120" s="150">
        <f t="shared" si="11"/>
        <v>1.4445874839446284</v>
      </c>
      <c r="X120" s="150">
        <f t="shared" si="11"/>
        <v>1.3176777508206103</v>
      </c>
      <c r="Y120" s="150">
        <f t="shared" si="11"/>
        <v>1.0552812901384354</v>
      </c>
    </row>
    <row r="121" spans="19:25" x14ac:dyDescent="0.25">
      <c r="S121" s="148">
        <f t="shared" si="7"/>
        <v>244.28571428571473</v>
      </c>
      <c r="T121" s="149">
        <f t="shared" si="8"/>
        <v>15.714285714285696</v>
      </c>
      <c r="U121" s="150">
        <f t="shared" si="11"/>
        <v>12.052764378478686</v>
      </c>
      <c r="V121" s="150">
        <f t="shared" si="11"/>
        <v>0.19818738404452729</v>
      </c>
      <c r="W121" s="150">
        <f t="shared" si="11"/>
        <v>1.4557322201607932</v>
      </c>
      <c r="X121" s="150">
        <f t="shared" si="11"/>
        <v>1.327419294990726</v>
      </c>
      <c r="Y121" s="150">
        <f t="shared" si="11"/>
        <v>1.0631694495980235</v>
      </c>
    </row>
    <row r="122" spans="19:25" x14ac:dyDescent="0.25">
      <c r="S122" s="148">
        <f t="shared" si="7"/>
        <v>246.14285714285759</v>
      </c>
      <c r="T122" s="149">
        <f t="shared" si="8"/>
        <v>15.857142857142838</v>
      </c>
      <c r="U122" s="150">
        <f t="shared" si="11"/>
        <v>12.140894105894128</v>
      </c>
      <c r="V122" s="150">
        <f t="shared" si="11"/>
        <v>0.19957742257742297</v>
      </c>
      <c r="W122" s="150">
        <f t="shared" si="11"/>
        <v>1.4668769563769579</v>
      </c>
      <c r="X122" s="150">
        <f t="shared" si="11"/>
        <v>1.3371608391608416</v>
      </c>
      <c r="Y122" s="150">
        <f t="shared" si="11"/>
        <v>1.0710576090576116</v>
      </c>
    </row>
    <row r="123" spans="19:25" x14ac:dyDescent="0.25">
      <c r="S123" s="148">
        <f t="shared" si="7"/>
        <v>248.00000000000045</v>
      </c>
      <c r="T123" s="149">
        <f t="shared" si="8"/>
        <v>15.99999999999998</v>
      </c>
      <c r="U123" s="150">
        <f t="shared" si="11"/>
        <v>12.22902383330957</v>
      </c>
      <c r="V123" s="150">
        <f t="shared" si="11"/>
        <v>0.20096746111031866</v>
      </c>
      <c r="W123" s="150">
        <f t="shared" si="11"/>
        <v>1.4780216925931227</v>
      </c>
      <c r="X123" s="150">
        <f t="shared" si="11"/>
        <v>1.3469023833309572</v>
      </c>
      <c r="Y123" s="150">
        <f t="shared" si="11"/>
        <v>1.0789457685171997</v>
      </c>
    </row>
    <row r="124" spans="19:25" x14ac:dyDescent="0.25">
      <c r="S124" s="148">
        <f t="shared" si="7"/>
        <v>249.85714285714332</v>
      </c>
      <c r="T124" s="149">
        <f t="shared" si="8"/>
        <v>16.142857142857125</v>
      </c>
      <c r="U124" s="150">
        <f t="shared" si="11"/>
        <v>12.317153560725012</v>
      </c>
      <c r="V124" s="150">
        <f t="shared" si="11"/>
        <v>0.20235749964321434</v>
      </c>
      <c r="W124" s="150">
        <f t="shared" si="11"/>
        <v>1.4891664288092874</v>
      </c>
      <c r="X124" s="150">
        <f t="shared" si="11"/>
        <v>1.3566439275010729</v>
      </c>
      <c r="Y124" s="150">
        <f t="shared" si="11"/>
        <v>1.0868339279767878</v>
      </c>
    </row>
    <row r="125" spans="19:25" x14ac:dyDescent="0.25">
      <c r="S125" s="148">
        <f t="shared" si="7"/>
        <v>251.71428571428618</v>
      </c>
      <c r="T125" s="149">
        <f t="shared" si="8"/>
        <v>16.285714285714267</v>
      </c>
      <c r="U125" s="150">
        <f t="shared" ref="U125:Y128" si="12">U124+(U$129-U$108)/($T$129-$T$108)/7</f>
        <v>12.405283288140454</v>
      </c>
      <c r="V125" s="150">
        <f t="shared" si="12"/>
        <v>0.20374753817611002</v>
      </c>
      <c r="W125" s="150">
        <f t="shared" si="12"/>
        <v>1.5003111650254521</v>
      </c>
      <c r="X125" s="150">
        <f t="shared" si="12"/>
        <v>1.3663854716711885</v>
      </c>
      <c r="Y125" s="150">
        <f t="shared" si="12"/>
        <v>1.0947220874363759</v>
      </c>
    </row>
    <row r="126" spans="19:25" x14ac:dyDescent="0.25">
      <c r="S126" s="148">
        <f t="shared" si="7"/>
        <v>253.57142857142904</v>
      </c>
      <c r="T126" s="149">
        <f t="shared" si="8"/>
        <v>16.428571428571409</v>
      </c>
      <c r="U126" s="150">
        <f t="shared" si="12"/>
        <v>12.493413015555896</v>
      </c>
      <c r="V126" s="150">
        <f t="shared" si="12"/>
        <v>0.2051375767090057</v>
      </c>
      <c r="W126" s="150">
        <f t="shared" si="12"/>
        <v>1.5114559012416169</v>
      </c>
      <c r="X126" s="150">
        <f t="shared" si="12"/>
        <v>1.3761270158413041</v>
      </c>
      <c r="Y126" s="150">
        <f t="shared" si="12"/>
        <v>1.102610246895964</v>
      </c>
    </row>
    <row r="127" spans="19:25" x14ac:dyDescent="0.25">
      <c r="S127" s="148">
        <f t="shared" si="7"/>
        <v>255.4285714285719</v>
      </c>
      <c r="T127" s="149">
        <f t="shared" si="8"/>
        <v>16.571428571428552</v>
      </c>
      <c r="U127" s="150">
        <f t="shared" si="12"/>
        <v>12.581542742971338</v>
      </c>
      <c r="V127" s="150">
        <f t="shared" si="12"/>
        <v>0.20652761524190139</v>
      </c>
      <c r="W127" s="150">
        <f t="shared" si="12"/>
        <v>1.5226006374577816</v>
      </c>
      <c r="X127" s="150">
        <f t="shared" si="12"/>
        <v>1.3858685600114198</v>
      </c>
      <c r="Y127" s="150">
        <f t="shared" si="12"/>
        <v>1.1104984063555521</v>
      </c>
    </row>
    <row r="128" spans="19:25" x14ac:dyDescent="0.25">
      <c r="S128" s="148">
        <f t="shared" si="7"/>
        <v>257.28571428571473</v>
      </c>
      <c r="T128" s="149">
        <f t="shared" si="8"/>
        <v>16.714285714285694</v>
      </c>
      <c r="U128" s="150">
        <f t="shared" si="12"/>
        <v>12.66967247038678</v>
      </c>
      <c r="V128" s="150">
        <f t="shared" si="12"/>
        <v>0.20791765377479707</v>
      </c>
      <c r="W128" s="150">
        <f t="shared" si="12"/>
        <v>1.5337453736739464</v>
      </c>
      <c r="X128" s="150">
        <f t="shared" si="12"/>
        <v>1.3956101041815354</v>
      </c>
      <c r="Y128" s="150">
        <f t="shared" si="12"/>
        <v>1.1183865658151402</v>
      </c>
    </row>
    <row r="129" spans="19:25" x14ac:dyDescent="0.25">
      <c r="S129" s="160">
        <f t="shared" si="7"/>
        <v>259.14285714285757</v>
      </c>
      <c r="T129" s="161">
        <f t="shared" si="8"/>
        <v>16.857142857142836</v>
      </c>
      <c r="U129" s="146">
        <f>($S129/260)*12.8</f>
        <v>12.757802197802221</v>
      </c>
      <c r="V129" s="146">
        <f>($S129/260)*0.21</f>
        <v>0.20930769230769264</v>
      </c>
      <c r="W129" s="146">
        <f>($S129/260)*1.55</f>
        <v>1.5448901098901124</v>
      </c>
      <c r="X129" s="146">
        <f>($S129/260)*1.41</f>
        <v>1.4053516483516506</v>
      </c>
      <c r="Y129" s="146">
        <f>($S129/260)*1.13</f>
        <v>1.1262747252747272</v>
      </c>
    </row>
    <row r="130" spans="19:25" x14ac:dyDescent="0.25">
      <c r="S130" s="148">
        <f t="shared" si="7"/>
        <v>261.0000000000004</v>
      </c>
      <c r="T130" s="149">
        <f t="shared" si="8"/>
        <v>16.999999999999979</v>
      </c>
      <c r="U130" s="150">
        <f t="shared" ref="U130:Y145" si="13">U129+(U$151-U$129)/($T$151-$T$129)/7</f>
        <v>12.850629370629393</v>
      </c>
      <c r="V130" s="150">
        <f t="shared" si="13"/>
        <v>0.21070279720279753</v>
      </c>
      <c r="W130" s="150">
        <f t="shared" si="13"/>
        <v>1.5560314685314709</v>
      </c>
      <c r="X130" s="150">
        <f t="shared" si="13"/>
        <v>1.4155629370629392</v>
      </c>
      <c r="Y130" s="150">
        <f t="shared" si="13"/>
        <v>1.1341713286713304</v>
      </c>
    </row>
    <row r="131" spans="19:25" x14ac:dyDescent="0.25">
      <c r="S131" s="148">
        <f t="shared" si="7"/>
        <v>262.85714285714323</v>
      </c>
      <c r="T131" s="149">
        <f t="shared" si="8"/>
        <v>17.142857142857121</v>
      </c>
      <c r="U131" s="150">
        <f t="shared" si="13"/>
        <v>12.943456543456566</v>
      </c>
      <c r="V131" s="150">
        <f t="shared" si="13"/>
        <v>0.21209790209790241</v>
      </c>
      <c r="W131" s="150">
        <f t="shared" si="13"/>
        <v>1.5671728271728296</v>
      </c>
      <c r="X131" s="150">
        <f t="shared" si="13"/>
        <v>1.4257742257742279</v>
      </c>
      <c r="Y131" s="150">
        <f t="shared" si="13"/>
        <v>1.1420679320679337</v>
      </c>
    </row>
    <row r="132" spans="19:25" x14ac:dyDescent="0.25">
      <c r="S132" s="148">
        <f t="shared" si="7"/>
        <v>264.71428571428606</v>
      </c>
      <c r="T132" s="149">
        <f t="shared" si="8"/>
        <v>17.285714285714263</v>
      </c>
      <c r="U132" s="150">
        <f t="shared" si="13"/>
        <v>13.036283716283739</v>
      </c>
      <c r="V132" s="150">
        <f t="shared" si="13"/>
        <v>0.2134930069930073</v>
      </c>
      <c r="W132" s="150">
        <f t="shared" si="13"/>
        <v>1.5783141858141883</v>
      </c>
      <c r="X132" s="150">
        <f t="shared" si="13"/>
        <v>1.4359855144855165</v>
      </c>
      <c r="Y132" s="150">
        <f t="shared" si="13"/>
        <v>1.1499645354645369</v>
      </c>
    </row>
    <row r="133" spans="19:25" x14ac:dyDescent="0.25">
      <c r="S133" s="148">
        <f t="shared" si="7"/>
        <v>266.5714285714289</v>
      </c>
      <c r="T133" s="149">
        <f t="shared" si="8"/>
        <v>17.428571428571406</v>
      </c>
      <c r="U133" s="150">
        <f t="shared" si="13"/>
        <v>13.129110889110912</v>
      </c>
      <c r="V133" s="150">
        <f t="shared" si="13"/>
        <v>0.21488811188811219</v>
      </c>
      <c r="W133" s="150">
        <f t="shared" si="13"/>
        <v>1.5894555444555469</v>
      </c>
      <c r="X133" s="150">
        <f t="shared" si="13"/>
        <v>1.4461968031968051</v>
      </c>
      <c r="Y133" s="150">
        <f t="shared" si="13"/>
        <v>1.1578611388611402</v>
      </c>
    </row>
    <row r="134" spans="19:25" x14ac:dyDescent="0.25">
      <c r="S134" s="148">
        <f t="shared" si="7"/>
        <v>268.42857142857173</v>
      </c>
      <c r="T134" s="149">
        <f t="shared" si="8"/>
        <v>17.571428571428548</v>
      </c>
      <c r="U134" s="150">
        <f t="shared" si="13"/>
        <v>13.221938061938085</v>
      </c>
      <c r="V134" s="150">
        <f t="shared" si="13"/>
        <v>0.21628321678321707</v>
      </c>
      <c r="W134" s="150">
        <f t="shared" si="13"/>
        <v>1.6005969030969056</v>
      </c>
      <c r="X134" s="150">
        <f t="shared" si="13"/>
        <v>1.4564080919080937</v>
      </c>
      <c r="Y134" s="150">
        <f t="shared" si="13"/>
        <v>1.1657577422577434</v>
      </c>
    </row>
    <row r="135" spans="19:25" x14ac:dyDescent="0.25">
      <c r="S135" s="148">
        <f t="shared" si="7"/>
        <v>270.28571428571456</v>
      </c>
      <c r="T135" s="149">
        <f t="shared" si="8"/>
        <v>17.71428571428569</v>
      </c>
      <c r="U135" s="150">
        <f t="shared" si="13"/>
        <v>13.314765234765257</v>
      </c>
      <c r="V135" s="150">
        <f t="shared" si="13"/>
        <v>0.21767832167832196</v>
      </c>
      <c r="W135" s="150">
        <f t="shared" si="13"/>
        <v>1.6117382617382643</v>
      </c>
      <c r="X135" s="150">
        <f t="shared" si="13"/>
        <v>1.4666193806193824</v>
      </c>
      <c r="Y135" s="150">
        <f t="shared" si="13"/>
        <v>1.1736543456543467</v>
      </c>
    </row>
    <row r="136" spans="19:25" x14ac:dyDescent="0.25">
      <c r="S136" s="148">
        <f t="shared" si="7"/>
        <v>272.14285714285739</v>
      </c>
      <c r="T136" s="149">
        <f t="shared" si="8"/>
        <v>17.857142857142833</v>
      </c>
      <c r="U136" s="150">
        <f t="shared" si="13"/>
        <v>13.40759240759243</v>
      </c>
      <c r="V136" s="150">
        <f t="shared" si="13"/>
        <v>0.21907342657342685</v>
      </c>
      <c r="W136" s="150">
        <f t="shared" si="13"/>
        <v>1.622879620379623</v>
      </c>
      <c r="X136" s="150">
        <f t="shared" si="13"/>
        <v>1.476830669330671</v>
      </c>
      <c r="Y136" s="150">
        <f t="shared" si="13"/>
        <v>1.1815509490509499</v>
      </c>
    </row>
    <row r="137" spans="19:25" x14ac:dyDescent="0.25">
      <c r="S137" s="148">
        <f t="shared" si="7"/>
        <v>274.00000000000023</v>
      </c>
      <c r="T137" s="149">
        <f t="shared" si="8"/>
        <v>17.999999999999975</v>
      </c>
      <c r="U137" s="150">
        <f t="shared" si="13"/>
        <v>13.500419580419603</v>
      </c>
      <c r="V137" s="150">
        <f t="shared" si="13"/>
        <v>0.22046853146853174</v>
      </c>
      <c r="W137" s="150">
        <f t="shared" si="13"/>
        <v>1.6340209790209816</v>
      </c>
      <c r="X137" s="150">
        <f t="shared" si="13"/>
        <v>1.4870419580419596</v>
      </c>
      <c r="Y137" s="150">
        <f t="shared" si="13"/>
        <v>1.1894475524475532</v>
      </c>
    </row>
    <row r="138" spans="19:25" x14ac:dyDescent="0.25">
      <c r="S138" s="148">
        <f t="shared" si="7"/>
        <v>275.85714285714306</v>
      </c>
      <c r="T138" s="149">
        <f t="shared" si="8"/>
        <v>18.142857142857117</v>
      </c>
      <c r="U138" s="150">
        <f t="shared" si="13"/>
        <v>13.593246753246776</v>
      </c>
      <c r="V138" s="150">
        <f t="shared" si="13"/>
        <v>0.22186363636363662</v>
      </c>
      <c r="W138" s="150">
        <f t="shared" si="13"/>
        <v>1.6451623376623403</v>
      </c>
      <c r="X138" s="150">
        <f t="shared" si="13"/>
        <v>1.4972532467532482</v>
      </c>
      <c r="Y138" s="150">
        <f t="shared" si="13"/>
        <v>1.1973441558441564</v>
      </c>
    </row>
    <row r="139" spans="19:25" x14ac:dyDescent="0.25">
      <c r="S139" s="148">
        <f t="shared" si="7"/>
        <v>277.71428571428589</v>
      </c>
      <c r="T139" s="149">
        <f t="shared" si="8"/>
        <v>18.28571428571426</v>
      </c>
      <c r="U139" s="150">
        <f t="shared" si="13"/>
        <v>13.686073926073949</v>
      </c>
      <c r="V139" s="150">
        <f t="shared" si="13"/>
        <v>0.22325874125874151</v>
      </c>
      <c r="W139" s="150">
        <f t="shared" si="13"/>
        <v>1.656303696303699</v>
      </c>
      <c r="X139" s="150">
        <f t="shared" si="13"/>
        <v>1.5074645354645368</v>
      </c>
      <c r="Y139" s="150">
        <f t="shared" si="13"/>
        <v>1.2052407592407597</v>
      </c>
    </row>
    <row r="140" spans="19:25" x14ac:dyDescent="0.25">
      <c r="S140" s="148">
        <f t="shared" ref="S140:S150" si="14">+S139+(S$151-S$11)/T$151/7</f>
        <v>279.57142857142873</v>
      </c>
      <c r="T140" s="149">
        <f t="shared" si="8"/>
        <v>18.428571428571402</v>
      </c>
      <c r="U140" s="150">
        <f t="shared" si="13"/>
        <v>13.778901098901121</v>
      </c>
      <c r="V140" s="150">
        <f t="shared" si="13"/>
        <v>0.2246538461538464</v>
      </c>
      <c r="W140" s="150">
        <f t="shared" si="13"/>
        <v>1.6674450549450577</v>
      </c>
      <c r="X140" s="150">
        <f t="shared" si="13"/>
        <v>1.5176758241758255</v>
      </c>
      <c r="Y140" s="150">
        <f t="shared" si="13"/>
        <v>1.2131373626373629</v>
      </c>
    </row>
    <row r="141" spans="19:25" x14ac:dyDescent="0.25">
      <c r="S141" s="148">
        <f t="shared" si="14"/>
        <v>281.42857142857156</v>
      </c>
      <c r="T141" s="149">
        <f t="shared" ref="T141:T151" si="15">T140+1/7</f>
        <v>18.571428571428545</v>
      </c>
      <c r="U141" s="150">
        <f t="shared" si="13"/>
        <v>13.871728271728294</v>
      </c>
      <c r="V141" s="150">
        <f t="shared" si="13"/>
        <v>0.22604895104895129</v>
      </c>
      <c r="W141" s="150">
        <f t="shared" si="13"/>
        <v>1.6785864135864164</v>
      </c>
      <c r="X141" s="150">
        <f t="shared" si="13"/>
        <v>1.5278871128871141</v>
      </c>
      <c r="Y141" s="150">
        <f t="shared" si="13"/>
        <v>1.2210339660339662</v>
      </c>
    </row>
    <row r="142" spans="19:25" x14ac:dyDescent="0.25">
      <c r="S142" s="148">
        <f t="shared" si="14"/>
        <v>283.28571428571439</v>
      </c>
      <c r="T142" s="149">
        <f t="shared" si="15"/>
        <v>18.714285714285687</v>
      </c>
      <c r="U142" s="150">
        <f t="shared" si="13"/>
        <v>13.964555444555467</v>
      </c>
      <c r="V142" s="150">
        <f t="shared" si="13"/>
        <v>0.22744405594405617</v>
      </c>
      <c r="W142" s="150">
        <f t="shared" si="13"/>
        <v>1.689727772227775</v>
      </c>
      <c r="X142" s="150">
        <f t="shared" si="13"/>
        <v>1.5380984015984027</v>
      </c>
      <c r="Y142" s="150">
        <f t="shared" si="13"/>
        <v>1.2289305694305694</v>
      </c>
    </row>
    <row r="143" spans="19:25" x14ac:dyDescent="0.25">
      <c r="S143" s="148">
        <f t="shared" si="14"/>
        <v>285.14285714285722</v>
      </c>
      <c r="T143" s="149">
        <f t="shared" si="15"/>
        <v>18.857142857142829</v>
      </c>
      <c r="U143" s="150">
        <f t="shared" si="13"/>
        <v>14.05738261738264</v>
      </c>
      <c r="V143" s="150">
        <f t="shared" si="13"/>
        <v>0.22883916083916106</v>
      </c>
      <c r="W143" s="150">
        <f t="shared" si="13"/>
        <v>1.7008691308691337</v>
      </c>
      <c r="X143" s="150">
        <f t="shared" si="13"/>
        <v>1.5483096903096913</v>
      </c>
      <c r="Y143" s="150">
        <f t="shared" si="13"/>
        <v>1.2368271728271727</v>
      </c>
    </row>
    <row r="144" spans="19:25" x14ac:dyDescent="0.25">
      <c r="S144" s="148">
        <f t="shared" si="14"/>
        <v>287.00000000000006</v>
      </c>
      <c r="T144" s="149">
        <f t="shared" si="15"/>
        <v>18.999999999999972</v>
      </c>
      <c r="U144" s="150">
        <f t="shared" si="13"/>
        <v>14.150209790209813</v>
      </c>
      <c r="V144" s="150">
        <f t="shared" si="13"/>
        <v>0.23023426573426595</v>
      </c>
      <c r="W144" s="150">
        <f t="shared" si="13"/>
        <v>1.7120104895104924</v>
      </c>
      <c r="X144" s="150">
        <f t="shared" si="13"/>
        <v>1.55852097902098</v>
      </c>
      <c r="Y144" s="150">
        <f t="shared" si="13"/>
        <v>1.2447237762237759</v>
      </c>
    </row>
    <row r="145" spans="18:25" x14ac:dyDescent="0.25">
      <c r="S145" s="148">
        <f t="shared" si="14"/>
        <v>288.85714285714289</v>
      </c>
      <c r="T145" s="149">
        <f t="shared" si="15"/>
        <v>19.142857142857114</v>
      </c>
      <c r="U145" s="150">
        <f t="shared" si="13"/>
        <v>14.243036963036985</v>
      </c>
      <c r="V145" s="150">
        <f t="shared" si="13"/>
        <v>0.23162937062937083</v>
      </c>
      <c r="W145" s="150">
        <f t="shared" si="13"/>
        <v>1.7231518481518511</v>
      </c>
      <c r="X145" s="150">
        <f t="shared" si="13"/>
        <v>1.5687322677322686</v>
      </c>
      <c r="Y145" s="150">
        <f t="shared" si="13"/>
        <v>1.2526203796203792</v>
      </c>
    </row>
    <row r="146" spans="18:25" x14ac:dyDescent="0.25">
      <c r="S146" s="148">
        <f t="shared" si="14"/>
        <v>290.71428571428572</v>
      </c>
      <c r="T146" s="149">
        <f t="shared" si="15"/>
        <v>19.285714285714256</v>
      </c>
      <c r="U146" s="150">
        <f t="shared" ref="U146:Y150" si="16">U145+(U$151-U$129)/($T$151-$T$129)/7</f>
        <v>14.335864135864158</v>
      </c>
      <c r="V146" s="150">
        <f t="shared" si="16"/>
        <v>0.23302447552447572</v>
      </c>
      <c r="W146" s="150">
        <f t="shared" si="16"/>
        <v>1.7342932067932098</v>
      </c>
      <c r="X146" s="150">
        <f t="shared" si="16"/>
        <v>1.5789435564435572</v>
      </c>
      <c r="Y146" s="150">
        <f t="shared" si="16"/>
        <v>1.2605169830169825</v>
      </c>
    </row>
    <row r="147" spans="18:25" x14ac:dyDescent="0.25">
      <c r="S147" s="148">
        <f t="shared" si="14"/>
        <v>292.57142857142856</v>
      </c>
      <c r="T147" s="149">
        <f t="shared" si="15"/>
        <v>19.428571428571399</v>
      </c>
      <c r="U147" s="150">
        <f t="shared" si="16"/>
        <v>14.428691308691331</v>
      </c>
      <c r="V147" s="150">
        <f t="shared" si="16"/>
        <v>0.23441958041958061</v>
      </c>
      <c r="W147" s="150">
        <f t="shared" si="16"/>
        <v>1.7454345654345684</v>
      </c>
      <c r="X147" s="150">
        <f t="shared" si="16"/>
        <v>1.5891548451548458</v>
      </c>
      <c r="Y147" s="150">
        <f t="shared" si="16"/>
        <v>1.2684135864135857</v>
      </c>
    </row>
    <row r="148" spans="18:25" x14ac:dyDescent="0.25">
      <c r="S148" s="148">
        <f t="shared" si="14"/>
        <v>294.42857142857139</v>
      </c>
      <c r="T148" s="149">
        <f t="shared" si="15"/>
        <v>19.571428571428541</v>
      </c>
      <c r="U148" s="150">
        <f t="shared" si="16"/>
        <v>14.521518481518504</v>
      </c>
      <c r="V148" s="150">
        <f t="shared" si="16"/>
        <v>0.2358146853146855</v>
      </c>
      <c r="W148" s="150">
        <f t="shared" si="16"/>
        <v>1.7565759240759271</v>
      </c>
      <c r="X148" s="150">
        <f t="shared" si="16"/>
        <v>1.5993661338661345</v>
      </c>
      <c r="Y148" s="150">
        <f t="shared" si="16"/>
        <v>1.276310189810189</v>
      </c>
    </row>
    <row r="149" spans="18:25" x14ac:dyDescent="0.25">
      <c r="S149" s="148">
        <f t="shared" si="14"/>
        <v>296.28571428571422</v>
      </c>
      <c r="T149" s="149">
        <f t="shared" si="15"/>
        <v>19.714285714285683</v>
      </c>
      <c r="U149" s="150">
        <f t="shared" si="16"/>
        <v>14.614345654345676</v>
      </c>
      <c r="V149" s="150">
        <f t="shared" si="16"/>
        <v>0.23720979020979038</v>
      </c>
      <c r="W149" s="150">
        <f t="shared" si="16"/>
        <v>1.7677172827172858</v>
      </c>
      <c r="X149" s="150">
        <f t="shared" si="16"/>
        <v>1.6095774225774231</v>
      </c>
      <c r="Y149" s="150">
        <f t="shared" si="16"/>
        <v>1.2842067932067922</v>
      </c>
    </row>
    <row r="150" spans="18:25" x14ac:dyDescent="0.25">
      <c r="S150" s="148">
        <f t="shared" si="14"/>
        <v>298.14285714285705</v>
      </c>
      <c r="T150" s="149">
        <f t="shared" si="15"/>
        <v>19.857142857142826</v>
      </c>
      <c r="U150" s="150">
        <f t="shared" si="16"/>
        <v>14.707172827172849</v>
      </c>
      <c r="V150" s="150">
        <f t="shared" si="16"/>
        <v>0.23860489510489527</v>
      </c>
      <c r="W150" s="150">
        <f t="shared" si="16"/>
        <v>1.7788586413586445</v>
      </c>
      <c r="X150" s="150">
        <f t="shared" si="16"/>
        <v>1.6197887112887117</v>
      </c>
      <c r="Y150" s="150">
        <f t="shared" si="16"/>
        <v>1.2921033966033955</v>
      </c>
    </row>
    <row r="151" spans="18:25" x14ac:dyDescent="0.25">
      <c r="S151" s="144">
        <v>300</v>
      </c>
      <c r="T151" s="145">
        <f t="shared" si="15"/>
        <v>19.999999999999968</v>
      </c>
      <c r="U151" s="146">
        <v>14.8</v>
      </c>
      <c r="V151" s="146">
        <v>0.24</v>
      </c>
      <c r="W151" s="146">
        <v>1.79</v>
      </c>
      <c r="X151" s="146">
        <v>1.63</v>
      </c>
      <c r="Y151" s="146">
        <v>1.3</v>
      </c>
    </row>
    <row r="158" spans="18:25" x14ac:dyDescent="0.25">
      <c r="R158" s="98"/>
    </row>
    <row r="159" spans="18:25" x14ac:dyDescent="0.25">
      <c r="T159" s="149"/>
    </row>
    <row r="160" spans="18:25" x14ac:dyDescent="0.25">
      <c r="T160" s="149"/>
    </row>
    <row r="161" spans="20:20" x14ac:dyDescent="0.25">
      <c r="T161" s="149"/>
    </row>
    <row r="162" spans="20:20" x14ac:dyDescent="0.25">
      <c r="T162" s="149"/>
    </row>
    <row r="163" spans="20:20" x14ac:dyDescent="0.25">
      <c r="T163" s="149"/>
    </row>
    <row r="164" spans="20:20" x14ac:dyDescent="0.25">
      <c r="T164" s="149"/>
    </row>
    <row r="165" spans="20:20" x14ac:dyDescent="0.25">
      <c r="T165" s="149"/>
    </row>
    <row r="166" spans="20:20" x14ac:dyDescent="0.25">
      <c r="T166" s="149"/>
    </row>
    <row r="167" spans="20:20" x14ac:dyDescent="0.25">
      <c r="T167" s="149"/>
    </row>
    <row r="168" spans="20:20" x14ac:dyDescent="0.25">
      <c r="T168" s="149"/>
    </row>
    <row r="169" spans="20:20" x14ac:dyDescent="0.25">
      <c r="T169" s="149"/>
    </row>
    <row r="170" spans="20:20" x14ac:dyDescent="0.25">
      <c r="T170" s="149"/>
    </row>
    <row r="171" spans="20:20" x14ac:dyDescent="0.25">
      <c r="T171" s="149"/>
    </row>
    <row r="172" spans="20:20" x14ac:dyDescent="0.25">
      <c r="T172" s="149"/>
    </row>
    <row r="173" spans="20:20" x14ac:dyDescent="0.25">
      <c r="T173" s="149"/>
    </row>
    <row r="174" spans="20:20" x14ac:dyDescent="0.25">
      <c r="T174" s="149"/>
    </row>
    <row r="175" spans="20:20" x14ac:dyDescent="0.25">
      <c r="T175" s="149"/>
    </row>
    <row r="176" spans="20:20" x14ac:dyDescent="0.25">
      <c r="T176" s="149"/>
    </row>
    <row r="177" spans="20:20" x14ac:dyDescent="0.25">
      <c r="T177" s="149"/>
    </row>
    <row r="178" spans="20:20" x14ac:dyDescent="0.25">
      <c r="T178" s="149"/>
    </row>
    <row r="179" spans="20:20" x14ac:dyDescent="0.25">
      <c r="T179" s="149"/>
    </row>
    <row r="180" spans="20:20" x14ac:dyDescent="0.25">
      <c r="T180" s="149"/>
    </row>
    <row r="181" spans="20:20" x14ac:dyDescent="0.25">
      <c r="T181" s="149"/>
    </row>
    <row r="182" spans="20:20" x14ac:dyDescent="0.25">
      <c r="T182" s="149"/>
    </row>
    <row r="183" spans="20:20" x14ac:dyDescent="0.25">
      <c r="T183" s="149"/>
    </row>
    <row r="184" spans="20:20" x14ac:dyDescent="0.25">
      <c r="T184" s="149"/>
    </row>
    <row r="185" spans="20:20" x14ac:dyDescent="0.25">
      <c r="T185" s="149"/>
    </row>
    <row r="186" spans="20:20" x14ac:dyDescent="0.25">
      <c r="T186" s="149"/>
    </row>
    <row r="187" spans="20:20" x14ac:dyDescent="0.25">
      <c r="T187" s="149"/>
    </row>
    <row r="188" spans="20:20" x14ac:dyDescent="0.25">
      <c r="T188" s="149"/>
    </row>
    <row r="189" spans="20:20" x14ac:dyDescent="0.25">
      <c r="T189" s="149"/>
    </row>
    <row r="190" spans="20:20" x14ac:dyDescent="0.25">
      <c r="T190" s="149"/>
    </row>
    <row r="191" spans="20:20" x14ac:dyDescent="0.25">
      <c r="T191" s="149"/>
    </row>
    <row r="192" spans="20:20" x14ac:dyDescent="0.25">
      <c r="T192" s="149"/>
    </row>
    <row r="193" spans="20:20" x14ac:dyDescent="0.25">
      <c r="T193" s="149"/>
    </row>
    <row r="194" spans="20:20" x14ac:dyDescent="0.25">
      <c r="T194" s="149"/>
    </row>
    <row r="195" spans="20:20" x14ac:dyDescent="0.25">
      <c r="T195" s="149"/>
    </row>
    <row r="196" spans="20:20" x14ac:dyDescent="0.25">
      <c r="T196" s="149"/>
    </row>
    <row r="197" spans="20:20" x14ac:dyDescent="0.25">
      <c r="T197" s="149"/>
    </row>
    <row r="198" spans="20:20" x14ac:dyDescent="0.25">
      <c r="T198" s="149"/>
    </row>
    <row r="199" spans="20:20" x14ac:dyDescent="0.25">
      <c r="T199" s="149"/>
    </row>
    <row r="200" spans="20:20" x14ac:dyDescent="0.25">
      <c r="T200" s="149"/>
    </row>
  </sheetData>
  <mergeCells count="2">
    <mergeCell ref="A1:E1"/>
    <mergeCell ref="U8:Y8"/>
  </mergeCells>
  <conditionalFormatting sqref="G4:I5">
    <cfRule type="cellIs" dxfId="21" priority="21" stopIfTrue="1" operator="equal">
      <formula>"ERROR"</formula>
    </cfRule>
    <cfRule type="cellIs" dxfId="20" priority="22" stopIfTrue="1" operator="equal">
      <formula>"OK"</formula>
    </cfRule>
  </conditionalFormatting>
  <conditionalFormatting sqref="C12">
    <cfRule type="expression" dxfId="19" priority="20" stopIfTrue="1">
      <formula>AND($C$12=0,$C$10&gt;0)=TRUE</formula>
    </cfRule>
  </conditionalFormatting>
  <conditionalFormatting sqref="D12">
    <cfRule type="expression" dxfId="18" priority="19" stopIfTrue="1">
      <formula>AND($D$12=0,$D$10&gt;0)=TRUE</formula>
    </cfRule>
  </conditionalFormatting>
  <conditionalFormatting sqref="E12">
    <cfRule type="expression" dxfId="17" priority="18">
      <formula>AND($E$12=0,$E$10&gt;0)</formula>
    </cfRule>
  </conditionalFormatting>
  <conditionalFormatting sqref="F12">
    <cfRule type="expression" dxfId="16" priority="17" stopIfTrue="1">
      <formula>AND($F$12=0,$F$10&gt;0)=TRUE</formula>
    </cfRule>
  </conditionalFormatting>
  <conditionalFormatting sqref="G12">
    <cfRule type="expression" dxfId="15" priority="16" stopIfTrue="1">
      <formula>AND($G$12=0,$G$10&gt;0)=TRUE</formula>
    </cfRule>
  </conditionalFormatting>
  <conditionalFormatting sqref="H12">
    <cfRule type="expression" dxfId="14" priority="15" stopIfTrue="1">
      <formula>AND($H$12=0,$H$10&gt;0)=TRUE</formula>
    </cfRule>
  </conditionalFormatting>
  <conditionalFormatting sqref="I12">
    <cfRule type="expression" dxfId="13" priority="14" stopIfTrue="1">
      <formula>AND($I$12=0,$I$10&gt;0)=TRUE</formula>
    </cfRule>
  </conditionalFormatting>
  <conditionalFormatting sqref="J12">
    <cfRule type="expression" dxfId="12" priority="13" stopIfTrue="1">
      <formula>AND($J$12=0,$J$10&gt;0)=TRUE</formula>
    </cfRule>
  </conditionalFormatting>
  <conditionalFormatting sqref="K12">
    <cfRule type="expression" dxfId="11" priority="12" stopIfTrue="1">
      <formula>AND($K$12=0,$K$10&gt;0)=TRUE</formula>
    </cfRule>
  </conditionalFormatting>
  <conditionalFormatting sqref="L12">
    <cfRule type="expression" dxfId="10" priority="11" stopIfTrue="1">
      <formula>AND($L$12=0,$L$10&gt;0)=TRUE</formula>
    </cfRule>
  </conditionalFormatting>
  <conditionalFormatting sqref="C13">
    <cfRule type="expression" dxfId="9" priority="10" stopIfTrue="1">
      <formula>AND($C$13=0,$C$10&gt;0)=TRUE</formula>
    </cfRule>
  </conditionalFormatting>
  <conditionalFormatting sqref="D13">
    <cfRule type="expression" dxfId="8" priority="9" stopIfTrue="1">
      <formula>AND($D$13=0,$D$10&gt;0)=TRUE</formula>
    </cfRule>
  </conditionalFormatting>
  <conditionalFormatting sqref="E13">
    <cfRule type="expression" dxfId="7" priority="8" stopIfTrue="1">
      <formula>AND($E$13=0,$E$10&gt;0)=TRUE</formula>
    </cfRule>
  </conditionalFormatting>
  <conditionalFormatting sqref="F13">
    <cfRule type="expression" dxfId="6" priority="7" stopIfTrue="1">
      <formula>AND($F$13=0,$F$10&gt;0)=TRUE</formula>
    </cfRule>
  </conditionalFormatting>
  <conditionalFormatting sqref="G13">
    <cfRule type="expression" dxfId="5" priority="6" stopIfTrue="1">
      <formula>AND($G$13=0,$G$10&gt;0)=TRUE</formula>
    </cfRule>
  </conditionalFormatting>
  <conditionalFormatting sqref="H13">
    <cfRule type="expression" dxfId="4" priority="5" stopIfTrue="1">
      <formula>AND($H$13=0,$H$10&gt;0)=TRUE</formula>
    </cfRule>
  </conditionalFormatting>
  <conditionalFormatting sqref="I13">
    <cfRule type="expression" dxfId="3" priority="4" stopIfTrue="1">
      <formula>AND($I$13=0,$I$10&gt;0)=TRUE</formula>
    </cfRule>
  </conditionalFormatting>
  <conditionalFormatting sqref="J13">
    <cfRule type="expression" dxfId="2" priority="3" stopIfTrue="1">
      <formula>AND($J$13=0,$J$10&gt;0)=TRUE</formula>
    </cfRule>
  </conditionalFormatting>
  <conditionalFormatting sqref="K13">
    <cfRule type="expression" dxfId="1" priority="2" stopIfTrue="1">
      <formula>AND($K$13=0,$K$10&gt;0)=TRUE</formula>
    </cfRule>
  </conditionalFormatting>
  <conditionalFormatting sqref="L13">
    <cfRule type="expression" dxfId="0" priority="1" stopIfTrue="1">
      <formula>AND($L$13=0,$L$10&gt;0)=TRUE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opLeftCell="A6" zoomScale="160" zoomScaleNormal="160" workbookViewId="0">
      <selection activeCell="F20" sqref="F20"/>
    </sheetView>
  </sheetViews>
  <sheetFormatPr defaultRowHeight="15" x14ac:dyDescent="0.25"/>
  <cols>
    <col min="1" max="1" width="15.85546875" bestFit="1" customWidth="1"/>
    <col min="3" max="3" width="11.5703125" bestFit="1" customWidth="1"/>
    <col min="4" max="4" width="11.5703125" style="73" customWidth="1"/>
    <col min="5" max="5" width="12.7109375" bestFit="1" customWidth="1"/>
    <col min="6" max="6" width="8.42578125" bestFit="1" customWidth="1"/>
    <col min="7" max="7" width="14.5703125" bestFit="1" customWidth="1"/>
    <col min="8" max="8" width="20" bestFit="1" customWidth="1"/>
    <col min="9" max="9" width="29.42578125" bestFit="1" customWidth="1"/>
    <col min="10" max="10" width="10.7109375" bestFit="1" customWidth="1"/>
    <col min="11" max="11" width="9.7109375" bestFit="1" customWidth="1"/>
  </cols>
  <sheetData>
    <row r="1" spans="1:11" ht="21" x14ac:dyDescent="0.35">
      <c r="A1" s="3"/>
      <c r="B1" s="4"/>
      <c r="C1" s="16" t="s">
        <v>4</v>
      </c>
      <c r="D1" s="47" t="s">
        <v>43</v>
      </c>
      <c r="E1" s="16" t="s">
        <v>16</v>
      </c>
      <c r="F1" s="16" t="s">
        <v>18</v>
      </c>
      <c r="G1" s="16" t="s">
        <v>18</v>
      </c>
      <c r="H1" s="21" t="s">
        <v>22</v>
      </c>
      <c r="I1" s="7" t="s">
        <v>14</v>
      </c>
    </row>
    <row r="2" spans="1:11" ht="21.75" thickBot="1" x14ac:dyDescent="0.4">
      <c r="A2" s="5" t="s">
        <v>1</v>
      </c>
      <c r="B2" s="6" t="s">
        <v>2</v>
      </c>
      <c r="C2" s="6" t="s">
        <v>15</v>
      </c>
      <c r="D2" s="48" t="s">
        <v>42</v>
      </c>
      <c r="E2" s="6" t="s">
        <v>17</v>
      </c>
      <c r="F2" s="6" t="s">
        <v>19</v>
      </c>
      <c r="G2" s="6" t="s">
        <v>20</v>
      </c>
      <c r="H2" s="9" t="s">
        <v>23</v>
      </c>
      <c r="I2" s="8">
        <v>42524</v>
      </c>
    </row>
    <row r="3" spans="1:11" x14ac:dyDescent="0.25">
      <c r="A3" s="12" t="s">
        <v>24</v>
      </c>
      <c r="B3" s="12">
        <v>1</v>
      </c>
      <c r="C3" s="12">
        <v>1449</v>
      </c>
      <c r="D3" s="74">
        <v>0</v>
      </c>
      <c r="E3" s="12">
        <v>37</v>
      </c>
      <c r="F3" s="12">
        <v>0</v>
      </c>
      <c r="G3" s="12">
        <f t="shared" ref="G3:G8" si="0">C3-E3-F3</f>
        <v>1412</v>
      </c>
      <c r="H3" s="37">
        <v>42439</v>
      </c>
      <c r="I3" s="14">
        <f>(I2-H3)/7</f>
        <v>12.142857142857142</v>
      </c>
      <c r="J3" s="29"/>
      <c r="K3" s="39" t="s">
        <v>0</v>
      </c>
    </row>
    <row r="4" spans="1:11" x14ac:dyDescent="0.25">
      <c r="A4" s="32" t="s">
        <v>37</v>
      </c>
      <c r="B4" s="10">
        <v>2</v>
      </c>
      <c r="C4" s="17">
        <v>1424</v>
      </c>
      <c r="D4" s="75">
        <v>0</v>
      </c>
      <c r="E4" s="10">
        <v>53</v>
      </c>
      <c r="F4" s="10">
        <v>0</v>
      </c>
      <c r="G4" s="12">
        <f t="shared" si="0"/>
        <v>1371</v>
      </c>
      <c r="H4" s="18">
        <v>42450</v>
      </c>
      <c r="I4" s="14">
        <f>(I2-H4)/7</f>
        <v>10.571428571428571</v>
      </c>
      <c r="J4" s="29"/>
    </row>
    <row r="5" spans="1:11" x14ac:dyDescent="0.25">
      <c r="A5" s="41" t="s">
        <v>38</v>
      </c>
      <c r="B5" s="10">
        <v>3</v>
      </c>
      <c r="C5" s="17">
        <v>1389</v>
      </c>
      <c r="D5" s="75">
        <v>0</v>
      </c>
      <c r="E5" s="10">
        <v>68</v>
      </c>
      <c r="F5" s="10">
        <v>0</v>
      </c>
      <c r="G5" s="12">
        <f t="shared" si="0"/>
        <v>1321</v>
      </c>
      <c r="H5" s="18">
        <v>42450</v>
      </c>
      <c r="I5" s="14">
        <f>(I2-H5)/7</f>
        <v>10.571428571428571</v>
      </c>
      <c r="J5" s="29"/>
    </row>
    <row r="6" spans="1:11" x14ac:dyDescent="0.25">
      <c r="A6" s="10"/>
      <c r="B6" s="10">
        <v>4</v>
      </c>
      <c r="C6" s="17">
        <v>1509</v>
      </c>
      <c r="D6" s="75">
        <v>0</v>
      </c>
      <c r="E6" s="10">
        <v>47</v>
      </c>
      <c r="F6" s="10">
        <v>0</v>
      </c>
      <c r="G6" s="12">
        <f t="shared" si="0"/>
        <v>1462</v>
      </c>
      <c r="H6" s="18">
        <v>42466</v>
      </c>
      <c r="I6" s="11">
        <f>(I2-H6)/7</f>
        <v>8.2857142857142865</v>
      </c>
      <c r="J6" s="29"/>
    </row>
    <row r="7" spans="1:11" x14ac:dyDescent="0.25">
      <c r="A7" s="10"/>
      <c r="B7" s="10">
        <v>5</v>
      </c>
      <c r="C7" s="10">
        <v>1482</v>
      </c>
      <c r="D7" s="76">
        <v>0</v>
      </c>
      <c r="E7" s="10">
        <v>70</v>
      </c>
      <c r="F7" s="10">
        <v>0</v>
      </c>
      <c r="G7" s="12">
        <f t="shared" si="0"/>
        <v>1412</v>
      </c>
      <c r="H7" s="18">
        <v>42466</v>
      </c>
      <c r="I7" s="11">
        <f>(I2-H7)/7</f>
        <v>8.2857142857142865</v>
      </c>
      <c r="J7" s="29"/>
    </row>
    <row r="8" spans="1:11" ht="15.75" thickBot="1" x14ac:dyDescent="0.3">
      <c r="A8" s="13"/>
      <c r="B8" s="13">
        <v>6</v>
      </c>
      <c r="C8" s="13">
        <v>1413</v>
      </c>
      <c r="D8" s="77">
        <v>0</v>
      </c>
      <c r="E8" s="13">
        <v>14</v>
      </c>
      <c r="F8" s="10">
        <v>0</v>
      </c>
      <c r="G8" s="12">
        <f t="shared" si="0"/>
        <v>1399</v>
      </c>
      <c r="H8" s="66">
        <v>42478</v>
      </c>
      <c r="I8" s="15">
        <f>(I2-H8)/7</f>
        <v>6.5714285714285712</v>
      </c>
      <c r="J8" s="29"/>
    </row>
    <row r="9" spans="1:11" s="24" customFormat="1" x14ac:dyDescent="0.25">
      <c r="A9" s="22" t="s">
        <v>27</v>
      </c>
      <c r="B9" s="22" t="s">
        <v>0</v>
      </c>
      <c r="C9" s="22">
        <f>SUM(C3:C8)</f>
        <v>8666</v>
      </c>
      <c r="D9" s="78"/>
      <c r="E9" s="22"/>
      <c r="F9" s="22" t="s">
        <v>0</v>
      </c>
      <c r="G9" s="22">
        <f>SUM(G3:G8)</f>
        <v>8377</v>
      </c>
      <c r="H9" s="23"/>
      <c r="I9" s="22"/>
      <c r="J9" s="29"/>
    </row>
    <row r="10" spans="1:11" x14ac:dyDescent="0.25">
      <c r="A10" s="10" t="s">
        <v>25</v>
      </c>
      <c r="B10" s="10">
        <v>1</v>
      </c>
      <c r="C10" s="10">
        <v>1028</v>
      </c>
      <c r="D10" s="76">
        <v>0</v>
      </c>
      <c r="E10" s="10">
        <v>9</v>
      </c>
      <c r="F10" s="10">
        <v>0</v>
      </c>
      <c r="G10" s="12">
        <f t="shared" ref="G10:G15" si="1">C10-E10-F10</f>
        <v>1019</v>
      </c>
      <c r="H10" s="18">
        <v>42474</v>
      </c>
      <c r="I10" s="11">
        <f>(I2-H10)/7</f>
        <v>7.1428571428571432</v>
      </c>
      <c r="J10" s="29"/>
    </row>
    <row r="11" spans="1:11" x14ac:dyDescent="0.25">
      <c r="A11" s="32" t="s">
        <v>34</v>
      </c>
      <c r="B11" s="10">
        <v>2</v>
      </c>
      <c r="C11" s="10">
        <v>896</v>
      </c>
      <c r="D11" s="76">
        <v>0</v>
      </c>
      <c r="E11" s="10">
        <v>12</v>
      </c>
      <c r="F11" s="10">
        <v>0</v>
      </c>
      <c r="G11" s="12">
        <f t="shared" si="1"/>
        <v>884</v>
      </c>
      <c r="H11" s="18">
        <v>42474</v>
      </c>
      <c r="I11" s="11">
        <f>(I2-H11)/7</f>
        <v>7.1428571428571432</v>
      </c>
      <c r="J11" s="29"/>
    </row>
    <row r="12" spans="1:11" x14ac:dyDescent="0.25">
      <c r="A12" s="41" t="s">
        <v>38</v>
      </c>
      <c r="B12" s="10">
        <v>3</v>
      </c>
      <c r="C12" s="10">
        <v>1317</v>
      </c>
      <c r="D12" s="76"/>
      <c r="E12" s="10">
        <v>23</v>
      </c>
      <c r="F12" s="17">
        <v>0</v>
      </c>
      <c r="G12" s="12">
        <f t="shared" si="1"/>
        <v>1294</v>
      </c>
      <c r="H12" s="18">
        <v>42485</v>
      </c>
      <c r="I12" s="11">
        <f>(I2-H12)/7</f>
        <v>5.5714285714285712</v>
      </c>
      <c r="J12" s="29"/>
    </row>
    <row r="13" spans="1:11" x14ac:dyDescent="0.25">
      <c r="A13" s="10"/>
      <c r="B13" s="10">
        <v>4</v>
      </c>
      <c r="C13" s="10">
        <v>1328</v>
      </c>
      <c r="D13" s="76"/>
      <c r="E13" s="10">
        <v>16</v>
      </c>
      <c r="F13" s="17">
        <v>0</v>
      </c>
      <c r="G13" s="12">
        <f t="shared" si="1"/>
        <v>1312</v>
      </c>
      <c r="H13" s="18">
        <v>42485</v>
      </c>
      <c r="I13" s="11">
        <f>(I2-H13)/7</f>
        <v>5.5714285714285712</v>
      </c>
      <c r="J13" s="29"/>
    </row>
    <row r="14" spans="1:11" x14ac:dyDescent="0.25">
      <c r="A14" s="10"/>
      <c r="B14" s="10">
        <v>5</v>
      </c>
      <c r="C14" s="35">
        <v>1292</v>
      </c>
      <c r="D14" s="76"/>
      <c r="E14" s="10">
        <v>18</v>
      </c>
      <c r="F14" s="17">
        <v>0</v>
      </c>
      <c r="G14" s="12">
        <f t="shared" si="1"/>
        <v>1274</v>
      </c>
      <c r="H14" s="18">
        <v>42487</v>
      </c>
      <c r="I14" s="11">
        <f>(I2-H14)/7</f>
        <v>5.2857142857142856</v>
      </c>
      <c r="J14" s="29"/>
    </row>
    <row r="15" spans="1:11" x14ac:dyDescent="0.25">
      <c r="A15" s="12"/>
      <c r="B15" s="12">
        <v>6</v>
      </c>
      <c r="C15" s="36">
        <v>1484</v>
      </c>
      <c r="D15" s="74"/>
      <c r="E15" s="12">
        <v>14</v>
      </c>
      <c r="F15" s="12">
        <v>0</v>
      </c>
      <c r="G15" s="12">
        <f t="shared" si="1"/>
        <v>1470</v>
      </c>
      <c r="H15" s="37">
        <v>42499</v>
      </c>
      <c r="I15" s="14">
        <f>(I2-H15)/7</f>
        <v>3.5714285714285716</v>
      </c>
      <c r="J15" s="29"/>
    </row>
    <row r="16" spans="1:11" s="24" customFormat="1" x14ac:dyDescent="0.25">
      <c r="A16" s="22" t="s">
        <v>27</v>
      </c>
      <c r="B16" s="22" t="s">
        <v>0</v>
      </c>
      <c r="C16" s="22">
        <f>SUM(C10:C15)</f>
        <v>7345</v>
      </c>
      <c r="D16" s="78"/>
      <c r="E16" s="22"/>
      <c r="F16" s="22" t="s">
        <v>0</v>
      </c>
      <c r="G16" s="22">
        <f>SUM(G10:G15)</f>
        <v>7253</v>
      </c>
      <c r="H16" s="23"/>
      <c r="I16" s="22"/>
      <c r="J16" s="29"/>
    </row>
    <row r="17" spans="1:10" x14ac:dyDescent="0.25">
      <c r="A17" s="10" t="s">
        <v>26</v>
      </c>
      <c r="B17" s="10">
        <v>1</v>
      </c>
      <c r="C17" s="10">
        <v>1026</v>
      </c>
      <c r="D17" s="76"/>
      <c r="E17" s="10">
        <v>44</v>
      </c>
      <c r="F17" s="10">
        <v>383</v>
      </c>
      <c r="G17" s="12">
        <f>C17-E17-F17</f>
        <v>599</v>
      </c>
      <c r="H17" s="18">
        <v>42417</v>
      </c>
      <c r="I17" s="11">
        <f>(I2-H17)/7</f>
        <v>15.285714285714286</v>
      </c>
      <c r="J17" s="29"/>
    </row>
    <row r="18" spans="1:10" x14ac:dyDescent="0.25">
      <c r="A18" s="32" t="s">
        <v>33</v>
      </c>
      <c r="B18" s="10">
        <v>2</v>
      </c>
      <c r="C18" s="10">
        <v>1070</v>
      </c>
      <c r="D18" s="76"/>
      <c r="E18" s="10">
        <v>59</v>
      </c>
      <c r="F18" s="10">
        <v>180</v>
      </c>
      <c r="G18" s="12">
        <f>C18-E18-F18</f>
        <v>831</v>
      </c>
      <c r="H18" s="18">
        <v>42424</v>
      </c>
      <c r="I18" s="11">
        <f>(I2-H18)/7</f>
        <v>14.285714285714286</v>
      </c>
      <c r="J18" s="29"/>
    </row>
    <row r="19" spans="1:10" x14ac:dyDescent="0.25">
      <c r="A19" s="41" t="s">
        <v>38</v>
      </c>
      <c r="B19" s="10">
        <v>3</v>
      </c>
      <c r="C19" s="10">
        <v>1011</v>
      </c>
      <c r="D19" s="76"/>
      <c r="E19" s="10">
        <v>51</v>
      </c>
      <c r="F19" s="17">
        <v>185</v>
      </c>
      <c r="G19" s="12">
        <f>C19-E19-F19</f>
        <v>775</v>
      </c>
      <c r="H19" s="18">
        <v>42424</v>
      </c>
      <c r="I19" s="11">
        <f>(I2-H19)/7</f>
        <v>14.285714285714286</v>
      </c>
      <c r="J19" s="29"/>
    </row>
    <row r="20" spans="1:10" x14ac:dyDescent="0.25">
      <c r="A20" s="10"/>
      <c r="B20" s="10">
        <v>4</v>
      </c>
      <c r="C20" s="10">
        <v>1296</v>
      </c>
      <c r="D20" s="76"/>
      <c r="E20" s="10">
        <v>53</v>
      </c>
      <c r="F20" s="17">
        <v>0</v>
      </c>
      <c r="G20" s="12">
        <f>C20-E20-F20</f>
        <v>1243</v>
      </c>
      <c r="H20" s="18">
        <v>42438</v>
      </c>
      <c r="I20" s="11">
        <f>(I2-H20)/7</f>
        <v>12.285714285714286</v>
      </c>
      <c r="J20" s="29"/>
    </row>
    <row r="21" spans="1:10" x14ac:dyDescent="0.25">
      <c r="A21" s="10"/>
      <c r="B21" s="10">
        <v>5</v>
      </c>
      <c r="C21" s="10">
        <v>1242</v>
      </c>
      <c r="D21" s="76"/>
      <c r="E21" s="10">
        <v>36</v>
      </c>
      <c r="F21" s="17">
        <v>0</v>
      </c>
      <c r="G21" s="12">
        <f>C21-E21-F21</f>
        <v>1206</v>
      </c>
      <c r="H21" s="18">
        <v>42438</v>
      </c>
      <c r="I21" s="11">
        <f>(I2-H21)/7</f>
        <v>12.285714285714286</v>
      </c>
      <c r="J21" s="29"/>
    </row>
    <row r="22" spans="1:10" s="24" customFormat="1" x14ac:dyDescent="0.25">
      <c r="A22" s="22" t="s">
        <v>27</v>
      </c>
      <c r="B22" s="22" t="s">
        <v>0</v>
      </c>
      <c r="C22" s="22">
        <f>SUM(C17:C21)</f>
        <v>5645</v>
      </c>
      <c r="D22" s="78"/>
      <c r="E22" s="22"/>
      <c r="F22" s="22" t="s">
        <v>0</v>
      </c>
      <c r="G22" s="22">
        <f>SUM(G17:G21)</f>
        <v>4654</v>
      </c>
      <c r="H22" s="23"/>
      <c r="I22" s="22"/>
      <c r="J22" s="29"/>
    </row>
    <row r="24" spans="1:10" x14ac:dyDescent="0.25">
      <c r="I24" t="s">
        <v>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Digester Sites</vt:lpstr>
      <vt:lpstr>Sheet1</vt:lpstr>
      <vt:lpstr>Non digester pit barns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Matthis</dc:creator>
  <cp:lastModifiedBy>bh</cp:lastModifiedBy>
  <cp:lastPrinted>2016-02-15T18:27:07Z</cp:lastPrinted>
  <dcterms:created xsi:type="dcterms:W3CDTF">2014-06-02T16:25:29Z</dcterms:created>
  <dcterms:modified xsi:type="dcterms:W3CDTF">2016-07-13T23:47:44Z</dcterms:modified>
</cp:coreProperties>
</file>