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-255" yWindow="465" windowWidth="25440" windowHeight="14580"/>
  </bookViews>
  <sheets>
    <sheet name="Tracking" sheetId="6" r:id="rId1"/>
    <sheet name="Test Summary" sheetId="1" r:id="rId2"/>
    <sheet name="Wing Test" sheetId="4" r:id="rId3"/>
    <sheet name="Components and Fixtures" sheetId="5" r:id="rId4"/>
    <sheet name="Centerbody Test" sheetId="2" r:id="rId5"/>
    <sheet name="Aircraft Test" sheetId="3" r:id="rId6"/>
  </sheets>
  <definedNames>
    <definedName name="g">'Components and Fixtures'!$C$2</definedName>
    <definedName name="in2m">'Components and Fixtures'!$C$3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0" i="6" l="1"/>
  <c r="C36" i="1"/>
  <c r="D36" i="1"/>
  <c r="E36" i="1"/>
  <c r="D16" i="1"/>
  <c r="E16" i="1"/>
  <c r="C16" i="1"/>
  <c r="B18" i="1"/>
  <c r="B38" i="1"/>
  <c r="B35" i="1"/>
  <c r="B36" i="1"/>
  <c r="B34" i="1"/>
  <c r="D28" i="1"/>
  <c r="D27" i="1"/>
  <c r="E28" i="1"/>
  <c r="E27" i="1"/>
  <c r="E8" i="1"/>
  <c r="D29" i="1"/>
  <c r="D8" i="1"/>
  <c r="C28" i="1"/>
  <c r="C27" i="1"/>
  <c r="C8" i="1"/>
  <c r="D7" i="1" l="1"/>
  <c r="E7" i="1"/>
  <c r="C7" i="1"/>
  <c r="B7" i="1"/>
  <c r="H26" i="1"/>
  <c r="E33" i="1"/>
  <c r="E32" i="1"/>
  <c r="B30" i="1"/>
  <c r="B40" i="1"/>
  <c r="B22" i="3"/>
  <c r="V28" i="3"/>
  <c r="U27" i="3"/>
  <c r="W27" i="3" s="1"/>
  <c r="T27" i="3"/>
  <c r="S22" i="3"/>
  <c r="S21" i="3"/>
  <c r="S33" i="3"/>
  <c r="S32" i="3"/>
  <c r="S12" i="3"/>
  <c r="X7" i="3"/>
  <c r="X12" i="3"/>
  <c r="S35" i="3" s="1"/>
  <c r="M27" i="3"/>
  <c r="O27" i="3" s="1"/>
  <c r="L27" i="3"/>
  <c r="K33" i="3"/>
  <c r="K32" i="3"/>
  <c r="M26" i="3" s="1"/>
  <c r="O26" i="3" s="1"/>
  <c r="P7" i="3"/>
  <c r="P12" i="3"/>
  <c r="K35" i="3" s="1"/>
  <c r="K12" i="3"/>
  <c r="E29" i="3"/>
  <c r="D29" i="3"/>
  <c r="C29" i="3"/>
  <c r="F29" i="3"/>
  <c r="F11" i="3"/>
  <c r="E8" i="3"/>
  <c r="C13" i="3"/>
  <c r="F13" i="3"/>
  <c r="B34" i="3"/>
  <c r="D13" i="3"/>
  <c r="U26" i="3"/>
  <c r="W26" i="3"/>
  <c r="E13" i="3"/>
  <c r="H7" i="3"/>
  <c r="H13" i="3" s="1"/>
  <c r="C38" i="3" s="1"/>
  <c r="G29" i="3"/>
  <c r="H29" i="3" s="1"/>
  <c r="S27" i="3"/>
  <c r="F30" i="3"/>
  <c r="C19" i="2"/>
  <c r="S26" i="3" s="1"/>
  <c r="AC30" i="2"/>
  <c r="AA22" i="2"/>
  <c r="AA19" i="2"/>
  <c r="AA36" i="2"/>
  <c r="AA20" i="2"/>
  <c r="AA13" i="2"/>
  <c r="AA31" i="2"/>
  <c r="AB30" i="2"/>
  <c r="AF7" i="2"/>
  <c r="AF13" i="2"/>
  <c r="AA38" i="2" s="1"/>
  <c r="S16" i="2"/>
  <c r="T20" i="2" s="1"/>
  <c r="V27" i="2" s="1"/>
  <c r="W27" i="2" s="1"/>
  <c r="T27" i="2"/>
  <c r="X27" i="2" s="1"/>
  <c r="S28" i="2"/>
  <c r="S32" i="2"/>
  <c r="K30" i="2"/>
  <c r="K34" i="2"/>
  <c r="L29" i="2"/>
  <c r="U27" i="2"/>
  <c r="R32" i="2"/>
  <c r="U12" i="2"/>
  <c r="T12" i="2"/>
  <c r="S12" i="2"/>
  <c r="X7" i="2"/>
  <c r="X12" i="2"/>
  <c r="S36" i="2" s="1"/>
  <c r="J34" i="2"/>
  <c r="AA23" i="2"/>
  <c r="J22" i="2"/>
  <c r="M29" i="2" s="1"/>
  <c r="L22" i="2"/>
  <c r="N29" i="2" s="1"/>
  <c r="M12" i="2"/>
  <c r="L12" i="2"/>
  <c r="K12" i="2"/>
  <c r="P7" i="2"/>
  <c r="P12" i="2"/>
  <c r="K38" i="2" s="1"/>
  <c r="H7" i="2"/>
  <c r="H12" i="2"/>
  <c r="C25" i="2" s="1"/>
  <c r="D12" i="2"/>
  <c r="E12" i="2"/>
  <c r="C12" i="2"/>
  <c r="AA35" i="2"/>
  <c r="AC29" i="2" s="1"/>
  <c r="AE29" i="2" s="1"/>
  <c r="AE30" i="2"/>
  <c r="AA30" i="2"/>
  <c r="AF30" i="2" s="1"/>
  <c r="K29" i="2"/>
  <c r="F16" i="5"/>
  <c r="F26" i="5" s="1"/>
  <c r="F19" i="5"/>
  <c r="F22" i="5"/>
  <c r="D22" i="5"/>
  <c r="I21" i="5"/>
  <c r="H21" i="5"/>
  <c r="G21" i="5"/>
  <c r="C18" i="5"/>
  <c r="C19" i="5"/>
  <c r="B13" i="1" s="1"/>
  <c r="D24" i="5"/>
  <c r="C18" i="1" s="1"/>
  <c r="D3" i="6" s="1"/>
  <c r="D16" i="5"/>
  <c r="C6" i="1" s="1"/>
  <c r="C26" i="1" s="1"/>
  <c r="D10" i="5"/>
  <c r="C9" i="5"/>
  <c r="C8" i="5"/>
  <c r="S27" i="2" s="1"/>
  <c r="F24" i="5"/>
  <c r="N28" i="3" s="1"/>
  <c r="D6" i="1"/>
  <c r="D26" i="1" s="1"/>
  <c r="D18" i="1"/>
  <c r="E3" i="6" s="1"/>
  <c r="B16" i="1"/>
  <c r="C14" i="1"/>
  <c r="C34" i="1" s="1"/>
  <c r="D14" i="1"/>
  <c r="D34" i="1" s="1"/>
  <c r="E14" i="1"/>
  <c r="E34" i="1" s="1"/>
  <c r="C15" i="1"/>
  <c r="C35" i="1" s="1"/>
  <c r="D15" i="1"/>
  <c r="D35" i="1" s="1"/>
  <c r="E15" i="1"/>
  <c r="E35" i="1" s="1"/>
  <c r="B14" i="1"/>
  <c r="B15" i="1"/>
  <c r="B6" i="1"/>
  <c r="B12" i="1"/>
  <c r="C5" i="6"/>
  <c r="C11" i="6"/>
  <c r="D5" i="6"/>
  <c r="D17" i="6" s="1"/>
  <c r="D26" i="6" s="1"/>
  <c r="D11" i="6"/>
  <c r="D14" i="6"/>
  <c r="D23" i="6"/>
  <c r="E5" i="6"/>
  <c r="E17" i="6" s="1"/>
  <c r="E26" i="6" s="1"/>
  <c r="E14" i="6"/>
  <c r="E23" i="6"/>
  <c r="I14" i="6"/>
  <c r="I26" i="6"/>
  <c r="I29" i="6"/>
  <c r="I32" i="6"/>
  <c r="F5" i="6"/>
  <c r="F17" i="6" s="1"/>
  <c r="F26" i="6" s="1"/>
  <c r="F14" i="6"/>
  <c r="F23" i="6"/>
  <c r="H14" i="6"/>
  <c r="H26" i="6"/>
  <c r="H29" i="6"/>
  <c r="H32" i="6"/>
  <c r="G14" i="6"/>
  <c r="G26" i="6"/>
  <c r="G29" i="6"/>
  <c r="G32" i="6"/>
  <c r="G8" i="4"/>
  <c r="C14" i="4" s="1"/>
  <c r="D19" i="5" s="1"/>
  <c r="C13" i="1" s="1"/>
  <c r="C33" i="1" s="1"/>
  <c r="D7" i="4"/>
  <c r="D6" i="4"/>
  <c r="C13" i="4"/>
  <c r="D18" i="5" s="1"/>
  <c r="C12" i="1" s="1"/>
  <c r="C32" i="1" s="1"/>
  <c r="D13" i="4"/>
  <c r="E18" i="5" s="1"/>
  <c r="D12" i="1" s="1"/>
  <c r="D32" i="1" s="1"/>
  <c r="H8" i="4"/>
  <c r="D14" i="4" s="1"/>
  <c r="E19" i="5" s="1"/>
  <c r="D13" i="1" s="1"/>
  <c r="D33" i="1" s="1"/>
  <c r="I8" i="4"/>
  <c r="B14" i="4"/>
  <c r="B13" i="4"/>
  <c r="D14" i="3"/>
  <c r="S13" i="3"/>
  <c r="K13" i="3"/>
  <c r="F14" i="3"/>
  <c r="T13" i="2"/>
  <c r="L13" i="2"/>
  <c r="E13" i="2"/>
  <c r="S13" i="2"/>
  <c r="K13" i="2"/>
  <c r="H8" i="2"/>
  <c r="C13" i="2"/>
  <c r="AF8" i="2"/>
  <c r="X8" i="3"/>
  <c r="P8" i="3"/>
  <c r="E14" i="3"/>
  <c r="C14" i="3"/>
  <c r="AA14" i="2"/>
  <c r="X8" i="2"/>
  <c r="P8" i="2"/>
  <c r="H8" i="3"/>
  <c r="U13" i="2"/>
  <c r="M13" i="2"/>
  <c r="D13" i="2"/>
  <c r="H14" i="3" l="1"/>
  <c r="P13" i="2"/>
  <c r="X13" i="2"/>
  <c r="P13" i="3"/>
  <c r="X13" i="3"/>
  <c r="AF14" i="2"/>
  <c r="H13" i="2"/>
  <c r="P29" i="2"/>
  <c r="X26" i="3"/>
  <c r="O29" i="2"/>
  <c r="X27" i="3"/>
  <c r="E18" i="1"/>
  <c r="F3" i="6" s="1"/>
  <c r="E30" i="3"/>
  <c r="G30" i="3" s="1"/>
  <c r="K26" i="3"/>
  <c r="E6" i="1"/>
  <c r="E26" i="1" s="1"/>
  <c r="E21" i="2"/>
  <c r="V28" i="2"/>
  <c r="AA29" i="2"/>
  <c r="N30" i="2"/>
  <c r="C21" i="2"/>
  <c r="K27" i="3"/>
  <c r="P27" i="3" s="1"/>
  <c r="D26" i="5"/>
  <c r="C24" i="5"/>
  <c r="E26" i="5"/>
  <c r="S26" i="2" l="1"/>
  <c r="S30" i="2" s="1"/>
  <c r="K28" i="2"/>
  <c r="K32" i="2" s="1"/>
  <c r="C24" i="2"/>
  <c r="P26" i="3"/>
  <c r="AF29" i="2"/>
  <c r="AA33" i="2"/>
  <c r="AA37" i="2" s="1"/>
  <c r="AA41" i="2" s="1"/>
  <c r="AA44" i="2" s="1"/>
  <c r="F6" i="1" s="1"/>
  <c r="F26" i="1" s="1"/>
  <c r="C23" i="2"/>
  <c r="V26" i="2"/>
  <c r="N28" i="2"/>
  <c r="K28" i="3"/>
  <c r="K30" i="3" s="1"/>
  <c r="K34" i="3" s="1"/>
  <c r="K38" i="3" s="1"/>
  <c r="K41" i="3" s="1"/>
  <c r="H18" i="1" s="1"/>
  <c r="S28" i="3"/>
  <c r="S30" i="3" s="1"/>
  <c r="S34" i="3" s="1"/>
  <c r="S38" i="3" s="1"/>
  <c r="S41" i="3" s="1"/>
  <c r="F18" i="1" s="1"/>
  <c r="C30" i="3"/>
  <c r="I3" i="6" l="1"/>
  <c r="H20" i="1"/>
  <c r="G3" i="6"/>
  <c r="F20" i="1"/>
  <c r="S35" i="2"/>
  <c r="U32" i="2"/>
  <c r="W32" i="2" s="1"/>
  <c r="C34" i="3"/>
  <c r="C32" i="3"/>
  <c r="F32" i="3"/>
  <c r="G32" i="3" s="1"/>
  <c r="C36" i="3" s="1"/>
  <c r="B20" i="1"/>
  <c r="C3" i="6"/>
  <c r="O28" i="2"/>
  <c r="N32" i="2"/>
  <c r="O32" i="2" s="1"/>
  <c r="K36" i="2" s="1"/>
  <c r="C28" i="2"/>
  <c r="V30" i="2"/>
  <c r="W30" i="2" s="1"/>
  <c r="S34" i="2" s="1"/>
  <c r="W26" i="2"/>
  <c r="K37" i="2"/>
  <c r="K41" i="2" s="1"/>
  <c r="M34" i="2"/>
  <c r="O34" i="2" s="1"/>
  <c r="E34" i="3" l="1"/>
  <c r="G34" i="3" s="1"/>
  <c r="C37" i="3"/>
  <c r="C41" i="3" s="1"/>
  <c r="C44" i="3" s="1"/>
  <c r="C47" i="3" s="1"/>
  <c r="G18" i="1" s="1"/>
  <c r="P28" i="2"/>
  <c r="X26" i="2"/>
  <c r="S39" i="2"/>
  <c r="S42" i="2" s="1"/>
  <c r="S45" i="2" s="1"/>
  <c r="K44" i="2"/>
  <c r="K47" i="2" s="1"/>
  <c r="G6" i="1" s="1"/>
  <c r="G26" i="1" s="1"/>
  <c r="C6" i="6"/>
  <c r="C9" i="6" s="1"/>
  <c r="C12" i="6" s="1"/>
  <c r="C15" i="6" s="1"/>
  <c r="C18" i="6" s="1"/>
  <c r="C21" i="6" s="1"/>
  <c r="C24" i="6" s="1"/>
  <c r="C27" i="6" s="1"/>
  <c r="C30" i="6" s="1"/>
  <c r="C33" i="6" s="1"/>
  <c r="C36" i="6" s="1"/>
  <c r="C39" i="6" l="1"/>
  <c r="F6" i="6"/>
  <c r="F9" i="6" s="1"/>
  <c r="F12" i="6" s="1"/>
  <c r="F15" i="6" s="1"/>
  <c r="F18" i="6" s="1"/>
  <c r="F21" i="6" s="1"/>
  <c r="F24" i="6" s="1"/>
  <c r="F27" i="6" s="1"/>
  <c r="F30" i="6" s="1"/>
  <c r="F33" i="6" s="1"/>
  <c r="F36" i="6" s="1"/>
  <c r="F39" i="6" s="1"/>
  <c r="D6" i="6"/>
  <c r="H3" i="6"/>
  <c r="G20" i="1"/>
  <c r="E6" i="6"/>
  <c r="E9" i="6" l="1"/>
  <c r="E12" i="6" s="1"/>
  <c r="E15" i="6" s="1"/>
  <c r="E18" i="6" s="1"/>
  <c r="E21" i="6" s="1"/>
  <c r="E24" i="6" s="1"/>
  <c r="E27" i="6" s="1"/>
  <c r="E30" i="6" s="1"/>
  <c r="E33" i="6" s="1"/>
  <c r="E36" i="6" s="1"/>
  <c r="G6" i="6"/>
  <c r="H6" i="6"/>
  <c r="D9" i="6"/>
  <c r="D12" i="6" s="1"/>
  <c r="D15" i="6" s="1"/>
  <c r="D18" i="6" s="1"/>
  <c r="D21" i="6" s="1"/>
  <c r="D24" i="6" s="1"/>
  <c r="D27" i="6" s="1"/>
  <c r="D30" i="6" s="1"/>
  <c r="D33" i="6" s="1"/>
  <c r="D36" i="6" s="1"/>
  <c r="D39" i="6" s="1"/>
  <c r="I6" i="6"/>
  <c r="E39" i="6" l="1"/>
  <c r="H9" i="6"/>
  <c r="H12" i="6" s="1"/>
  <c r="H15" i="6" s="1"/>
  <c r="H18" i="6" s="1"/>
  <c r="H21" i="6" s="1"/>
  <c r="H24" i="6" s="1"/>
  <c r="H27" i="6" s="1"/>
  <c r="H30" i="6" s="1"/>
  <c r="H33" i="6" s="1"/>
  <c r="H36" i="6" s="1"/>
  <c r="H39" i="6" s="1"/>
  <c r="I9" i="6"/>
  <c r="I12" i="6" s="1"/>
  <c r="I15" i="6" s="1"/>
  <c r="I18" i="6" s="1"/>
  <c r="I21" i="6" s="1"/>
  <c r="I24" i="6" s="1"/>
  <c r="I27" i="6" s="1"/>
  <c r="I30" i="6" s="1"/>
  <c r="I33" i="6" s="1"/>
  <c r="I36" i="6" s="1"/>
  <c r="I39" i="6" s="1"/>
  <c r="G9" i="6"/>
  <c r="G12" i="6" s="1"/>
  <c r="G15" i="6" s="1"/>
  <c r="G18" i="6" s="1"/>
  <c r="G21" i="6" s="1"/>
  <c r="G24" i="6" s="1"/>
  <c r="G27" i="6" s="1"/>
  <c r="G30" i="6" s="1"/>
  <c r="G33" i="6" s="1"/>
  <c r="G36" i="6" s="1"/>
  <c r="G39" i="6" l="1"/>
</calcChain>
</file>

<file path=xl/sharedStrings.xml><?xml version="1.0" encoding="utf-8"?>
<sst xmlns="http://schemas.openxmlformats.org/spreadsheetml/2006/main" count="554" uniqueCount="151">
  <si>
    <t>Run 4</t>
  </si>
  <si>
    <t>Height - Left</t>
  </si>
  <si>
    <t>Height - Right</t>
  </si>
  <si>
    <t>Width - Left</t>
  </si>
  <si>
    <t>Width - Right</t>
  </si>
  <si>
    <t>D</t>
  </si>
  <si>
    <t>Pitch (Vertical Compound)</t>
  </si>
  <si>
    <t>Karen</t>
  </si>
  <si>
    <t>Matt</t>
  </si>
  <si>
    <t>Pivot to Fix CG</t>
  </si>
  <si>
    <t>Pivot to ref slot</t>
  </si>
  <si>
    <t>Span Loc (in)</t>
  </si>
  <si>
    <t>Chord Loc (in)</t>
  </si>
  <si>
    <t>WS1-Left</t>
  </si>
  <si>
    <t>WS1-Right</t>
  </si>
  <si>
    <t>X</t>
  </si>
  <si>
    <t>Y</t>
  </si>
  <si>
    <t>Z</t>
  </si>
  <si>
    <t>WS1-Rigt</t>
  </si>
  <si>
    <t>Angle</t>
  </si>
  <si>
    <t>Reference (from CAD)</t>
  </si>
  <si>
    <t>Left Wing</t>
  </si>
  <si>
    <t>Right Wing</t>
  </si>
  <si>
    <t>Left Winglet</t>
  </si>
  <si>
    <t>Right Winglet</t>
  </si>
  <si>
    <t>Attach Bolts (12)</t>
  </si>
  <si>
    <t>Ballast</t>
  </si>
  <si>
    <t>Position estimate from CAD, Mass measured</t>
  </si>
  <si>
    <t>[109.34]</t>
  </si>
  <si>
    <t>Yaw (Bifilar)</t>
  </si>
  <si>
    <t>CG wrt CL "23.35" hole</t>
  </si>
  <si>
    <t>Centerbody</t>
  </si>
  <si>
    <t>f</t>
  </si>
  <si>
    <t>lb - in^2</t>
  </si>
  <si>
    <t>lb</t>
  </si>
  <si>
    <t>mAEWing1 Skoll Mass Prop</t>
  </si>
  <si>
    <t>Removed Ballast</t>
  </si>
  <si>
    <t>Notes</t>
  </si>
  <si>
    <t>Summary Test Results</t>
  </si>
  <si>
    <t>Flight Configuration for Flight1 and Flight2</t>
    <phoneticPr fontId="7" type="noConversion"/>
  </si>
  <si>
    <t>Assume negligible body inertia</t>
  </si>
  <si>
    <t>Airframe</t>
  </si>
  <si>
    <t>Airframe (CB1 + WS1)</t>
  </si>
  <si>
    <t>Added Ballast</t>
  </si>
  <si>
    <t>Added Avionics Cover</t>
  </si>
  <si>
    <t>Removed Temporary Avionics Cover</t>
  </si>
  <si>
    <t>Scale Body Inertia from previous</t>
  </si>
  <si>
    <t>Added Collet + Yoke + Propeller</t>
  </si>
  <si>
    <t>Removed Propulsion Battery - TP1300-65M70</t>
  </si>
  <si>
    <t>Added Propulsion Battery - 2X TP3300-3SPP45</t>
  </si>
  <si>
    <t>Left Wing (WS1 - Left)</t>
  </si>
  <si>
    <t>Right Wing (WS1 - Right)</t>
  </si>
  <si>
    <t>Left Winglet (SN 001)</t>
  </si>
  <si>
    <t>Right Winglet (SN 002)</t>
  </si>
  <si>
    <t>CB1 w/Ballast</t>
  </si>
  <si>
    <t>mAEWing1: CB1 (tested with Ballast and Body Flaps)</t>
  </si>
  <si>
    <t>Test Article:</t>
  </si>
  <si>
    <t>mAEWing1: CB1 (w/ Ballast) + WS1</t>
  </si>
  <si>
    <t>109g Ballast included during test</t>
  </si>
  <si>
    <t>Position and Inertia estimates from CAD, Mass measured</t>
  </si>
  <si>
    <t>Computed</t>
  </si>
  <si>
    <t>Removed GPS Ant</t>
    <phoneticPr fontId="7" type="noConversion"/>
  </si>
  <si>
    <t>I</t>
  </si>
  <si>
    <t>L</t>
  </si>
  <si>
    <t>g</t>
  </si>
  <si>
    <t>grams</t>
  </si>
  <si>
    <t>Cycles</t>
  </si>
  <si>
    <t>m/sec2</t>
  </si>
  <si>
    <t>m</t>
  </si>
  <si>
    <t>xCG</t>
  </si>
  <si>
    <t>yCG</t>
  </si>
  <si>
    <t>Mass</t>
  </si>
  <si>
    <t>Note: Wing wieght was taken without winglets.</t>
  </si>
  <si>
    <t>Left</t>
  </si>
  <si>
    <t>Right</t>
  </si>
  <si>
    <t>Note: CG was determined via determining the balance point.</t>
  </si>
  <si>
    <t>zCG</t>
  </si>
  <si>
    <t>Ixx</t>
  </si>
  <si>
    <t>Iyy</t>
  </si>
  <si>
    <t>Izz</t>
  </si>
  <si>
    <t>Rigging Swing</t>
  </si>
  <si>
    <t>Total</t>
  </si>
  <si>
    <t>Body Inertia</t>
  </si>
  <si>
    <t>Pivot Inertia</t>
  </si>
  <si>
    <t>Run 1</t>
  </si>
  <si>
    <t>Run 2</t>
  </si>
  <si>
    <t>Run 3</t>
  </si>
  <si>
    <t>Alex</t>
  </si>
  <si>
    <t>Jarrod</t>
  </si>
  <si>
    <t>Chris</t>
  </si>
  <si>
    <t>Mean</t>
  </si>
  <si>
    <t>STD</t>
  </si>
  <si>
    <t>Frequency (Hz)</t>
  </si>
  <si>
    <t>Hz</t>
  </si>
  <si>
    <t>in2m</t>
  </si>
  <si>
    <t>m/in</t>
  </si>
  <si>
    <t>inch</t>
  </si>
  <si>
    <r>
      <t>kg m</t>
    </r>
    <r>
      <rPr>
        <vertAlign val="superscript"/>
        <sz val="10"/>
        <rFont val="Arial"/>
        <family val="2"/>
      </rPr>
      <t>2</t>
    </r>
  </si>
  <si>
    <t>Body</t>
  </si>
  <si>
    <t>Test Swing Data</t>
  </si>
  <si>
    <t>Time (s)</t>
  </si>
  <si>
    <t>Total Time (s)</t>
  </si>
  <si>
    <t>rCG</t>
  </si>
  <si>
    <t>N/A</t>
  </si>
  <si>
    <t>r</t>
  </si>
  <si>
    <t>𝜔</t>
  </si>
  <si>
    <t>Fixtures</t>
  </si>
  <si>
    <t>Total Inertia About Pivot</t>
  </si>
  <si>
    <t>Mass (g)</t>
  </si>
  <si>
    <t>Components</t>
  </si>
  <si>
    <t>Measures</t>
  </si>
  <si>
    <t>Rig - Beam</t>
  </si>
  <si>
    <t>Rig - Hoops</t>
  </si>
  <si>
    <t>Rig - TurnBuckles</t>
  </si>
  <si>
    <t>Rig Total</t>
  </si>
  <si>
    <t>Pitch (Horizontal Compound)</t>
  </si>
  <si>
    <t>Position of Body CG (inch)</t>
  </si>
  <si>
    <t>Inertia about Body CG (Kg-m^2)</t>
  </si>
  <si>
    <t>Top - Right Side</t>
  </si>
  <si>
    <t>Front - Right Side</t>
  </si>
  <si>
    <t>Winglet - Right Side</t>
  </si>
  <si>
    <t>Height</t>
  </si>
  <si>
    <t>Left Height</t>
  </si>
  <si>
    <t>Right Height</t>
  </si>
  <si>
    <t>xCG wrt Aft edge of fixture</t>
  </si>
  <si>
    <t>Position of Pivot</t>
  </si>
  <si>
    <t>xP</t>
  </si>
  <si>
    <t>zP</t>
  </si>
  <si>
    <t>yP</t>
  </si>
  <si>
    <t>Body Inertia About Pivot</t>
  </si>
  <si>
    <t>Measured</t>
  </si>
  <si>
    <t>CAD</t>
  </si>
  <si>
    <t>CG wrt Top edge of fixture</t>
  </si>
  <si>
    <t>Body Inertia About Body CG</t>
  </si>
  <si>
    <t>Roll (Horizontal Compound)</t>
  </si>
  <si>
    <t>Roll (Bifilar)</t>
  </si>
  <si>
    <t>Left Body Flap</t>
  </si>
  <si>
    <t>Right Body Flap</t>
  </si>
  <si>
    <t>[57.13]</t>
  </si>
  <si>
    <t>[56.35]</t>
  </si>
  <si>
    <t>Summary based on Complete Mass Property Test</t>
  </si>
  <si>
    <t>[119.55]</t>
  </si>
  <si>
    <t>Avionics Battery</t>
  </si>
  <si>
    <t>Propulsion Battery</t>
  </si>
  <si>
    <t>[210.42]</t>
  </si>
  <si>
    <t>[78]</t>
  </si>
  <si>
    <t>[546.64]</t>
  </si>
  <si>
    <t>Added Repair Mass</t>
  </si>
  <si>
    <t>Mass estimated from change in component weight. Position estimate by visual refernce. Neglect body inertia.</t>
  </si>
  <si>
    <t>Summary based on Weight and Balance (Aircraft xCG) following repairs after Flight 2</t>
  </si>
  <si>
    <t>Balance performed to establish required ballast mass.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</si>
</sst>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"/>
      <family val="1"/>
    </font>
    <font>
      <vertAlign val="superscript"/>
      <sz val="10"/>
      <name val="Arial"/>
      <family val="2"/>
    </font>
    <font>
      <b/>
      <sz val="16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" xfId="0" applyFont="1" applyBorder="1"/>
    <xf numFmtId="0" fontId="0" fillId="2" borderId="0" xfId="0" applyFill="1"/>
    <xf numFmtId="0" fontId="0" fillId="3" borderId="0" xfId="0" applyFill="1" applyBorder="1" applyAlignment="1">
      <alignment horizontal="left"/>
    </xf>
    <xf numFmtId="0" fontId="0" fillId="5" borderId="0" xfId="0" applyFill="1" applyBorder="1"/>
    <xf numFmtId="0" fontId="0" fillId="3" borderId="20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21" xfId="0" applyNumberFormat="1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0" borderId="7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left"/>
    </xf>
    <xf numFmtId="164" fontId="0" fillId="0" borderId="5" xfId="0" applyNumberFormat="1" applyFill="1" applyBorder="1" applyAlignment="1">
      <alignment horizontal="center"/>
    </xf>
    <xf numFmtId="0" fontId="0" fillId="5" borderId="5" xfId="0" applyFill="1" applyBorder="1"/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5" borderId="9" xfId="0" applyFill="1" applyBorder="1"/>
    <xf numFmtId="0" fontId="0" fillId="2" borderId="9" xfId="0" applyFill="1" applyBorder="1"/>
    <xf numFmtId="0" fontId="0" fillId="5" borderId="9" xfId="0" applyFill="1" applyBorder="1" applyAlignment="1">
      <alignment horizontal="left"/>
    </xf>
    <xf numFmtId="0" fontId="0" fillId="2" borderId="10" xfId="0" applyFill="1" applyBorder="1"/>
    <xf numFmtId="164" fontId="0" fillId="0" borderId="10" xfId="0" applyNumberFormat="1" applyFill="1" applyBorder="1" applyAlignment="1">
      <alignment horizontal="center"/>
    </xf>
    <xf numFmtId="0" fontId="0" fillId="3" borderId="0" xfId="0" applyFill="1"/>
    <xf numFmtId="0" fontId="1" fillId="0" borderId="13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5" xfId="0" applyFill="1" applyBorder="1"/>
    <xf numFmtId="0" fontId="0" fillId="0" borderId="10" xfId="0" applyFill="1" applyBorder="1"/>
    <xf numFmtId="0" fontId="0" fillId="3" borderId="0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3" xfId="0" applyNumberFormat="1" applyFill="1" applyBorder="1"/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11" fontId="0" fillId="5" borderId="0" xfId="0" applyNumberFormat="1" applyFill="1" applyBorder="1"/>
    <xf numFmtId="0" fontId="0" fillId="5" borderId="4" xfId="0" applyFill="1" applyBorder="1"/>
    <xf numFmtId="0" fontId="2" fillId="0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164" fontId="0" fillId="5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0" fontId="6" fillId="5" borderId="9" xfId="0" applyFont="1" applyFill="1" applyBorder="1"/>
    <xf numFmtId="2" fontId="0" fillId="3" borderId="25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6" xfId="0" applyBorder="1"/>
    <xf numFmtId="0" fontId="0" fillId="0" borderId="14" xfId="0" applyFont="1" applyBorder="1"/>
    <xf numFmtId="0" fontId="0" fillId="4" borderId="2" xfId="0" quotePrefix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9" xfId="0" quotePrefix="1" applyFill="1" applyBorder="1" applyAlignment="1">
      <alignment horizontal="left"/>
    </xf>
    <xf numFmtId="0" fontId="0" fillId="0" borderId="13" xfId="0" applyFont="1" applyBorder="1"/>
    <xf numFmtId="165" fontId="0" fillId="0" borderId="1" xfId="0" applyNumberFormat="1" applyFill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3" xfId="0" applyNumberFormat="1" applyFill="1" applyBorder="1" applyAlignment="1">
      <alignment horizontal="right"/>
    </xf>
    <xf numFmtId="11" fontId="0" fillId="0" borderId="2" xfId="0" applyNumberFormat="1" applyFill="1" applyBorder="1" applyAlignment="1">
      <alignment horizontal="right"/>
    </xf>
    <xf numFmtId="11" fontId="0" fillId="0" borderId="3" xfId="0" applyNumberForma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5" fontId="0" fillId="0" borderId="7" xfId="0" applyNumberFormat="1" applyFill="1" applyBorder="1" applyAlignment="1">
      <alignment horizontal="right"/>
    </xf>
    <xf numFmtId="2" fontId="0" fillId="0" borderId="7" xfId="0" applyNumberFormat="1" applyFill="1" applyBorder="1" applyAlignment="1">
      <alignment horizontal="right"/>
    </xf>
    <xf numFmtId="2" fontId="0" fillId="0" borderId="11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12" xfId="0" applyNumberFormat="1" applyFill="1" applyBorder="1" applyAlignment="1">
      <alignment horizontal="right"/>
    </xf>
    <xf numFmtId="1" fontId="0" fillId="0" borderId="7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2" fontId="0" fillId="0" borderId="13" xfId="0" applyNumberFormat="1" applyBorder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11" fontId="0" fillId="0" borderId="0" xfId="0" applyNumberFormat="1"/>
    <xf numFmtId="2" fontId="0" fillId="5" borderId="0" xfId="0" applyNumberFormat="1" applyFill="1" applyBorder="1"/>
    <xf numFmtId="2" fontId="0" fillId="5" borderId="9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14" xfId="0" applyFill="1" applyBorder="1"/>
    <xf numFmtId="0" fontId="0" fillId="3" borderId="15" xfId="0" applyFill="1" applyBorder="1"/>
    <xf numFmtId="0" fontId="0" fillId="5" borderId="15" xfId="0" applyFill="1" applyBorder="1"/>
    <xf numFmtId="0" fontId="0" fillId="3" borderId="16" xfId="0" applyFill="1" applyBorder="1"/>
    <xf numFmtId="11" fontId="0" fillId="3" borderId="1" xfId="0" applyNumberFormat="1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11" fontId="0" fillId="3" borderId="4" xfId="0" applyNumberFormat="1" applyFill="1" applyBorder="1"/>
    <xf numFmtId="11" fontId="0" fillId="3" borderId="0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11" fontId="0" fillId="3" borderId="9" xfId="0" applyNumberFormat="1" applyFill="1" applyBorder="1"/>
    <xf numFmtId="11" fontId="0" fillId="3" borderId="10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5" xfId="0" applyNumberFormat="1" applyFill="1" applyBorder="1"/>
    <xf numFmtId="2" fontId="0" fillId="5" borderId="5" xfId="0" applyNumberFormat="1" applyFill="1" applyBorder="1"/>
    <xf numFmtId="2" fontId="0" fillId="3" borderId="9" xfId="0" applyNumberFormat="1" applyFill="1" applyBorder="1"/>
    <xf numFmtId="0" fontId="0" fillId="0" borderId="13" xfId="0" quotePrefix="1" applyFont="1" applyBorder="1"/>
    <xf numFmtId="0" fontId="0" fillId="5" borderId="16" xfId="0" applyFill="1" applyBorder="1"/>
    <xf numFmtId="0" fontId="0" fillId="0" borderId="15" xfId="0" applyBorder="1"/>
    <xf numFmtId="2" fontId="0" fillId="3" borderId="1" xfId="0" applyNumberFormat="1" applyFill="1" applyBorder="1"/>
    <xf numFmtId="2" fontId="0" fillId="3" borderId="4" xfId="0" applyNumberFormat="1" applyFill="1" applyBorder="1"/>
    <xf numFmtId="2" fontId="0" fillId="5" borderId="4" xfId="0" applyNumberFormat="1" applyFill="1" applyBorder="1"/>
    <xf numFmtId="2" fontId="6" fillId="5" borderId="8" xfId="0" applyNumberFormat="1" applyFont="1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2" fontId="0" fillId="5" borderId="10" xfId="0" applyNumberFormat="1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1" fontId="0" fillId="0" borderId="0" xfId="0" applyNumberFormat="1" applyFill="1" applyBorder="1" applyAlignment="1">
      <alignment horizontal="right"/>
    </xf>
    <xf numFmtId="11" fontId="0" fillId="0" borderId="5" xfId="0" applyNumberFormat="1" applyFill="1" applyBorder="1" applyAlignment="1">
      <alignment horizontal="right"/>
    </xf>
    <xf numFmtId="165" fontId="0" fillId="7" borderId="1" xfId="0" applyNumberFormat="1" applyFill="1" applyBorder="1" applyAlignment="1">
      <alignment horizontal="right"/>
    </xf>
    <xf numFmtId="165" fontId="0" fillId="7" borderId="4" xfId="0" applyNumberFormat="1" applyFill="1" applyBorder="1" applyAlignment="1">
      <alignment horizontal="right"/>
    </xf>
    <xf numFmtId="165" fontId="0" fillId="0" borderId="0" xfId="0" applyNumberFormat="1"/>
    <xf numFmtId="0" fontId="1" fillId="0" borderId="0" xfId="0" applyFont="1"/>
    <xf numFmtId="2" fontId="0" fillId="8" borderId="1" xfId="0" applyNumberFormat="1" applyFill="1" applyBorder="1" applyAlignment="1">
      <alignment horizontal="right"/>
    </xf>
    <xf numFmtId="2" fontId="0" fillId="0" borderId="8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2" fontId="0" fillId="8" borderId="0" xfId="0" applyNumberForma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20</xdr:row>
      <xdr:rowOff>142875</xdr:rowOff>
    </xdr:from>
    <xdr:ext cx="2771775" cy="3293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latin typeface="Cambria Math"/>
                        </a:rPr>
                      </m:ctrlPr>
                    </m:sSubSup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𝑇𝑜𝑡</m:t>
                      </m:r>
                    </m:sub>
                    <m:sup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𝑃</m:t>
                      </m:r>
                    </m:sup>
                  </m:sSubSup>
                  <m:r>
                    <a:rPr lang="en-US" sz="1800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𝑅𝑖𝑔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𝐹𝑖𝑥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r>
                <a:rPr lang="en-US" sz="1800"/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𝑇𝐴</m:t>
                      </m:r>
                    </m:sub>
                    <m:sup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</m:t>
                      </m:r>
                    </m:sup>
                  </m:sSubSup>
                </m:oMath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229600" y="4229100"/>
              <a:ext cx="2771775" cy="3293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r>
                <a:rPr lang="en-US" sz="1800"/>
                <a:t> +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^𝑃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14</xdr:col>
      <xdr:colOff>114300</xdr:colOff>
      <xdr:row>23</xdr:row>
      <xdr:rowOff>95250</xdr:rowOff>
    </xdr:from>
    <xdr:ext cx="2771775" cy="314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/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</m:sup>
                    </m:sSubSup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sSup>
                      <m:sSup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629525" y="4752975"/>
              <a:ext cx="2771775" cy="3140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𝐼_^𝑃=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𝐼_^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𝐵+𝑚𝑟^2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352425</xdr:colOff>
      <xdr:row>4</xdr:row>
      <xdr:rowOff>19050</xdr:rowOff>
    </xdr:from>
    <xdr:ext cx="2771775" cy="3000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𝑅𝑖𝑔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𝐹𝑖𝑥</m:t>
                        </m:r>
                      </m:sub>
                    </m:sSub>
                    <m:r>
                      <a:rPr lang="en-US" sz="18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𝑇𝐴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867650" y="800100"/>
              <a:ext cx="2771775" cy="3000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𝑚_𝑇𝑜𝑡</a:t>
              </a:r>
              <a:r>
                <a:rPr lang="en-US" sz="1800" b="0" i="0">
                  <a:latin typeface="Cambria Math" panose="02040503050406030204" pitchFamily="18" charset="0"/>
                </a:rPr>
                <a:t>=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𝑅𝑖𝑔+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𝐹𝑖𝑥+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𝑇𝐴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266700</xdr:colOff>
      <xdr:row>6</xdr:row>
      <xdr:rowOff>104775</xdr:rowOff>
    </xdr:from>
    <xdr:ext cx="384810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781925" y="1285875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𝑥_𝑅𝑖𝑔+〖𝑚_𝐹𝑖𝑥 𝑥〗_𝐹𝑖𝑥+〖𝑚_𝑇𝐴 𝑥〗_𝑇𝐴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285750</xdr:colOff>
      <xdr:row>10</xdr:row>
      <xdr:rowOff>38100</xdr:rowOff>
    </xdr:from>
    <xdr:ext cx="3848100" cy="563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𝑇𝑜𝑡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𝑅𝑖𝑔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𝐹𝑖𝑥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𝐹𝑖𝑥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𝑇𝐴</m:t>
                                </m:r>
                              </m:sub>
                            </m:s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𝑇𝑜𝑡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800975" y="2000250"/>
              <a:ext cx="3848100" cy="563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</a:t>
              </a:r>
              <a:r>
                <a:rPr lang="en-US" sz="1800" b="0" i="0">
                  <a:latin typeface="Cambria Math" panose="02040503050406030204" pitchFamily="18" charset="0"/>
                </a:rPr>
                <a:t>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𝑚_𝑅𝑖𝑔 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_𝑅𝑖𝑔+〖𝑚_𝐹𝑖𝑥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〗_𝐹𝑖𝑥+〖𝑚_𝑇𝐴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𝑦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〗_𝑇𝐴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</a:rPr>
                <a:t>𝑚_𝑇𝑜𝑡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24</xdr:row>
      <xdr:rowOff>114300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638425" y="48768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38425" y="48768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27</xdr:col>
      <xdr:colOff>361950</xdr:colOff>
      <xdr:row>38</xdr:row>
      <xdr:rowOff>47625</xdr:rowOff>
    </xdr:from>
    <xdr:ext cx="2771775" cy="5557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7164050" y="7534275"/>
              <a:ext cx="2771775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p>
                          <m:sSup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p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7164050" y="7534275"/>
              <a:ext cx="2771775" cy="555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𝐷^2)/(〖</a:t>
              </a:r>
              <a:r>
                <a:rPr lang="en-US" sz="1800" b="0" i="0">
                  <a:latin typeface="Cambria Math" panose="02040503050406030204" pitchFamily="18" charset="0"/>
                </a:rPr>
                <a:t>4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𝐿)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11</xdr:col>
      <xdr:colOff>114300</xdr:colOff>
      <xdr:row>38</xdr:row>
      <xdr:rowOff>161925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7734300" y="764857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734300" y="764857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352425</xdr:colOff>
      <xdr:row>36</xdr:row>
      <xdr:rowOff>180975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2087225" y="72866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2087225" y="7286625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35</xdr:row>
      <xdr:rowOff>76200</xdr:rowOff>
    </xdr:from>
    <xdr:ext cx="2771775" cy="463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38400" y="3364230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209550</xdr:colOff>
      <xdr:row>35</xdr:row>
      <xdr:rowOff>76200</xdr:rowOff>
    </xdr:from>
    <xdr:ext cx="2771775" cy="463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𝑔𝐷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7191375" y="10991850"/>
              <a:ext cx="2771775" cy="463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800" b="0" i="0">
                  <a:latin typeface="Cambria Math" panose="02040503050406030204" pitchFamily="18" charset="0"/>
                </a:rPr>
                <a:t>4𝐿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𝜔〗^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3</xdr:col>
      <xdr:colOff>476250</xdr:colOff>
      <xdr:row>38</xdr:row>
      <xdr:rowOff>171450</xdr:rowOff>
    </xdr:from>
    <xdr:ext cx="2771775" cy="474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590800" y="118110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800" b="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𝑇𝑜𝑡</m:t>
                        </m:r>
                      </m:sub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  <m:r>
                          <a:rPr lang="en-US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  <m:sSub>
                          <m:sSubPr>
                            <m:ctrlP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</m:t>
                            </m:r>
                          </m:sub>
                        </m:sSub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𝜔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590800" y="11811000"/>
              <a:ext cx="2771775" cy="474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𝐼_𝑇𝑜𝑡^𝑃=(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_𝑇𝑜𝑡 𝑔𝑟_𝑇𝑜𝑡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𝜔^</a:t>
              </a:r>
              <a:r>
                <a:rPr lang="en-US" sz="1800" b="0" i="0">
                  <a:latin typeface="Cambria Math" panose="02040503050406030204" pitchFamily="18" charset="0"/>
                </a:rPr>
                <a:t>2 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7" workbookViewId="0">
      <selection activeCell="I43" sqref="I43"/>
    </sheetView>
  </sheetViews>
  <sheetFormatPr defaultColWidth="8.85546875" defaultRowHeight="15" x14ac:dyDescent="0.25"/>
  <cols>
    <col min="1" max="1" width="9.7109375" bestFit="1" customWidth="1"/>
    <col min="2" max="2" width="33.42578125" bestFit="1" customWidth="1"/>
    <col min="3" max="9" width="10.85546875" customWidth="1"/>
    <col min="10" max="10" width="27.28515625" customWidth="1"/>
  </cols>
  <sheetData>
    <row r="1" spans="1:10" ht="15.75" thickBot="1" x14ac:dyDescent="0.3">
      <c r="C1" s="4"/>
      <c r="D1" s="196" t="s">
        <v>116</v>
      </c>
      <c r="E1" s="197"/>
      <c r="F1" s="198"/>
      <c r="G1" s="196" t="s">
        <v>117</v>
      </c>
      <c r="H1" s="197"/>
      <c r="I1" s="198"/>
    </row>
    <row r="2" spans="1:10" ht="15.75" thickBot="1" x14ac:dyDescent="0.3">
      <c r="C2" s="36" t="s">
        <v>108</v>
      </c>
      <c r="D2" s="37" t="s">
        <v>69</v>
      </c>
      <c r="E2" s="35" t="s">
        <v>70</v>
      </c>
      <c r="F2" s="60" t="s">
        <v>76</v>
      </c>
      <c r="G2" s="37" t="s">
        <v>77</v>
      </c>
      <c r="H2" s="35" t="s">
        <v>78</v>
      </c>
      <c r="I2" s="60" t="s">
        <v>79</v>
      </c>
      <c r="J2" s="17" t="s">
        <v>37</v>
      </c>
    </row>
    <row r="3" spans="1:10" x14ac:dyDescent="0.25">
      <c r="A3" s="145">
        <v>42161</v>
      </c>
      <c r="B3" t="s">
        <v>42</v>
      </c>
      <c r="C3">
        <f>'Test Summary'!B18</f>
        <v>6269.81</v>
      </c>
      <c r="D3" s="146">
        <f>'Test Summary'!C18</f>
        <v>-23.225000000000001</v>
      </c>
      <c r="E3" s="146">
        <f>'Test Summary'!D18</f>
        <v>0</v>
      </c>
      <c r="F3" s="146">
        <f>'Test Summary'!E18</f>
        <v>-0.49249999999999994</v>
      </c>
      <c r="G3" s="147">
        <f>'Test Summary'!F18</f>
        <v>3.0977856600061244</v>
      </c>
      <c r="H3" s="147">
        <f>'Test Summary'!G18</f>
        <v>0.46361697672372681</v>
      </c>
      <c r="I3" s="147">
        <f>'Test Summary'!H18</f>
        <v>3.3146271438643926</v>
      </c>
      <c r="J3" t="s">
        <v>38</v>
      </c>
    </row>
    <row r="5" spans="1:10" x14ac:dyDescent="0.25">
      <c r="A5" s="145">
        <v>42161</v>
      </c>
      <c r="B5" t="s">
        <v>36</v>
      </c>
      <c r="C5">
        <f>-109.34</f>
        <v>-109.34</v>
      </c>
      <c r="D5" s="146">
        <f>'Components and Fixtures'!D17</f>
        <v>-4.62</v>
      </c>
      <c r="E5" s="146">
        <f>'Components and Fixtures'!E17</f>
        <v>0</v>
      </c>
      <c r="F5" s="146">
        <f>'Components and Fixtures'!F17</f>
        <v>-0.9</v>
      </c>
      <c r="G5">
        <v>0</v>
      </c>
      <c r="H5">
        <v>0</v>
      </c>
      <c r="I5">
        <v>0</v>
      </c>
      <c r="J5" t="s">
        <v>40</v>
      </c>
    </row>
    <row r="6" spans="1:10" x14ac:dyDescent="0.25">
      <c r="A6" s="145"/>
      <c r="B6" t="s">
        <v>41</v>
      </c>
      <c r="C6">
        <f>C3+C5</f>
        <v>6160.47</v>
      </c>
      <c r="D6" s="146">
        <f>(D3*$C3 + D5*$C5)/$C6</f>
        <v>-23.555213555134593</v>
      </c>
      <c r="E6" s="146">
        <f t="shared" ref="E6:F6" si="0">(E3*$C3 + E5*$C5)/$C6</f>
        <v>0</v>
      </c>
      <c r="F6" s="146">
        <f t="shared" si="0"/>
        <v>-0.48526742683593937</v>
      </c>
      <c r="G6" s="147">
        <f>(G3+($C3/1000)*(($E3*in2m-$E6*in2m)^2+($F3*in2m-$F6*in2m)^2)) + SIGN($C5)*((G5)+ABS($C5/1000)*(($E5*in2m-$E6*in2m)^2+($F5*in2m-$F6*in2m)^2))</f>
        <v>3.0977737381943125</v>
      </c>
      <c r="H6" s="147">
        <f>(H3+($C3/1000)*(($D3*in2m-$D6*in2m)^2+($F3*in2m-$F6*in2m)^2)) + SIGN($C5)*((H5)+ABS($C5/1000)*(($D5*in2m-$D6*in2m)^2+($F5*in2m-$F6*in2m)^2))</f>
        <v>0.43875391097981603</v>
      </c>
      <c r="I6" s="147">
        <f>(I3+($C3/1000)*(($D3*in2m-$D6*in2m)^2+($E3*in2m-$E6*in2m)^2)) + SIGN($C5)*((I5)+ABS($C5/1000)*(($D5*in2m-$D6*in2m)^2+($E5*in2m-$E6*in2m)^2))</f>
        <v>3.289775999932294</v>
      </c>
    </row>
    <row r="7" spans="1:10" x14ac:dyDescent="0.25">
      <c r="A7" s="145"/>
      <c r="D7" s="146"/>
      <c r="E7" s="146"/>
      <c r="F7" s="146"/>
    </row>
    <row r="8" spans="1:10" x14ac:dyDescent="0.25">
      <c r="A8" s="145">
        <v>42161</v>
      </c>
      <c r="B8" t="s">
        <v>45</v>
      </c>
      <c r="C8">
        <v>-104.4</v>
      </c>
      <c r="D8" s="146">
        <v>-9.0909999999999993</v>
      </c>
      <c r="E8" s="146">
        <v>0</v>
      </c>
      <c r="F8" s="146">
        <v>-1.9730000000000001</v>
      </c>
      <c r="G8" s="149">
        <v>3.1799999999999998E-4</v>
      </c>
      <c r="H8" s="149">
        <v>5.9639999999999997E-4</v>
      </c>
      <c r="I8" s="149">
        <v>8.8159999999999996E-4</v>
      </c>
    </row>
    <row r="9" spans="1:10" x14ac:dyDescent="0.25">
      <c r="A9" s="145"/>
      <c r="B9" t="s">
        <v>41</v>
      </c>
      <c r="C9">
        <f>C6+C8</f>
        <v>6056.0700000000006</v>
      </c>
      <c r="D9" s="146">
        <f>(D6*$C6 + D8*$C8)/$C9</f>
        <v>-23.804560721722172</v>
      </c>
      <c r="E9" s="146">
        <f t="shared" ref="E9" si="1">(E6*$C6 + E8*$C8)/$C9</f>
        <v>0</v>
      </c>
      <c r="F9" s="146">
        <f t="shared" ref="F9" si="2">(F6*$C6 + F8*$C8)/$C9</f>
        <v>-0.45962055012574149</v>
      </c>
      <c r="G9" s="147">
        <f>(G6+($C6/1000)*(($E6*in2m-$E9*in2m)^2+($F6*in2m-$F9*in2m)^2)) + SIGN($C8)*((G8)+ABS($C8/1000)*(($E8*in2m-$E9*in2m)^2+($F8*in2m-$F9*in2m)^2))</f>
        <v>3.097304088815362</v>
      </c>
      <c r="H9" s="147">
        <f>(H6+($C6/1000)*(($D6*in2m-$D9*in2m)^2+($F6*in2m-$F9*in2m)^2)) + SIGN($C8)*((H8)+ABS($C8/1000)*(($D8*in2m-$D9*in2m)^2+($F8*in2m-$F9*in2m)^2))</f>
        <v>0.42367142780846218</v>
      </c>
      <c r="I9" s="147">
        <f>(I6+($C6/1000)*(($D6*in2m-$D9*in2m)^2+($E6*in2m-$E9*in2m)^2)) + SIGN($C8)*((I8)+ABS($C8/1000)*(($D8*in2m-$D9*in2m)^2+($E8*in2m-$E9*in2m)^2))</f>
        <v>3.2745599661398908</v>
      </c>
    </row>
    <row r="10" spans="1:10" x14ac:dyDescent="0.25">
      <c r="A10" s="145"/>
      <c r="D10" s="146"/>
      <c r="E10" s="146"/>
      <c r="F10" s="146"/>
    </row>
    <row r="11" spans="1:10" x14ac:dyDescent="0.25">
      <c r="A11" s="145">
        <v>42166</v>
      </c>
      <c r="B11" t="s">
        <v>47</v>
      </c>
      <c r="C11">
        <f>23+8+16</f>
        <v>47</v>
      </c>
      <c r="D11" s="146">
        <f>-32.99 - 1</f>
        <v>-33.99</v>
      </c>
      <c r="E11" s="146">
        <v>0</v>
      </c>
      <c r="F11" s="146">
        <v>-1.24</v>
      </c>
      <c r="G11">
        <v>0</v>
      </c>
      <c r="H11">
        <v>0</v>
      </c>
      <c r="I11">
        <v>0</v>
      </c>
      <c r="J11" t="s">
        <v>40</v>
      </c>
    </row>
    <row r="12" spans="1:10" x14ac:dyDescent="0.25">
      <c r="A12" s="145"/>
      <c r="B12" t="s">
        <v>41</v>
      </c>
      <c r="C12">
        <f>C9+C11</f>
        <v>6103.0700000000006</v>
      </c>
      <c r="D12" s="146">
        <f>(D9*$C9 + D11*$C11)/$C12</f>
        <v>-23.882999220064654</v>
      </c>
      <c r="E12" s="146">
        <f t="shared" ref="E12" si="3">(E9*$C9 + E11*$C11)/$C12</f>
        <v>0</v>
      </c>
      <c r="F12" s="146">
        <f t="shared" ref="F12" si="4">(F9*$C9 + F11*$C11)/$C12</f>
        <v>-0.46563028524988231</v>
      </c>
      <c r="G12" s="147">
        <f>(G9+($C9/1000)*(($E9*in2m-$E12*in2m)^2+($F9*in2m-$F12*in2m)^2)) + SIGN($C11)*((G11)+ABS($C11/1000)*(($E11*in2m-$E12*in2m)^2+($F11*in2m-$F12*in2m)^2))</f>
        <v>3.0973224127812715</v>
      </c>
      <c r="H12" s="147">
        <f>(H9+($C9/1000)*(($D9*in2m-$D12*in2m)^2+($F9*in2m-$F12*in2m)^2)) + SIGN($C11)*((H11)+ABS($C11/1000)*(($D11*in2m-$D12*in2m)^2+($F11*in2m-$F12*in2m)^2))</f>
        <v>0.42681128063342277</v>
      </c>
      <c r="I12" s="147">
        <f>(I9+($C9/1000)*(($D9*in2m-$D12*in2m)^2+($E9*in2m-$E12*in2m)^2)) + SIGN($C11)*((I11)+ABS($C11/1000)*(($D11*in2m-$D12*in2m)^2+($E11*in2m-$E12*in2m)^2))</f>
        <v>3.2776814949989417</v>
      </c>
    </row>
    <row r="13" spans="1:10" x14ac:dyDescent="0.25">
      <c r="A13" s="145"/>
      <c r="D13" s="146"/>
      <c r="E13" s="146"/>
      <c r="F13" s="146"/>
    </row>
    <row r="14" spans="1:10" x14ac:dyDescent="0.25">
      <c r="A14" s="145">
        <v>42166</v>
      </c>
      <c r="B14" t="s">
        <v>44</v>
      </c>
      <c r="C14" s="148">
        <v>58</v>
      </c>
      <c r="D14" s="146">
        <f>D8</f>
        <v>-9.0909999999999993</v>
      </c>
      <c r="E14" s="146">
        <f>E8</f>
        <v>0</v>
      </c>
      <c r="F14" s="146">
        <f>F8</f>
        <v>-1.9730000000000001</v>
      </c>
      <c r="G14" s="149">
        <f>ABS($C14/$C8)*G8</f>
        <v>1.7666666666666666E-4</v>
      </c>
      <c r="H14" s="149">
        <f>ABS($C14/$C8)*H8</f>
        <v>3.3133333333333333E-4</v>
      </c>
      <c r="I14" s="149">
        <f>ABS($C14/$C8)*I8</f>
        <v>4.8977777777777778E-4</v>
      </c>
      <c r="J14" t="s">
        <v>46</v>
      </c>
    </row>
    <row r="15" spans="1:10" x14ac:dyDescent="0.25">
      <c r="A15" s="145"/>
      <c r="B15" t="s">
        <v>41</v>
      </c>
      <c r="C15">
        <f>C12+C14</f>
        <v>6161.0700000000006</v>
      </c>
      <c r="D15" s="146">
        <f>(D12*$C12 + D14*$C14)/$C15</f>
        <v>-23.74374809083487</v>
      </c>
      <c r="E15" s="146">
        <f t="shared" ref="E15" si="5">(E12*$C12 + E14*$C14)/$C15</f>
        <v>0</v>
      </c>
      <c r="F15" s="146">
        <f t="shared" ref="F15" si="6">(F12*$C12 + F14*$C14)/$C15</f>
        <v>-0.47982058717073489</v>
      </c>
      <c r="G15" s="147">
        <f>(G12+($C12/1000)*(($E12*in2m-$E15*in2m)^2+($F12*in2m-$F15*in2m)^2)) + SIGN($C14)*((G14)+ABS($C14/1000)*(($E14*in2m-$E15*in2m)^2+($F14*in2m-$F15*in2m)^2))</f>
        <v>3.0975833017689669</v>
      </c>
      <c r="H15" s="147">
        <f>(H12+($C12/1000)*(($D12*in2m-$D15*in2m)^2+($F12*in2m-$F15*in2m)^2)) + SIGN($C14)*((H14)+ABS($C14/1000)*(($D14*in2m-$D15*in2m)^2+($F14*in2m-$F15*in2m)^2))</f>
        <v>0.43533721969487132</v>
      </c>
      <c r="I15" s="147">
        <f>(I12+($C12/1000)*(($D12*in2m-$D15*in2m)^2+($E12*in2m-$E15*in2m)^2)) + SIGN($C14)*((I14)+ABS($C14/1000)*(($D14*in2m-$D15*in2m)^2+($E14*in2m-$E15*in2m)^2))</f>
        <v>3.2862816561838057</v>
      </c>
    </row>
    <row r="16" spans="1:10" x14ac:dyDescent="0.25">
      <c r="A16" s="145"/>
    </row>
    <row r="17" spans="1:10" x14ac:dyDescent="0.25">
      <c r="A17" s="145">
        <v>42170</v>
      </c>
      <c r="B17" t="s">
        <v>43</v>
      </c>
      <c r="C17" s="148">
        <v>165</v>
      </c>
      <c r="D17" s="146">
        <f>D5</f>
        <v>-4.62</v>
      </c>
      <c r="E17" s="146">
        <f t="shared" ref="E17:F17" si="7">E5</f>
        <v>0</v>
      </c>
      <c r="F17" s="146">
        <f t="shared" si="7"/>
        <v>-0.9</v>
      </c>
      <c r="G17">
        <v>0</v>
      </c>
      <c r="H17">
        <v>0</v>
      </c>
      <c r="I17">
        <v>0</v>
      </c>
      <c r="J17" t="s">
        <v>40</v>
      </c>
    </row>
    <row r="18" spans="1:10" x14ac:dyDescent="0.25">
      <c r="B18" t="s">
        <v>41</v>
      </c>
      <c r="C18">
        <f>C15+C17</f>
        <v>6326.0700000000006</v>
      </c>
      <c r="D18" s="146">
        <f>(D15*$C15 + D17*$C17)/$C18</f>
        <v>-23.244952087156793</v>
      </c>
      <c r="E18" s="146">
        <f t="shared" ref="E18" si="8">(E15*$C15 + E17*$C17)/$C18</f>
        <v>0</v>
      </c>
      <c r="F18" s="146">
        <f t="shared" ref="F18" si="9">(F15*$C15 + F17*$C17)/$C18</f>
        <v>-0.49077993525206004</v>
      </c>
      <c r="G18" s="147">
        <f>(G15+($C15/1000)*(($E15*in2m-$E18*in2m)^2+($F15*in2m-$F18*in2m)^2)) + SIGN($C17)*((G17)+ABS($C17/1000)*(($E17*in2m-$E18*in2m)^2+($F17*in2m-$F18*in2m)^2))</f>
        <v>3.0976016056450537</v>
      </c>
      <c r="H18" s="147">
        <f>(H15+($C15/1000)*(($D15*in2m-$D18*in2m)^2+($F15*in2m-$F18*in2m)^2)) + SIGN($C17)*((H17)+ABS($C17/1000)*(($D17*in2m-$D18*in2m)^2+($F17*in2m-$F18*in2m)^2))</f>
        <v>0.47327126526614754</v>
      </c>
      <c r="I18" s="147">
        <f>(I15+($C15/1000)*(($D15*in2m-$D18*in2m)^2+($E15*in2m-$E18*in2m)^2)) + SIGN($C17)*((I17)+ABS($C17/1000)*(($D17*in2m-$D18*in2m)^2+($E17*in2m-$E18*in2m)^2))</f>
        <v>3.3241973978789954</v>
      </c>
    </row>
    <row r="20" spans="1:10" x14ac:dyDescent="0.25">
      <c r="A20" s="145">
        <v>42170</v>
      </c>
      <c r="B20" t="s">
        <v>48</v>
      </c>
      <c r="C20" s="148">
        <v>-210.42</v>
      </c>
      <c r="D20" s="146">
        <v>-19.28</v>
      </c>
      <c r="E20" s="146">
        <v>0</v>
      </c>
      <c r="F20" s="146">
        <v>-0.85099999999999998</v>
      </c>
      <c r="G20">
        <v>0</v>
      </c>
      <c r="H20">
        <v>0</v>
      </c>
      <c r="I20">
        <v>0</v>
      </c>
      <c r="J20" t="s">
        <v>40</v>
      </c>
    </row>
    <row r="21" spans="1:10" x14ac:dyDescent="0.25">
      <c r="B21" t="s">
        <v>41</v>
      </c>
      <c r="C21">
        <f>C18+C20</f>
        <v>6115.6500000000005</v>
      </c>
      <c r="D21" s="146">
        <f>(D18*$C18 + D20*$C20)/$C21</f>
        <v>-23.381373435366637</v>
      </c>
      <c r="E21" s="146">
        <f t="shared" ref="E21:F21" si="10">(E18*$C18 + E20*$C20)/$C21</f>
        <v>0</v>
      </c>
      <c r="F21" s="146">
        <f t="shared" si="10"/>
        <v>-0.47838591237235611</v>
      </c>
      <c r="G21" s="147">
        <f>(G18+($C18/1000)*(($E18*in2m-$E21*in2m)^2+($F18*in2m-$F21*in2m)^2)) + SIGN($C20)*((G20)+ABS($C20/1000)*(($E20*in2m-$E21*in2m)^2+($F20*in2m-$F21*in2m)^2))</f>
        <v>3.0975833842501732</v>
      </c>
      <c r="H21" s="147">
        <f>(H18+($C18/1000)*(($D18*in2m-$D21*in2m)^2+($F18*in2m-$F21*in2m)^2)) + SIGN($C20)*((H20)+ABS($C20/1000)*(($D20*in2m-$D21*in2m)^2+($F20*in2m-$F21*in2m)^2))</f>
        <v>0.47104543715176045</v>
      </c>
      <c r="I21" s="147">
        <f>(I18+($C18/1000)*(($D18*in2m-$D21*in2m)^2+($E18*in2m-$E21*in2m)^2)) + SIGN($C20)*((I20)+ABS($C20/1000)*(($D20*in2m-$D21*in2m)^2+($E20*in2m-$E21*in2m)^2))</f>
        <v>3.3219897911594889</v>
      </c>
    </row>
    <row r="23" spans="1:10" x14ac:dyDescent="0.25">
      <c r="A23" s="145">
        <v>42170</v>
      </c>
      <c r="B23" t="s">
        <v>49</v>
      </c>
      <c r="C23" s="148">
        <v>546.64</v>
      </c>
      <c r="D23" s="146">
        <f>D20</f>
        <v>-19.28</v>
      </c>
      <c r="E23" s="146">
        <f>E20</f>
        <v>0</v>
      </c>
      <c r="F23" s="146">
        <f>F20</f>
        <v>-0.85099999999999998</v>
      </c>
      <c r="G23">
        <v>0</v>
      </c>
      <c r="H23">
        <v>0</v>
      </c>
      <c r="I23">
        <v>0</v>
      </c>
      <c r="J23" t="s">
        <v>40</v>
      </c>
    </row>
    <row r="24" spans="1:10" x14ac:dyDescent="0.25">
      <c r="B24" t="s">
        <v>41</v>
      </c>
      <c r="C24">
        <f>C21+C23</f>
        <v>6662.2900000000009</v>
      </c>
      <c r="D24" s="146">
        <f>(D21*$C21 + D23*$C23)/$C24</f>
        <v>-23.044856295658093</v>
      </c>
      <c r="E24" s="146">
        <f t="shared" ref="E24:F24" si="11">(E21*$C21 + E23*$C23)/$C24</f>
        <v>0</v>
      </c>
      <c r="F24" s="146">
        <f t="shared" si="11"/>
        <v>-0.50895884823386539</v>
      </c>
      <c r="G24" s="147">
        <f>(G21+($C21/1000)*(($E21*in2m-$E24*in2m)^2+($F21*in2m-$F24*in2m)^2)) + SIGN($C23)*((G23)+ABS($C23/1000)*(($E23*in2m-$E24*in2m)^2+($F23*in2m-$F24*in2m)^2))</f>
        <v>3.0976283318464786</v>
      </c>
      <c r="H24" s="147">
        <f>(H21+($C21/1000)*(($D21*in2m-$D24*in2m)^2+($F21*in2m-$F24*in2m)^2)) + SIGN($C23)*((H23)+ABS($C23/1000)*(($D23*in2m-$D24*in2m)^2+($F23*in2m-$F24*in2m)^2))</f>
        <v>0.47653599504731975</v>
      </c>
      <c r="I24" s="147">
        <f>(I21+($C21/1000)*(($D21*in2m-$D24*in2m)^2+($E21*in2m-$E24*in2m)^2)) + SIGN($C23)*((I23)+ABS($C23/1000)*(($D23*in2m-$D24*in2m)^2+($E23*in2m-$E24*in2m)^2))</f>
        <v>3.3274354014587431</v>
      </c>
    </row>
    <row r="26" spans="1:10" x14ac:dyDescent="0.25">
      <c r="A26" s="145">
        <v>42170</v>
      </c>
      <c r="B26" t="s">
        <v>36</v>
      </c>
      <c r="C26" s="148">
        <v>-165</v>
      </c>
      <c r="D26" s="146">
        <f>D17</f>
        <v>-4.62</v>
      </c>
      <c r="E26" s="146">
        <f t="shared" ref="E26:I26" si="12">E17</f>
        <v>0</v>
      </c>
      <c r="F26" s="146">
        <f t="shared" si="12"/>
        <v>-0.9</v>
      </c>
      <c r="G26" s="146">
        <f t="shared" si="12"/>
        <v>0</v>
      </c>
      <c r="H26" s="146">
        <f t="shared" si="12"/>
        <v>0</v>
      </c>
      <c r="I26" s="146">
        <f t="shared" si="12"/>
        <v>0</v>
      </c>
      <c r="J26" t="s">
        <v>40</v>
      </c>
    </row>
    <row r="27" spans="1:10" x14ac:dyDescent="0.25">
      <c r="B27" t="s">
        <v>41</v>
      </c>
      <c r="C27">
        <f>C24+C26</f>
        <v>6497.2900000000009</v>
      </c>
      <c r="D27" s="146">
        <f>(D24*$C24 + D26*$C26)/$C27</f>
        <v>-23.512759265786194</v>
      </c>
      <c r="E27" s="146">
        <f t="shared" ref="E27:F27" si="13">(E24*$C24 + E26*$C26)/$C27</f>
        <v>0</v>
      </c>
      <c r="F27" s="146">
        <f t="shared" si="13"/>
        <v>-0.49902827871312483</v>
      </c>
      <c r="G27" s="147">
        <f>(G24+($C24/1000)*(($E24*in2m-$E27*in2m)^2+($F24*in2m-$F27*in2m)^2)) + SIGN($C26)*((G26)+ABS($C26/1000)*(($E26*in2m-$E27*in2m)^2+($F26*in2m-$F27*in2m)^2))</f>
        <v>3.0976116406455296</v>
      </c>
      <c r="H27" s="147">
        <f>(H24+($C24/1000)*(($D24*in2m-$D27*in2m)^2+($F24*in2m-$F27*in2m)^2)) + SIGN($C26)*((H26)+ABS($C26/1000)*(($D26*in2m-$D27*in2m)^2+($F26*in2m-$F27*in2m)^2))</f>
        <v>0.43946395744586064</v>
      </c>
      <c r="I27" s="147">
        <f>(I24+($C24/1000)*(($D24*in2m-$D27*in2m)^2+($E24*in2m-$E27*in2m)^2)) + SIGN($C26)*((I26)+ABS($C26/1000)*(($D26*in2m-$D27*in2m)^2+($E26*in2m-$E27*in2m)^2))</f>
        <v>3.2903800550582329</v>
      </c>
    </row>
    <row r="29" spans="1:10" x14ac:dyDescent="0.25">
      <c r="A29" s="145">
        <v>42177</v>
      </c>
      <c r="B29" t="s">
        <v>61</v>
      </c>
      <c r="C29" s="148">
        <v>-55</v>
      </c>
      <c r="D29" s="146">
        <v>-14.5</v>
      </c>
      <c r="E29" s="146">
        <v>-1.5</v>
      </c>
      <c r="F29" s="195">
        <v>-1.5</v>
      </c>
      <c r="G29" s="146">
        <f t="shared" ref="G29:I29" si="14">G20</f>
        <v>0</v>
      </c>
      <c r="H29" s="146">
        <f t="shared" si="14"/>
        <v>0</v>
      </c>
      <c r="I29" s="146">
        <f t="shared" si="14"/>
        <v>0</v>
      </c>
      <c r="J29" t="s">
        <v>40</v>
      </c>
    </row>
    <row r="30" spans="1:10" x14ac:dyDescent="0.25">
      <c r="B30" t="s">
        <v>41</v>
      </c>
      <c r="C30">
        <f>C27+C29</f>
        <v>6442.2900000000009</v>
      </c>
      <c r="D30" s="146">
        <f>(D27*$C27 + D29*$C29)/$C30</f>
        <v>-23.589704227844443</v>
      </c>
      <c r="E30" s="146">
        <f t="shared" ref="E30:F30" si="15">(E27*$C27 + E29*$C29)/$C30</f>
        <v>1.2806005317984752E-2</v>
      </c>
      <c r="F30" s="146">
        <f t="shared" si="15"/>
        <v>-0.49048264592249013</v>
      </c>
      <c r="G30" s="147">
        <f>(G27+($C27/1000)*(($E27*in2m-$E30*in2m)^2+($F27*in2m-$F30*in2m)^2)) + SIGN($C29)*((G29)+ABS($C29/1000)*(($E29*in2m-$E30*in2m)^2+($F29*in2m-$F30*in2m)^2))</f>
        <v>3.0974952641665183</v>
      </c>
      <c r="H30" s="147">
        <f>(H27+($C27/1000)*(($D27*in2m-$D30*in2m)^2+($F27*in2m-$F30*in2m)^2)) + SIGN($C29)*((H29)+ABS($C29/1000)*(($D29*in2m-$D30*in2m)^2+($F29*in2m-$F30*in2m)^2))</f>
        <v>0.43652115056506763</v>
      </c>
      <c r="I30" s="147">
        <f>(I27+($C27/1000)*(($D27*in2m-$D30*in2m)^2+($E27*in2m-$E30*in2m)^2)) + SIGN($C29)*((I29)+ABS($C29/1000)*(($D29*in2m-$D30*in2m)^2+($E29*in2m-$E30*in2m)^2))</f>
        <v>3.2873925843392571</v>
      </c>
    </row>
    <row r="32" spans="1:10" x14ac:dyDescent="0.25">
      <c r="A32" s="145">
        <v>42177</v>
      </c>
      <c r="B32" t="s">
        <v>61</v>
      </c>
      <c r="C32" s="148">
        <v>55</v>
      </c>
      <c r="D32" s="146">
        <v>-22.5</v>
      </c>
      <c r="E32" s="146">
        <v>-5.5</v>
      </c>
      <c r="F32" s="195">
        <v>-1.25</v>
      </c>
      <c r="G32" s="146">
        <f t="shared" ref="G32:I32" si="16">G23</f>
        <v>0</v>
      </c>
      <c r="H32" s="146">
        <f t="shared" si="16"/>
        <v>0</v>
      </c>
      <c r="I32" s="146">
        <f t="shared" si="16"/>
        <v>0</v>
      </c>
      <c r="J32" t="s">
        <v>40</v>
      </c>
    </row>
    <row r="33" spans="1:10" x14ac:dyDescent="0.25">
      <c r="B33" t="s">
        <v>41</v>
      </c>
      <c r="C33">
        <f>C30+C32</f>
        <v>6497.2900000000009</v>
      </c>
      <c r="D33" s="146">
        <f>(D30*$C30 + D32*$C32)/$C33</f>
        <v>-23.580479807735223</v>
      </c>
      <c r="E33" s="146">
        <f t="shared" ref="E33:F33" si="17">(E30*$C30 + E32*$C32)/$C33</f>
        <v>-3.3860270974513988E-2</v>
      </c>
      <c r="F33" s="146">
        <f t="shared" si="17"/>
        <v>-0.49691201177721772</v>
      </c>
      <c r="G33" s="147">
        <f>(G30+($C30/1000)*(($E30*in2m-$E33*in2m)^2+($F30*in2m-$F33*in2m)^2)) + SIGN($C32)*((G32)+ABS($C32/1000)*(($E32*in2m-$E33*in2m)^2+($F32*in2m-$F33*in2m)^2))</f>
        <v>3.0985848209052169</v>
      </c>
      <c r="H33" s="147">
        <f>(H30+($C30/1000)*(($D30*in2m-$D33*in2m)^2+($F30*in2m-$F33*in2m)^2)) + SIGN($C32)*((H32)+ABS($C32/1000)*(($D32*in2m-$D33*in2m)^2+($F32*in2m-$F33*in2m)^2))</f>
        <v>0.43658322545678441</v>
      </c>
      <c r="I33" s="147">
        <f>(I30+($C30/1000)*(($D30*in2m-$D33*in2m)^2+($E30*in2m-$E33*in2m)^2)) + SIGN($C32)*((I32)+ABS($C32/1000)*(($D32*in2m-$D33*in2m)^2+($E32*in2m-$E33*in2m)^2))</f>
        <v>3.2885036236808043</v>
      </c>
      <c r="J33" t="s">
        <v>39</v>
      </c>
    </row>
    <row r="35" spans="1:10" x14ac:dyDescent="0.25">
      <c r="A35" s="145">
        <v>42186</v>
      </c>
      <c r="B35" t="s">
        <v>147</v>
      </c>
      <c r="C35">
        <v>68.02</v>
      </c>
      <c r="D35">
        <v>-22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148</v>
      </c>
    </row>
    <row r="36" spans="1:10" x14ac:dyDescent="0.25">
      <c r="B36" t="s">
        <v>41</v>
      </c>
      <c r="C36">
        <f>C33+C35</f>
        <v>6565.3100000000013</v>
      </c>
      <c r="D36" s="146">
        <f>(D33*$C33 + D35*$C35)/$C36</f>
        <v>-23.564105221230982</v>
      </c>
      <c r="E36" s="146">
        <f t="shared" ref="E36:F36" si="18">(E33*$C33 + E35*$C35)/$C36</f>
        <v>-3.3509461091707778E-2</v>
      </c>
      <c r="F36" s="146">
        <f t="shared" si="18"/>
        <v>-0.49176374687562335</v>
      </c>
      <c r="G36" s="147">
        <f>(G33+($C33/1000)*(($E33*in2m-$E36*in2m)^2+($F33*in2m-$F36*in2m)^2)) + SIGN($C35)*((G35)+ABS($C35/1000)*(($E35*in2m-$E36*in2m)^2+($F35*in2m-$F36*in2m)^2))</f>
        <v>3.0985955942841277</v>
      </c>
      <c r="H36" s="147">
        <f>(H33+($C33/1000)*(($D33*in2m-$D36*in2m)^2+($F33*in2m-$F36*in2m)^2)) + SIGN($C35)*((H35)+ABS($C35/1000)*(($D35*in2m-$D36*in2m)^2+($F35*in2m-$F36*in2m)^2))</f>
        <v>0.43670243136687792</v>
      </c>
      <c r="I36" s="147">
        <f>(I33+($C33/1000)*(($D33*in2m-$D36*in2m)^2+($E33*in2m-$E36*in2m)^2)) + SIGN($C35)*((I35)+ABS($C35/1000)*(($D35*in2m-$D36*in2m)^2+($E35*in2m-$E36*in2m)^2))</f>
        <v>3.2886121557965287</v>
      </c>
    </row>
    <row r="38" spans="1:10" x14ac:dyDescent="0.25">
      <c r="A38" s="145">
        <v>42186</v>
      </c>
      <c r="B38" t="s">
        <v>43</v>
      </c>
      <c r="C38">
        <v>119.55</v>
      </c>
      <c r="D38">
        <v>-4.62</v>
      </c>
      <c r="E38">
        <v>0</v>
      </c>
      <c r="F38">
        <v>-0.9</v>
      </c>
      <c r="G38">
        <v>0</v>
      </c>
      <c r="H38">
        <v>0</v>
      </c>
      <c r="I38">
        <v>0</v>
      </c>
      <c r="J38" t="s">
        <v>40</v>
      </c>
    </row>
    <row r="39" spans="1:10" x14ac:dyDescent="0.25">
      <c r="B39" t="s">
        <v>41</v>
      </c>
      <c r="C39">
        <f>C36+C38</f>
        <v>6684.8600000000015</v>
      </c>
      <c r="D39" s="146">
        <f>(D36*$C36 + D38*$C38)/$C39</f>
        <v>-23.225314613918609</v>
      </c>
      <c r="E39" s="146">
        <f t="shared" ref="E39:F39" si="19">(E36*$C36 + E38*$C38)/$C39</f>
        <v>-3.2910188096684147E-2</v>
      </c>
      <c r="F39" s="146">
        <f t="shared" si="19"/>
        <v>-0.49906451967580451</v>
      </c>
      <c r="G39" s="147">
        <f>(G36+($C36/1000)*(($E36*in2m-$E39*in2m)^2+($F36*in2m-$F39*in2m)^2)) + SIGN($C38)*((G38)+ABS($C38/1000)*(($E38*in2m-$E39*in2m)^2+($F38*in2m-$F39*in2m)^2))</f>
        <v>3.0986083035190108</v>
      </c>
      <c r="H39" s="147">
        <f>(H36+($C36/1000)*(($D36*in2m-$D39*in2m)^2+($F36*in2m-$F39*in2m)^2)) + SIGN($C38)*((H38)+ABS($C38/1000)*(($D38*in2m-$D39*in2m)^2+($F38*in2m-$F39*in2m)^2))</f>
        <v>0.46389997992190185</v>
      </c>
      <c r="I39" s="147">
        <f>(I36+($C36/1000)*(($D36*in2m-$D39*in2m)^2+($E36*in2m-$E39*in2m)^2)) + SIGN($C38)*((I38)+ABS($C38/1000)*(($D38*in2m-$D39*in2m)^2+($E38*in2m-$E39*in2m)^2))</f>
        <v>3.3157971652325342</v>
      </c>
      <c r="J39" t="s">
        <v>150</v>
      </c>
    </row>
    <row r="40" spans="1:10" x14ac:dyDescent="0.25">
      <c r="C40" s="225">
        <f>C39/1000*2.20462</f>
        <v>14.737576053200002</v>
      </c>
      <c r="D40" t="s">
        <v>34</v>
      </c>
    </row>
    <row r="42" spans="1:10" x14ac:dyDescent="0.25">
      <c r="C42" s="226"/>
      <c r="G42" s="226"/>
      <c r="H42" s="226"/>
      <c r="I42" s="226"/>
    </row>
  </sheetData>
  <mergeCells count="2">
    <mergeCell ref="D1:F1"/>
    <mergeCell ref="G1:I1"/>
  </mergeCells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opLeftCell="A16" workbookViewId="0">
      <selection activeCell="C40" sqref="B40:C40"/>
    </sheetView>
  </sheetViews>
  <sheetFormatPr defaultColWidth="8.85546875" defaultRowHeight="15" x14ac:dyDescent="0.25"/>
  <cols>
    <col min="1" max="1" width="17.85546875" customWidth="1"/>
    <col min="2" max="8" width="12" customWidth="1"/>
  </cols>
  <sheetData>
    <row r="2" spans="1:10" x14ac:dyDescent="0.25">
      <c r="J2">
        <v>3417.1718982090001</v>
      </c>
    </row>
    <row r="3" spans="1:10" ht="15.75" thickBot="1" x14ac:dyDescent="0.3">
      <c r="A3" s="220" t="s">
        <v>140</v>
      </c>
    </row>
    <row r="4" spans="1:10" ht="15.75" thickBot="1" x14ac:dyDescent="0.3">
      <c r="A4" s="39" t="s">
        <v>35</v>
      </c>
      <c r="B4" s="4"/>
      <c r="C4" s="196" t="s">
        <v>116</v>
      </c>
      <c r="D4" s="197"/>
      <c r="E4" s="198"/>
      <c r="F4" s="196" t="s">
        <v>117</v>
      </c>
      <c r="G4" s="197"/>
      <c r="H4" s="198"/>
    </row>
    <row r="5" spans="1:10" ht="15.75" thickBot="1" x14ac:dyDescent="0.3">
      <c r="A5" s="76"/>
      <c r="B5" s="36" t="s">
        <v>108</v>
      </c>
      <c r="C5" s="19" t="s">
        <v>69</v>
      </c>
      <c r="D5" s="14" t="s">
        <v>70</v>
      </c>
      <c r="E5" s="20" t="s">
        <v>76</v>
      </c>
      <c r="F5" s="19" t="s">
        <v>77</v>
      </c>
      <c r="G5" s="14" t="s">
        <v>78</v>
      </c>
      <c r="H5" s="20" t="s">
        <v>79</v>
      </c>
    </row>
    <row r="6" spans="1:10" x14ac:dyDescent="0.25">
      <c r="A6" s="118" t="s">
        <v>31</v>
      </c>
      <c r="B6" s="123">
        <f>'Components and Fixtures'!C16</f>
        <v>3169.45</v>
      </c>
      <c r="C6" s="124">
        <f>'Components and Fixtures'!D16</f>
        <v>-18.55</v>
      </c>
      <c r="D6" s="125">
        <f>'Components and Fixtures'!E16</f>
        <v>0</v>
      </c>
      <c r="E6" s="126">
        <f>'Components and Fixtures'!F16</f>
        <v>0.29000000000000004</v>
      </c>
      <c r="F6" s="127">
        <f>'Centerbody Test'!AA44</f>
        <v>1.5280065868500196E-2</v>
      </c>
      <c r="G6" s="127">
        <f>'Centerbody Test'!K47</f>
        <v>0.13457839359793833</v>
      </c>
      <c r="H6" s="128" t="s">
        <v>103</v>
      </c>
    </row>
    <row r="7" spans="1:10" x14ac:dyDescent="0.25">
      <c r="A7" s="77" t="s">
        <v>26</v>
      </c>
      <c r="B7" s="129" t="str">
        <f>'Components and Fixtures'!C17</f>
        <v>[109.34]</v>
      </c>
      <c r="C7" s="130">
        <f>'Components and Fixtures'!D17</f>
        <v>-4.62</v>
      </c>
      <c r="D7" s="131">
        <f>'Components and Fixtures'!E17</f>
        <v>0</v>
      </c>
      <c r="E7" s="132">
        <f>'Components and Fixtures'!F17</f>
        <v>-0.9</v>
      </c>
      <c r="F7" s="215"/>
      <c r="G7" s="215"/>
      <c r="H7" s="216"/>
    </row>
    <row r="8" spans="1:10" x14ac:dyDescent="0.25">
      <c r="A8" s="77" t="s">
        <v>142</v>
      </c>
      <c r="B8" s="129" t="s">
        <v>145</v>
      </c>
      <c r="C8" s="130">
        <f>'Components and Fixtures'!D17</f>
        <v>-4.62</v>
      </c>
      <c r="D8" s="131">
        <f>'Components and Fixtures'!E17</f>
        <v>0</v>
      </c>
      <c r="E8" s="132">
        <f>'Components and Fixtures'!F17</f>
        <v>-0.9</v>
      </c>
      <c r="F8" s="215"/>
      <c r="G8" s="215"/>
      <c r="H8" s="216"/>
    </row>
    <row r="9" spans="1:10" x14ac:dyDescent="0.25">
      <c r="A9" s="77" t="s">
        <v>143</v>
      </c>
      <c r="B9" s="129" t="s">
        <v>144</v>
      </c>
      <c r="C9" s="130">
        <v>-19.28</v>
      </c>
      <c r="D9" s="131">
        <v>0</v>
      </c>
      <c r="E9" s="132">
        <v>-0.85099999999999998</v>
      </c>
      <c r="F9" s="215"/>
      <c r="G9" s="215"/>
      <c r="H9" s="216"/>
    </row>
    <row r="10" spans="1:10" x14ac:dyDescent="0.25">
      <c r="A10" s="77" t="s">
        <v>136</v>
      </c>
      <c r="B10" s="129" t="s">
        <v>138</v>
      </c>
      <c r="C10" s="130"/>
      <c r="D10" s="131"/>
      <c r="E10" s="132"/>
      <c r="F10" s="215"/>
      <c r="G10" s="215"/>
      <c r="H10" s="216"/>
    </row>
    <row r="11" spans="1:10" x14ac:dyDescent="0.25">
      <c r="A11" s="77" t="s">
        <v>137</v>
      </c>
      <c r="B11" s="129" t="s">
        <v>139</v>
      </c>
      <c r="C11" s="130"/>
      <c r="D11" s="131"/>
      <c r="E11" s="132"/>
      <c r="F11" s="215"/>
      <c r="G11" s="215"/>
      <c r="H11" s="216"/>
    </row>
    <row r="12" spans="1:10" x14ac:dyDescent="0.25">
      <c r="A12" s="77" t="s">
        <v>21</v>
      </c>
      <c r="B12" s="129">
        <f>'Components and Fixtures'!C18</f>
        <v>1407.45</v>
      </c>
      <c r="C12" s="130">
        <f>'Components and Fixtures'!D18</f>
        <v>-28.265099212856772</v>
      </c>
      <c r="D12" s="131">
        <f>'Components and Fixtures'!E18</f>
        <v>-31.416080260883309</v>
      </c>
      <c r="E12" s="132" t="s">
        <v>103</v>
      </c>
      <c r="F12" s="133"/>
      <c r="G12" s="133"/>
      <c r="H12" s="134"/>
    </row>
    <row r="13" spans="1:10" x14ac:dyDescent="0.25">
      <c r="A13" s="77" t="s">
        <v>22</v>
      </c>
      <c r="B13" s="129">
        <f>'Components and Fixtures'!C19</f>
        <v>1432.8</v>
      </c>
      <c r="C13" s="130">
        <f>'Components and Fixtures'!D19</f>
        <v>-28.405576685387736</v>
      </c>
      <c r="D13" s="131">
        <f>'Components and Fixtures'!E19</f>
        <v>31.763774206345854</v>
      </c>
      <c r="E13" s="132" t="s">
        <v>103</v>
      </c>
      <c r="F13" s="133"/>
      <c r="G13" s="133"/>
      <c r="H13" s="134"/>
    </row>
    <row r="14" spans="1:10" x14ac:dyDescent="0.25">
      <c r="A14" s="77" t="s">
        <v>23</v>
      </c>
      <c r="B14" s="129">
        <f>'Components and Fixtures'!C20</f>
        <v>95.85</v>
      </c>
      <c r="C14" s="130">
        <f>'Components and Fixtures'!D20</f>
        <v>-42.45</v>
      </c>
      <c r="D14" s="131">
        <f>'Components and Fixtures'!E20</f>
        <v>-60.25</v>
      </c>
      <c r="E14" s="132">
        <f>'Components and Fixtures'!F20</f>
        <v>-0.2122</v>
      </c>
      <c r="F14" s="133"/>
      <c r="G14" s="133"/>
      <c r="H14" s="134"/>
    </row>
    <row r="15" spans="1:10" x14ac:dyDescent="0.25">
      <c r="A15" s="77" t="s">
        <v>24</v>
      </c>
      <c r="B15" s="129">
        <f>'Components and Fixtures'!C21</f>
        <v>96.45</v>
      </c>
      <c r="C15" s="130">
        <f>'Components and Fixtures'!D21</f>
        <v>-42.45</v>
      </c>
      <c r="D15" s="131">
        <f>'Components and Fixtures'!E21</f>
        <v>60.25</v>
      </c>
      <c r="E15" s="132">
        <f>'Components and Fixtures'!F21</f>
        <v>-0.2122</v>
      </c>
      <c r="F15" s="133"/>
      <c r="G15" s="133"/>
      <c r="H15" s="134"/>
    </row>
    <row r="16" spans="1:10" x14ac:dyDescent="0.25">
      <c r="A16" s="77" t="s">
        <v>25</v>
      </c>
      <c r="B16" s="129">
        <f>'Components and Fixtures'!C22</f>
        <v>67.81</v>
      </c>
      <c r="C16" s="130">
        <f>'Components and Fixtures'!D22</f>
        <v>-20.216666666666665</v>
      </c>
      <c r="D16" s="131">
        <f>'Components and Fixtures'!E22</f>
        <v>0</v>
      </c>
      <c r="E16" s="132">
        <f>'Components and Fixtures'!F22</f>
        <v>-0.15666666666666659</v>
      </c>
      <c r="F16" s="133"/>
      <c r="G16" s="133"/>
      <c r="H16" s="134"/>
    </row>
    <row r="17" spans="1:13" ht="15.75" thickBot="1" x14ac:dyDescent="0.3">
      <c r="A17" s="77"/>
      <c r="B17" s="129"/>
      <c r="C17" s="222"/>
      <c r="D17" s="223"/>
      <c r="E17" s="224"/>
      <c r="F17" s="133"/>
      <c r="G17" s="133"/>
      <c r="H17" s="134"/>
    </row>
    <row r="18" spans="1:13" ht="15.75" thickBot="1" x14ac:dyDescent="0.3">
      <c r="A18" s="122" t="s">
        <v>81</v>
      </c>
      <c r="B18" s="135">
        <f>SUM(B6:B17)</f>
        <v>6269.81</v>
      </c>
      <c r="C18" s="136">
        <f>'Components and Fixtures'!D24</f>
        <v>-23.225000000000001</v>
      </c>
      <c r="D18" s="137">
        <f>'Components and Fixtures'!E24</f>
        <v>0</v>
      </c>
      <c r="E18" s="138">
        <f>'Components and Fixtures'!F24</f>
        <v>-0.49249999999999994</v>
      </c>
      <c r="F18" s="139">
        <f>'Aircraft Test'!S41</f>
        <v>3.0977856600061244</v>
      </c>
      <c r="G18" s="139">
        <f>'Aircraft Test'!C47</f>
        <v>0.46361697672372681</v>
      </c>
      <c r="H18" s="140">
        <f>'Aircraft Test'!K41</f>
        <v>3.3146271438643926</v>
      </c>
    </row>
    <row r="19" spans="1:13" ht="15.75" thickBot="1" x14ac:dyDescent="0.3">
      <c r="B19" s="219"/>
    </row>
    <row r="20" spans="1:13" ht="15.75" thickBot="1" x14ac:dyDescent="0.3">
      <c r="A20" s="26" t="s">
        <v>81</v>
      </c>
      <c r="B20" s="144">
        <f>B18/1000*2.20462</f>
        <v>13.8225485222</v>
      </c>
      <c r="F20" s="141">
        <f>F18*$J$2</f>
        <v>10585.666104047748</v>
      </c>
      <c r="G20" s="142">
        <f>G18*$J$2</f>
        <v>1584.2589043929354</v>
      </c>
      <c r="H20" s="143">
        <f>H18*$J$2</f>
        <v>11326.650729054163</v>
      </c>
    </row>
    <row r="21" spans="1:13" x14ac:dyDescent="0.25">
      <c r="B21" t="s">
        <v>34</v>
      </c>
      <c r="F21" t="s">
        <v>33</v>
      </c>
      <c r="G21" t="s">
        <v>33</v>
      </c>
      <c r="H21" t="s">
        <v>33</v>
      </c>
    </row>
    <row r="23" spans="1:13" ht="15.75" thickBot="1" x14ac:dyDescent="0.3">
      <c r="A23" s="220" t="s">
        <v>149</v>
      </c>
    </row>
    <row r="24" spans="1:13" ht="15.75" thickBot="1" x14ac:dyDescent="0.3">
      <c r="A24" s="39" t="s">
        <v>35</v>
      </c>
      <c r="B24" s="4"/>
      <c r="C24" s="196" t="s">
        <v>116</v>
      </c>
      <c r="D24" s="197"/>
      <c r="E24" s="198"/>
      <c r="F24" s="196" t="s">
        <v>117</v>
      </c>
      <c r="G24" s="197"/>
      <c r="H24" s="198"/>
    </row>
    <row r="25" spans="1:13" ht="15.75" thickBot="1" x14ac:dyDescent="0.3">
      <c r="A25" s="76"/>
      <c r="B25" s="36" t="s">
        <v>108</v>
      </c>
      <c r="C25" s="192" t="s">
        <v>69</v>
      </c>
      <c r="D25" s="193" t="s">
        <v>70</v>
      </c>
      <c r="E25" s="194" t="s">
        <v>76</v>
      </c>
      <c r="F25" s="192" t="s">
        <v>77</v>
      </c>
      <c r="G25" s="193" t="s">
        <v>78</v>
      </c>
      <c r="H25" s="194" t="s">
        <v>79</v>
      </c>
    </row>
    <row r="26" spans="1:13" x14ac:dyDescent="0.25">
      <c r="A26" s="118" t="s">
        <v>31</v>
      </c>
      <c r="B26" s="217">
        <v>3529.28</v>
      </c>
      <c r="C26" s="221">
        <f>C6</f>
        <v>-18.55</v>
      </c>
      <c r="D26" s="125">
        <f>D6</f>
        <v>0</v>
      </c>
      <c r="E26" s="126">
        <f>E6</f>
        <v>0.29000000000000004</v>
      </c>
      <c r="F26" s="127">
        <f>F6</f>
        <v>1.5280065868500196E-2</v>
      </c>
      <c r="G26" s="127">
        <f>G6</f>
        <v>0.13457839359793833</v>
      </c>
      <c r="H26" s="128" t="str">
        <f>H6</f>
        <v>N/A</v>
      </c>
    </row>
    <row r="27" spans="1:13" x14ac:dyDescent="0.25">
      <c r="A27" s="77" t="s">
        <v>26</v>
      </c>
      <c r="B27" s="218" t="s">
        <v>141</v>
      </c>
      <c r="C27" s="130">
        <f>'Components and Fixtures'!D17</f>
        <v>-4.62</v>
      </c>
      <c r="D27" s="131">
        <f>'Components and Fixtures'!E17</f>
        <v>0</v>
      </c>
      <c r="E27" s="132">
        <f>'Components and Fixtures'!F17</f>
        <v>-0.9</v>
      </c>
      <c r="F27" s="215"/>
      <c r="G27" s="215"/>
      <c r="H27" s="216"/>
    </row>
    <row r="28" spans="1:13" x14ac:dyDescent="0.25">
      <c r="A28" s="77" t="s">
        <v>142</v>
      </c>
      <c r="B28" s="129" t="s">
        <v>145</v>
      </c>
      <c r="C28" s="130">
        <f>'Components and Fixtures'!D17</f>
        <v>-4.62</v>
      </c>
      <c r="D28" s="131">
        <f>'Components and Fixtures'!E17</f>
        <v>0</v>
      </c>
      <c r="E28" s="132">
        <f>'Components and Fixtures'!F17</f>
        <v>-0.9</v>
      </c>
      <c r="F28" s="215"/>
      <c r="G28" s="215"/>
      <c r="H28" s="216"/>
    </row>
    <row r="29" spans="1:13" x14ac:dyDescent="0.25">
      <c r="A29" s="77" t="s">
        <v>143</v>
      </c>
      <c r="B29" s="129" t="s">
        <v>146</v>
      </c>
      <c r="C29" s="130">
        <v>-19.28</v>
      </c>
      <c r="D29" s="131">
        <f>'Components and Fixtures'!E17</f>
        <v>0</v>
      </c>
      <c r="E29" s="132">
        <v>-0.85099999999999998</v>
      </c>
      <c r="F29" s="215"/>
      <c r="G29" s="215"/>
      <c r="H29" s="216"/>
    </row>
    <row r="30" spans="1:13" x14ac:dyDescent="0.25">
      <c r="A30" s="77" t="s">
        <v>136</v>
      </c>
      <c r="B30" s="129" t="str">
        <f>B10</f>
        <v>[57.13]</v>
      </c>
      <c r="C30" s="130"/>
      <c r="D30" s="131"/>
      <c r="E30" s="132"/>
      <c r="F30" s="215"/>
      <c r="G30" s="215"/>
      <c r="H30" s="216"/>
    </row>
    <row r="31" spans="1:13" x14ac:dyDescent="0.25">
      <c r="A31" s="77" t="s">
        <v>137</v>
      </c>
      <c r="B31" s="129" t="s">
        <v>139</v>
      </c>
      <c r="C31" s="130"/>
      <c r="D31" s="131"/>
      <c r="E31" s="132"/>
      <c r="F31" s="215"/>
      <c r="G31" s="215"/>
      <c r="H31" s="216"/>
    </row>
    <row r="32" spans="1:13" x14ac:dyDescent="0.25">
      <c r="A32" s="77" t="s">
        <v>21</v>
      </c>
      <c r="B32" s="218">
        <v>1442.64</v>
      </c>
      <c r="C32" s="130">
        <f t="shared" ref="C32:E32" si="0">C12</f>
        <v>-28.265099212856772</v>
      </c>
      <c r="D32" s="131">
        <f t="shared" si="0"/>
        <v>-31.416080260883309</v>
      </c>
      <c r="E32" s="132" t="str">
        <f t="shared" si="0"/>
        <v>N/A</v>
      </c>
      <c r="F32" s="133"/>
      <c r="G32" s="133"/>
      <c r="H32" s="134"/>
      <c r="M32" s="219"/>
    </row>
    <row r="33" spans="1:13" x14ac:dyDescent="0.25">
      <c r="A33" s="77" t="s">
        <v>22</v>
      </c>
      <c r="B33" s="218">
        <v>1452.83</v>
      </c>
      <c r="C33" s="130">
        <f t="shared" ref="C33:E33" si="1">C13</f>
        <v>-28.405576685387736</v>
      </c>
      <c r="D33" s="131">
        <f t="shared" si="1"/>
        <v>31.763774206345854</v>
      </c>
      <c r="E33" s="132" t="str">
        <f t="shared" si="1"/>
        <v>N/A</v>
      </c>
      <c r="F33" s="133"/>
      <c r="G33" s="133"/>
      <c r="H33" s="134"/>
      <c r="M33" s="219"/>
    </row>
    <row r="34" spans="1:13" x14ac:dyDescent="0.25">
      <c r="A34" s="77" t="s">
        <v>23</v>
      </c>
      <c r="B34" s="129">
        <f>B14</f>
        <v>95.85</v>
      </c>
      <c r="C34" s="130">
        <f t="shared" ref="C34:E34" si="2">C14</f>
        <v>-42.45</v>
      </c>
      <c r="D34" s="131">
        <f t="shared" si="2"/>
        <v>-60.25</v>
      </c>
      <c r="E34" s="132">
        <f t="shared" si="2"/>
        <v>-0.2122</v>
      </c>
      <c r="F34" s="133"/>
      <c r="G34" s="133"/>
      <c r="H34" s="134"/>
    </row>
    <row r="35" spans="1:13" x14ac:dyDescent="0.25">
      <c r="A35" s="77" t="s">
        <v>24</v>
      </c>
      <c r="B35" s="129">
        <f t="shared" ref="B35:B36" si="3">B15</f>
        <v>96.45</v>
      </c>
      <c r="C35" s="130">
        <f t="shared" ref="C35:E36" si="4">C15</f>
        <v>-42.45</v>
      </c>
      <c r="D35" s="131">
        <f t="shared" si="4"/>
        <v>60.25</v>
      </c>
      <c r="E35" s="132">
        <f t="shared" si="4"/>
        <v>-0.2122</v>
      </c>
      <c r="F35" s="133"/>
      <c r="G35" s="133"/>
      <c r="H35" s="134"/>
    </row>
    <row r="36" spans="1:13" x14ac:dyDescent="0.25">
      <c r="A36" s="77" t="s">
        <v>25</v>
      </c>
      <c r="B36" s="129">
        <f t="shared" si="3"/>
        <v>67.81</v>
      </c>
      <c r="C36" s="130">
        <f t="shared" si="4"/>
        <v>-20.216666666666665</v>
      </c>
      <c r="D36" s="131">
        <f t="shared" si="4"/>
        <v>0</v>
      </c>
      <c r="E36" s="132">
        <f t="shared" si="4"/>
        <v>-0.15666666666666659</v>
      </c>
      <c r="F36" s="133"/>
      <c r="G36" s="133"/>
      <c r="H36" s="134"/>
    </row>
    <row r="37" spans="1:13" ht="15.75" thickBot="1" x14ac:dyDescent="0.3">
      <c r="A37" s="77"/>
      <c r="B37" s="129"/>
      <c r="C37" s="130"/>
      <c r="D37" s="131"/>
      <c r="E37" s="132"/>
      <c r="F37" s="133"/>
      <c r="G37" s="133"/>
      <c r="H37" s="134"/>
    </row>
    <row r="38" spans="1:13" ht="15.75" thickBot="1" x14ac:dyDescent="0.3">
      <c r="A38" s="122" t="s">
        <v>81</v>
      </c>
      <c r="B38" s="135">
        <f>SUM(B26:B37)</f>
        <v>6684.8600000000006</v>
      </c>
      <c r="C38" s="136"/>
      <c r="D38" s="137"/>
      <c r="E38" s="138"/>
      <c r="F38" s="139"/>
      <c r="G38" s="139"/>
      <c r="H38" s="140"/>
    </row>
    <row r="39" spans="1:13" ht="15.75" thickBot="1" x14ac:dyDescent="0.3"/>
    <row r="40" spans="1:13" ht="15.75" thickBot="1" x14ac:dyDescent="0.3">
      <c r="A40" s="26" t="s">
        <v>81</v>
      </c>
      <c r="B40" s="144">
        <f>B38/1000*2.20462</f>
        <v>14.7375760532</v>
      </c>
      <c r="C40" t="s">
        <v>34</v>
      </c>
    </row>
  </sheetData>
  <mergeCells count="4">
    <mergeCell ref="C4:E4"/>
    <mergeCell ref="F4:H4"/>
    <mergeCell ref="C24:E24"/>
    <mergeCell ref="F24:H24"/>
  </mergeCells>
  <phoneticPr fontId="7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18" sqref="B18"/>
    </sheetView>
  </sheetViews>
  <sheetFormatPr defaultColWidth="8.85546875" defaultRowHeight="15" x14ac:dyDescent="0.25"/>
  <cols>
    <col min="1" max="1" width="12" customWidth="1"/>
    <col min="2" max="2" width="8.28515625" bestFit="1" customWidth="1"/>
    <col min="3" max="3" width="12.140625" bestFit="1" customWidth="1"/>
    <col min="4" max="4" width="13.28515625" bestFit="1" customWidth="1"/>
  </cols>
  <sheetData>
    <row r="2" spans="1:10" x14ac:dyDescent="0.25">
      <c r="A2" t="s">
        <v>72</v>
      </c>
    </row>
    <row r="3" spans="1:10" x14ac:dyDescent="0.25">
      <c r="A3" t="s">
        <v>75</v>
      </c>
    </row>
    <row r="4" spans="1:10" ht="15.75" thickBot="1" x14ac:dyDescent="0.3"/>
    <row r="5" spans="1:10" ht="15.75" thickBot="1" x14ac:dyDescent="0.3">
      <c r="A5" s="1"/>
      <c r="B5" s="58" t="s">
        <v>108</v>
      </c>
      <c r="C5" s="16" t="s">
        <v>11</v>
      </c>
      <c r="D5" s="59" t="s">
        <v>12</v>
      </c>
      <c r="F5" s="1"/>
      <c r="G5" s="196" t="s">
        <v>20</v>
      </c>
      <c r="H5" s="197"/>
      <c r="I5" s="197"/>
      <c r="J5" s="198"/>
    </row>
    <row r="6" spans="1:10" ht="15.75" thickBot="1" x14ac:dyDescent="0.3">
      <c r="A6" s="27" t="s">
        <v>13</v>
      </c>
      <c r="B6" s="81">
        <v>1407.45</v>
      </c>
      <c r="C6" s="81">
        <v>27.75</v>
      </c>
      <c r="D6" s="114">
        <f>5+3/16</f>
        <v>5.1875</v>
      </c>
      <c r="F6" s="11"/>
      <c r="G6" s="12" t="s">
        <v>15</v>
      </c>
      <c r="H6" s="13" t="s">
        <v>16</v>
      </c>
      <c r="I6" s="13" t="s">
        <v>17</v>
      </c>
      <c r="J6" s="15" t="s">
        <v>19</v>
      </c>
    </row>
    <row r="7" spans="1:10" ht="15.75" thickBot="1" x14ac:dyDescent="0.3">
      <c r="A7" s="117" t="s">
        <v>14</v>
      </c>
      <c r="B7" s="115">
        <v>1432.8</v>
      </c>
      <c r="C7" s="115">
        <v>28.125</v>
      </c>
      <c r="D7" s="116">
        <f>5+3/16</f>
        <v>5.1875</v>
      </c>
      <c r="F7" s="27" t="s">
        <v>73</v>
      </c>
      <c r="G7" s="81">
        <v>-13.06</v>
      </c>
      <c r="H7" s="81">
        <v>-7.63</v>
      </c>
      <c r="I7" s="81">
        <v>-0.03</v>
      </c>
      <c r="J7" s="114">
        <v>22</v>
      </c>
    </row>
    <row r="8" spans="1:10" ht="15.75" customHeight="1" thickBot="1" x14ac:dyDescent="0.3">
      <c r="F8" s="117" t="s">
        <v>74</v>
      </c>
      <c r="G8" s="115">
        <f>G7</f>
        <v>-13.06</v>
      </c>
      <c r="H8" s="115">
        <f>-H7</f>
        <v>7.63</v>
      </c>
      <c r="I8" s="115">
        <f>I7</f>
        <v>-0.03</v>
      </c>
      <c r="J8" s="116">
        <v>22</v>
      </c>
    </row>
    <row r="9" spans="1:10" ht="15.75" customHeight="1" x14ac:dyDescent="0.25"/>
    <row r="10" spans="1:10" ht="15.75" thickBot="1" x14ac:dyDescent="0.3"/>
    <row r="11" spans="1:10" ht="15.75" thickBot="1" x14ac:dyDescent="0.3">
      <c r="A11" s="1"/>
      <c r="B11" s="4"/>
      <c r="C11" s="196" t="s">
        <v>116</v>
      </c>
      <c r="D11" s="197"/>
      <c r="E11" s="198"/>
    </row>
    <row r="12" spans="1:10" ht="15.75" thickBot="1" x14ac:dyDescent="0.3">
      <c r="A12" s="76" t="s">
        <v>98</v>
      </c>
      <c r="B12" s="26" t="s">
        <v>108</v>
      </c>
      <c r="C12" s="12" t="s">
        <v>69</v>
      </c>
      <c r="D12" s="13" t="s">
        <v>70</v>
      </c>
      <c r="E12" s="15" t="s">
        <v>76</v>
      </c>
    </row>
    <row r="13" spans="1:10" x14ac:dyDescent="0.25">
      <c r="A13" s="77" t="s">
        <v>13</v>
      </c>
      <c r="B13" s="42">
        <f>B6</f>
        <v>1407.45</v>
      </c>
      <c r="C13" s="150">
        <f>G7-C6*SIN(J7*PI()/180)-D6*COS(J7*PI()/180)</f>
        <v>-28.265099212856772</v>
      </c>
      <c r="D13" s="150">
        <f>H7-C6*COS(J7*PI()/180)+D6*SIN(J7*PI()/180)</f>
        <v>-31.416080260883309</v>
      </c>
      <c r="E13" s="114" t="s">
        <v>103</v>
      </c>
    </row>
    <row r="14" spans="1:10" ht="15.75" thickBot="1" x14ac:dyDescent="0.3">
      <c r="A14" s="78" t="s">
        <v>18</v>
      </c>
      <c r="B14" s="70">
        <f>B7</f>
        <v>1432.8</v>
      </c>
      <c r="C14" s="151">
        <f>G8-C7*SIN(J8*PI()/180)-D7*COS(J8*PI()/180)</f>
        <v>-28.405576685387736</v>
      </c>
      <c r="D14" s="151">
        <f>H8+C7*COS(J8*PI()/180)-D7*SIN(J8*PI()/180)</f>
        <v>31.763774206345854</v>
      </c>
      <c r="E14" s="116" t="s">
        <v>103</v>
      </c>
    </row>
  </sheetData>
  <mergeCells count="2">
    <mergeCell ref="C11:E11"/>
    <mergeCell ref="G5:J5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C22" sqref="C22"/>
    </sheetView>
  </sheetViews>
  <sheetFormatPr defaultColWidth="8.85546875" defaultRowHeight="15" x14ac:dyDescent="0.25"/>
  <cols>
    <col min="2" max="2" width="18.7109375" bestFit="1" customWidth="1"/>
    <col min="3" max="3" width="10" bestFit="1" customWidth="1"/>
    <col min="4" max="5" width="9.42578125" customWidth="1"/>
    <col min="6" max="6" width="7.7109375" bestFit="1" customWidth="1"/>
    <col min="7" max="9" width="9.42578125" customWidth="1"/>
  </cols>
  <sheetData>
    <row r="1" spans="2:10" ht="15.75" thickBot="1" x14ac:dyDescent="0.3"/>
    <row r="2" spans="2:10" x14ac:dyDescent="0.25">
      <c r="B2" s="1" t="s">
        <v>64</v>
      </c>
      <c r="C2" s="119">
        <v>9.8066499999999994</v>
      </c>
      <c r="D2" s="120" t="s">
        <v>67</v>
      </c>
    </row>
    <row r="3" spans="2:10" ht="15.75" thickBot="1" x14ac:dyDescent="0.3">
      <c r="B3" s="12" t="s">
        <v>94</v>
      </c>
      <c r="C3" s="121">
        <v>2.5399999999999999E-2</v>
      </c>
      <c r="D3" s="15" t="s">
        <v>95</v>
      </c>
    </row>
    <row r="5" spans="2:10" ht="15.75" thickBot="1" x14ac:dyDescent="0.3"/>
    <row r="6" spans="2:10" ht="15.75" thickBot="1" x14ac:dyDescent="0.3">
      <c r="B6" s="1"/>
      <c r="C6" s="4"/>
      <c r="D6" s="196" t="s">
        <v>116</v>
      </c>
      <c r="E6" s="197"/>
      <c r="F6" s="198"/>
      <c r="G6" s="196" t="s">
        <v>117</v>
      </c>
      <c r="H6" s="197"/>
      <c r="I6" s="198"/>
    </row>
    <row r="7" spans="2:10" ht="15.75" thickBot="1" x14ac:dyDescent="0.3">
      <c r="B7" s="76" t="s">
        <v>106</v>
      </c>
      <c r="C7" s="26" t="s">
        <v>108</v>
      </c>
      <c r="D7" s="12" t="s">
        <v>69</v>
      </c>
      <c r="E7" s="13" t="s">
        <v>70</v>
      </c>
      <c r="F7" s="15" t="s">
        <v>76</v>
      </c>
      <c r="G7" s="12" t="s">
        <v>77</v>
      </c>
      <c r="H7" s="13" t="s">
        <v>78</v>
      </c>
      <c r="I7" s="15" t="s">
        <v>79</v>
      </c>
    </row>
    <row r="8" spans="2:10" x14ac:dyDescent="0.25">
      <c r="B8" s="77" t="s">
        <v>118</v>
      </c>
      <c r="C8" s="156">
        <f>27.49/2</f>
        <v>13.744999999999999</v>
      </c>
      <c r="D8" s="152">
        <v>-21.86</v>
      </c>
      <c r="E8" s="153">
        <v>7.31</v>
      </c>
      <c r="F8" s="154">
        <v>-1.329</v>
      </c>
      <c r="G8" s="160">
        <v>1.33E-6</v>
      </c>
      <c r="H8" s="161">
        <v>5.4799999999999997E-5</v>
      </c>
      <c r="I8" s="162">
        <v>5.3499999999999999E-5</v>
      </c>
    </row>
    <row r="9" spans="2:10" x14ac:dyDescent="0.25">
      <c r="B9" s="77" t="s">
        <v>119</v>
      </c>
      <c r="C9" s="157">
        <f>46.75/2</f>
        <v>23.375</v>
      </c>
      <c r="D9" s="94">
        <v>-14.6</v>
      </c>
      <c r="E9" s="81">
        <v>7.31</v>
      </c>
      <c r="F9" s="114">
        <v>-0.33100000000000002</v>
      </c>
      <c r="G9" s="163">
        <v>1.9599999999999999E-5</v>
      </c>
      <c r="H9" s="164">
        <v>9.4199999999999999E-5</v>
      </c>
      <c r="I9" s="165">
        <v>7.4599999999999997E-5</v>
      </c>
    </row>
    <row r="10" spans="2:10" ht="15.75" thickBot="1" x14ac:dyDescent="0.3">
      <c r="B10" s="78" t="s">
        <v>120</v>
      </c>
      <c r="C10" s="159">
        <v>51.51</v>
      </c>
      <c r="D10" s="155">
        <f>-46.07+0.233+1.5</f>
        <v>-44.337000000000003</v>
      </c>
      <c r="E10" s="115">
        <v>60.4</v>
      </c>
      <c r="F10" s="116">
        <v>-0.21199999999999999</v>
      </c>
      <c r="G10" s="166">
        <v>8.8000000000000004E-6</v>
      </c>
      <c r="H10" s="167">
        <v>2.1499999999999999E-4</v>
      </c>
      <c r="I10" s="168">
        <v>2.0699999999999999E-4</v>
      </c>
    </row>
    <row r="11" spans="2:10" ht="15.75" thickBot="1" x14ac:dyDescent="0.3">
      <c r="C11" s="175" t="s">
        <v>130</v>
      </c>
      <c r="D11" s="58" t="s">
        <v>131</v>
      </c>
      <c r="E11" s="16" t="s">
        <v>131</v>
      </c>
      <c r="F11" s="59" t="s">
        <v>131</v>
      </c>
      <c r="G11" s="58" t="s">
        <v>131</v>
      </c>
      <c r="H11" s="16" t="s">
        <v>131</v>
      </c>
      <c r="I11" s="59" t="s">
        <v>131</v>
      </c>
    </row>
    <row r="13" spans="2:10" ht="15.75" thickBot="1" x14ac:dyDescent="0.3"/>
    <row r="14" spans="2:10" ht="15.75" thickBot="1" x14ac:dyDescent="0.3">
      <c r="B14" s="1"/>
      <c r="C14" s="4"/>
      <c r="D14" s="196" t="s">
        <v>116</v>
      </c>
      <c r="E14" s="197"/>
      <c r="F14" s="198"/>
      <c r="G14" s="196" t="s">
        <v>117</v>
      </c>
      <c r="H14" s="197"/>
      <c r="I14" s="198"/>
    </row>
    <row r="15" spans="2:10" ht="15.75" thickBot="1" x14ac:dyDescent="0.3">
      <c r="B15" s="76" t="s">
        <v>98</v>
      </c>
      <c r="C15" s="26" t="s">
        <v>108</v>
      </c>
      <c r="D15" s="12" t="s">
        <v>69</v>
      </c>
      <c r="E15" s="13" t="s">
        <v>70</v>
      </c>
      <c r="F15" s="15" t="s">
        <v>76</v>
      </c>
      <c r="G15" s="12" t="s">
        <v>77</v>
      </c>
      <c r="H15" s="13" t="s">
        <v>78</v>
      </c>
      <c r="I15" s="15" t="s">
        <v>79</v>
      </c>
    </row>
    <row r="16" spans="2:10" x14ac:dyDescent="0.25">
      <c r="B16" s="118" t="s">
        <v>54</v>
      </c>
      <c r="C16" s="156">
        <v>3169.45</v>
      </c>
      <c r="D16" s="178">
        <f>-19.05+'Centerbody Test'!K16</f>
        <v>-18.55</v>
      </c>
      <c r="E16" s="169">
        <v>0</v>
      </c>
      <c r="F16" s="170">
        <f>-1.21+AVERAGE('Centerbody Test'!AA22:AA23)</f>
        <v>0.29000000000000004</v>
      </c>
      <c r="G16" s="188"/>
      <c r="H16" s="189"/>
      <c r="I16" s="190"/>
      <c r="J16" t="s">
        <v>58</v>
      </c>
    </row>
    <row r="17" spans="2:10" x14ac:dyDescent="0.25">
      <c r="B17" s="77" t="s">
        <v>26</v>
      </c>
      <c r="C17" s="157" t="s">
        <v>28</v>
      </c>
      <c r="D17" s="179">
        <v>-4.62</v>
      </c>
      <c r="E17" s="171">
        <v>0</v>
      </c>
      <c r="F17" s="172">
        <v>-0.9</v>
      </c>
      <c r="G17" s="182"/>
      <c r="H17" s="183"/>
      <c r="I17" s="184"/>
      <c r="J17" t="s">
        <v>27</v>
      </c>
    </row>
    <row r="18" spans="2:10" x14ac:dyDescent="0.25">
      <c r="B18" s="77" t="s">
        <v>50</v>
      </c>
      <c r="C18" s="158">
        <f>'Wing Test'!B6</f>
        <v>1407.45</v>
      </c>
      <c r="D18" s="180">
        <f>'Wing Test'!C13</f>
        <v>-28.265099212856772</v>
      </c>
      <c r="E18" s="150">
        <f>'Wing Test'!D13</f>
        <v>-31.416080260883309</v>
      </c>
      <c r="F18" s="173" t="s">
        <v>103</v>
      </c>
      <c r="G18" s="182"/>
      <c r="H18" s="183"/>
      <c r="I18" s="184"/>
    </row>
    <row r="19" spans="2:10" x14ac:dyDescent="0.25">
      <c r="B19" s="77" t="s">
        <v>51</v>
      </c>
      <c r="C19" s="158">
        <f>'Wing Test'!B7</f>
        <v>1432.8</v>
      </c>
      <c r="D19" s="180">
        <f>'Wing Test'!C14</f>
        <v>-28.405576685387736</v>
      </c>
      <c r="E19" s="150">
        <f>'Wing Test'!D14</f>
        <v>31.763774206345854</v>
      </c>
      <c r="F19" s="173" t="str">
        <f>F18</f>
        <v>N/A</v>
      </c>
      <c r="G19" s="182"/>
      <c r="H19" s="183"/>
      <c r="I19" s="184"/>
    </row>
    <row r="20" spans="2:10" x14ac:dyDescent="0.25">
      <c r="B20" s="77" t="s">
        <v>52</v>
      </c>
      <c r="C20" s="157">
        <v>95.85</v>
      </c>
      <c r="D20" s="179">
        <v>-42.45</v>
      </c>
      <c r="E20" s="171">
        <v>-60.25</v>
      </c>
      <c r="F20" s="172">
        <v>-0.2122</v>
      </c>
      <c r="G20" s="163">
        <v>5.1887999999999999E-4</v>
      </c>
      <c r="H20" s="164">
        <v>7.6590000000000002E-4</v>
      </c>
      <c r="I20" s="165">
        <v>2.4767000000000002E-4</v>
      </c>
      <c r="J20" t="s">
        <v>59</v>
      </c>
    </row>
    <row r="21" spans="2:10" x14ac:dyDescent="0.25">
      <c r="B21" s="77" t="s">
        <v>53</v>
      </c>
      <c r="C21" s="157">
        <v>96.45</v>
      </c>
      <c r="D21" s="179">
        <v>-42.45</v>
      </c>
      <c r="E21" s="171">
        <v>60.25</v>
      </c>
      <c r="F21" s="172">
        <v>-0.2122</v>
      </c>
      <c r="G21" s="163">
        <f>G20</f>
        <v>5.1887999999999999E-4</v>
      </c>
      <c r="H21" s="164">
        <f>H20</f>
        <v>7.6590000000000002E-4</v>
      </c>
      <c r="I21" s="165">
        <f>I20</f>
        <v>2.4767000000000002E-4</v>
      </c>
      <c r="J21" t="s">
        <v>59</v>
      </c>
    </row>
    <row r="22" spans="2:10" x14ac:dyDescent="0.25">
      <c r="B22" s="77" t="s">
        <v>25</v>
      </c>
      <c r="C22" s="157">
        <v>67.81</v>
      </c>
      <c r="D22" s="179">
        <f>(-17.33-18.53-24.79-17.33-18.53-24.79)/6</f>
        <v>-20.216666666666665</v>
      </c>
      <c r="E22" s="171">
        <v>0</v>
      </c>
      <c r="F22" s="172">
        <f>(-1.52-1.52-0.63+0.91+0.91+0.91)/6</f>
        <v>-0.15666666666666659</v>
      </c>
      <c r="G22" s="182"/>
      <c r="H22" s="183"/>
      <c r="I22" s="184"/>
      <c r="J22" t="s">
        <v>27</v>
      </c>
    </row>
    <row r="23" spans="2:10" x14ac:dyDescent="0.25">
      <c r="B23" s="77"/>
      <c r="C23" s="177"/>
      <c r="D23" s="11"/>
      <c r="E23" s="8"/>
      <c r="F23" s="9"/>
      <c r="G23" s="11"/>
      <c r="H23" s="8"/>
      <c r="I23" s="9"/>
    </row>
    <row r="24" spans="2:10" ht="15.75" thickBot="1" x14ac:dyDescent="0.3">
      <c r="B24" s="78" t="s">
        <v>81</v>
      </c>
      <c r="C24" s="176">
        <f>SUM(C16:C22)</f>
        <v>6269.81</v>
      </c>
      <c r="D24" s="181">
        <f>-23.25+AVERAGE('Aircraft Test'!K21:K22)</f>
        <v>-23.225000000000001</v>
      </c>
      <c r="E24" s="174">
        <v>0</v>
      </c>
      <c r="F24" s="191">
        <f>-1.93+AVERAGE('Aircraft Test'!S21:S22)</f>
        <v>-0.49249999999999994</v>
      </c>
      <c r="G24" s="185"/>
      <c r="H24" s="186"/>
      <c r="I24" s="187"/>
    </row>
    <row r="26" spans="2:10" x14ac:dyDescent="0.25">
      <c r="C26" t="s">
        <v>60</v>
      </c>
      <c r="D26">
        <f>SUMPRODUCT(C16:C22,D16:D22)/SUM(C16:C22)</f>
        <v>-23.734140082175607</v>
      </c>
      <c r="E26">
        <f>SUMPRODUCT(C16:C22,E16:E22)/SUM(C16:C22)</f>
        <v>0.21224303761551341</v>
      </c>
      <c r="F26">
        <f>SUMPRODUCT(C16:C22,F16:F22)/SUM(C16:C22)</f>
        <v>0.13839508267927311</v>
      </c>
    </row>
  </sheetData>
  <mergeCells count="4">
    <mergeCell ref="D6:F6"/>
    <mergeCell ref="G6:I6"/>
    <mergeCell ref="D14:F14"/>
    <mergeCell ref="G14:I14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selection sqref="A1:B1"/>
    </sheetView>
  </sheetViews>
  <sheetFormatPr defaultColWidth="8.85546875" defaultRowHeight="15" x14ac:dyDescent="0.25"/>
  <cols>
    <col min="1" max="1" width="11.42578125" bestFit="1" customWidth="1"/>
    <col min="2" max="2" width="15.140625" bestFit="1" customWidth="1"/>
    <col min="4" max="4" width="9.42578125" bestFit="1" customWidth="1"/>
    <col min="8" max="8" width="11.85546875" bestFit="1" customWidth="1"/>
    <col min="9" max="9" width="6.42578125" customWidth="1"/>
    <col min="10" max="10" width="6.7109375" customWidth="1"/>
    <col min="11" max="11" width="18.7109375" bestFit="1" customWidth="1"/>
    <col min="12" max="12" width="8.28515625" bestFit="1" customWidth="1"/>
    <col min="13" max="13" width="7.7109375" bestFit="1" customWidth="1"/>
    <col min="14" max="14" width="5" bestFit="1" customWidth="1"/>
    <col min="15" max="15" width="6.7109375" bestFit="1" customWidth="1"/>
    <col min="16" max="18" width="8.28515625" bestFit="1" customWidth="1"/>
    <col min="21" max="21" width="12" bestFit="1" customWidth="1"/>
  </cols>
  <sheetData>
    <row r="1" spans="1:32" x14ac:dyDescent="0.25">
      <c r="A1" t="s">
        <v>56</v>
      </c>
      <c r="B1" t="s">
        <v>55</v>
      </c>
    </row>
    <row r="2" spans="1:32" ht="15.75" thickBot="1" x14ac:dyDescent="0.3"/>
    <row r="3" spans="1:32" ht="20.25" x14ac:dyDescent="0.3">
      <c r="B3" s="199" t="s">
        <v>80</v>
      </c>
      <c r="C3" s="200"/>
      <c r="D3" s="200"/>
      <c r="E3" s="200"/>
      <c r="F3" s="200"/>
      <c r="G3" s="200"/>
      <c r="H3" s="201"/>
      <c r="J3" s="199" t="s">
        <v>115</v>
      </c>
      <c r="K3" s="200"/>
      <c r="L3" s="200"/>
      <c r="M3" s="200"/>
      <c r="N3" s="200"/>
      <c r="O3" s="200"/>
      <c r="P3" s="201"/>
      <c r="R3" s="199" t="s">
        <v>134</v>
      </c>
      <c r="S3" s="200"/>
      <c r="T3" s="200"/>
      <c r="U3" s="200"/>
      <c r="V3" s="200"/>
      <c r="W3" s="200"/>
      <c r="X3" s="201"/>
      <c r="Z3" s="199" t="s">
        <v>135</v>
      </c>
      <c r="AA3" s="200"/>
      <c r="AB3" s="200"/>
      <c r="AC3" s="200"/>
      <c r="AD3" s="200"/>
      <c r="AE3" s="200"/>
      <c r="AF3" s="201"/>
    </row>
    <row r="4" spans="1:32" x14ac:dyDescent="0.25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  <c r="Z4" s="5"/>
      <c r="AA4" s="6"/>
      <c r="AB4" s="7"/>
      <c r="AC4" s="8"/>
      <c r="AD4" s="8"/>
      <c r="AE4" s="8"/>
      <c r="AF4" s="9"/>
    </row>
    <row r="5" spans="1:32" ht="15.75" thickBot="1" x14ac:dyDescent="0.3">
      <c r="B5" s="204" t="s">
        <v>99</v>
      </c>
      <c r="C5" s="205"/>
      <c r="D5" s="205"/>
      <c r="E5" s="205"/>
      <c r="F5" s="205"/>
      <c r="G5" s="205"/>
      <c r="H5" s="206"/>
      <c r="I5" s="10"/>
      <c r="J5" s="204" t="s">
        <v>99</v>
      </c>
      <c r="K5" s="205"/>
      <c r="L5" s="205"/>
      <c r="M5" s="205"/>
      <c r="N5" s="205"/>
      <c r="O5" s="205"/>
      <c r="P5" s="206"/>
      <c r="R5" s="204" t="s">
        <v>99</v>
      </c>
      <c r="S5" s="205"/>
      <c r="T5" s="205"/>
      <c r="U5" s="205"/>
      <c r="V5" s="205"/>
      <c r="W5" s="205"/>
      <c r="X5" s="206"/>
      <c r="Z5" s="204" t="s">
        <v>99</v>
      </c>
      <c r="AA5" s="205"/>
      <c r="AB5" s="205"/>
      <c r="AC5" s="205"/>
      <c r="AD5" s="205"/>
      <c r="AE5" s="205"/>
      <c r="AF5" s="206"/>
    </row>
    <row r="6" spans="1:32" ht="15.75" thickBot="1" x14ac:dyDescent="0.3">
      <c r="B6" s="39" t="s">
        <v>66</v>
      </c>
      <c r="C6" s="207" t="s">
        <v>100</v>
      </c>
      <c r="D6" s="208"/>
      <c r="E6" s="209"/>
      <c r="F6" s="3"/>
      <c r="G6" s="210" t="s">
        <v>101</v>
      </c>
      <c r="H6" s="211"/>
      <c r="I6" s="10"/>
      <c r="J6" s="39" t="s">
        <v>66</v>
      </c>
      <c r="K6" s="207" t="s">
        <v>100</v>
      </c>
      <c r="L6" s="208"/>
      <c r="M6" s="209"/>
      <c r="N6" s="3"/>
      <c r="O6" s="210" t="s">
        <v>101</v>
      </c>
      <c r="P6" s="211"/>
      <c r="R6" s="39" t="s">
        <v>66</v>
      </c>
      <c r="S6" s="207" t="s">
        <v>100</v>
      </c>
      <c r="T6" s="208"/>
      <c r="U6" s="209"/>
      <c r="V6" s="3"/>
      <c r="W6" s="210" t="s">
        <v>101</v>
      </c>
      <c r="X6" s="211"/>
      <c r="Z6" s="39" t="s">
        <v>66</v>
      </c>
      <c r="AA6" s="207" t="s">
        <v>100</v>
      </c>
      <c r="AB6" s="208"/>
      <c r="AC6" s="209"/>
      <c r="AD6" s="3"/>
      <c r="AE6" s="210" t="s">
        <v>101</v>
      </c>
      <c r="AF6" s="211"/>
    </row>
    <row r="7" spans="1:32" ht="15.75" thickBot="1" x14ac:dyDescent="0.3">
      <c r="B7" s="43">
        <v>10</v>
      </c>
      <c r="C7" s="19" t="s">
        <v>87</v>
      </c>
      <c r="D7" s="14" t="s">
        <v>88</v>
      </c>
      <c r="E7" s="20" t="s">
        <v>89</v>
      </c>
      <c r="F7" s="6"/>
      <c r="G7" s="24" t="s">
        <v>90</v>
      </c>
      <c r="H7" s="53">
        <f>AVERAGE(C8:E10)</f>
        <v>9.9077777777777776</v>
      </c>
      <c r="I7" s="10"/>
      <c r="J7" s="43">
        <v>20</v>
      </c>
      <c r="K7" s="19" t="s">
        <v>87</v>
      </c>
      <c r="L7" s="14" t="s">
        <v>88</v>
      </c>
      <c r="M7" s="20" t="s">
        <v>89</v>
      </c>
      <c r="N7" s="6"/>
      <c r="O7" s="67" t="s">
        <v>90</v>
      </c>
      <c r="P7" s="53">
        <f>AVERAGE(K8:M10)</f>
        <v>35.291111111111114</v>
      </c>
      <c r="R7" s="43">
        <v>20</v>
      </c>
      <c r="S7" s="19" t="s">
        <v>87</v>
      </c>
      <c r="T7" s="14" t="s">
        <v>88</v>
      </c>
      <c r="U7" s="20" t="s">
        <v>89</v>
      </c>
      <c r="V7" s="6"/>
      <c r="W7" s="67" t="s">
        <v>90</v>
      </c>
      <c r="X7" s="53">
        <f>AVERAGE(S8:U10)</f>
        <v>34.992222222222225</v>
      </c>
      <c r="Z7" s="43">
        <v>20</v>
      </c>
      <c r="AA7" s="19" t="s">
        <v>89</v>
      </c>
      <c r="AB7" s="32"/>
      <c r="AC7" s="33"/>
      <c r="AD7" s="6"/>
      <c r="AE7" s="67" t="s">
        <v>90</v>
      </c>
      <c r="AF7" s="53">
        <f>AVERAGE(AA8:AC11)</f>
        <v>16.899999999999999</v>
      </c>
    </row>
    <row r="8" spans="1:32" ht="15.75" thickBot="1" x14ac:dyDescent="0.3">
      <c r="B8" s="21" t="s">
        <v>84</v>
      </c>
      <c r="C8" s="44">
        <v>9.93</v>
      </c>
      <c r="D8" s="45">
        <v>9.76</v>
      </c>
      <c r="E8" s="46">
        <v>10.09</v>
      </c>
      <c r="F8" s="34"/>
      <c r="G8" s="23" t="s">
        <v>91</v>
      </c>
      <c r="H8" s="54" t="e">
        <f ca="1">_1__xlfn.S(C8:E10)</f>
        <v>#NAME?</v>
      </c>
      <c r="J8" s="21" t="s">
        <v>84</v>
      </c>
      <c r="K8" s="44">
        <v>35.56</v>
      </c>
      <c r="L8" s="45">
        <v>35.15</v>
      </c>
      <c r="M8" s="46">
        <v>35.229999999999997</v>
      </c>
      <c r="N8" s="34"/>
      <c r="O8" s="19" t="s">
        <v>91</v>
      </c>
      <c r="P8" s="54" t="e">
        <f ca="1">_1__xlfn.S(K8:M10)</f>
        <v>#NAME?</v>
      </c>
      <c r="R8" s="21" t="s">
        <v>84</v>
      </c>
      <c r="S8" s="44">
        <v>35.03</v>
      </c>
      <c r="T8" s="45">
        <v>35.11</v>
      </c>
      <c r="U8" s="46">
        <v>34.99</v>
      </c>
      <c r="V8" s="34"/>
      <c r="W8" s="19" t="s">
        <v>91</v>
      </c>
      <c r="X8" s="54" t="e">
        <f ca="1">_1__xlfn.S(S8:U10)</f>
        <v>#NAME?</v>
      </c>
      <c r="Z8" s="21" t="s">
        <v>84</v>
      </c>
      <c r="AA8" s="44">
        <v>16.940000000000001</v>
      </c>
      <c r="AB8" s="97"/>
      <c r="AC8" s="98"/>
      <c r="AD8" s="34"/>
      <c r="AE8" s="19" t="s">
        <v>91</v>
      </c>
      <c r="AF8" s="54" t="e">
        <f ca="1">_1__xlfn.S(AA8:AC11)</f>
        <v>#NAME?</v>
      </c>
    </row>
    <row r="9" spans="1:32" x14ac:dyDescent="0.25">
      <c r="B9" s="22" t="s">
        <v>85</v>
      </c>
      <c r="C9" s="47">
        <v>9.9700000000000006</v>
      </c>
      <c r="D9" s="48">
        <v>9.75</v>
      </c>
      <c r="E9" s="49">
        <v>9.9600000000000009</v>
      </c>
      <c r="F9" s="34"/>
      <c r="G9" s="8"/>
      <c r="H9" s="9"/>
      <c r="J9" s="22" t="s">
        <v>85</v>
      </c>
      <c r="K9" s="47">
        <v>35.22</v>
      </c>
      <c r="L9" s="48">
        <v>35.369999999999997</v>
      </c>
      <c r="M9" s="49">
        <v>35.200000000000003</v>
      </c>
      <c r="N9" s="34"/>
      <c r="O9" s="8"/>
      <c r="P9" s="9"/>
      <c r="R9" s="22" t="s">
        <v>85</v>
      </c>
      <c r="S9" s="47">
        <v>35.01</v>
      </c>
      <c r="T9" s="48">
        <v>35.01</v>
      </c>
      <c r="U9" s="49">
        <v>35.049999999999997</v>
      </c>
      <c r="V9" s="34"/>
      <c r="W9" s="8"/>
      <c r="X9" s="9"/>
      <c r="Z9" s="22" t="s">
        <v>85</v>
      </c>
      <c r="AA9" s="47">
        <v>16.87</v>
      </c>
      <c r="AB9" s="99"/>
      <c r="AC9" s="100"/>
      <c r="AD9" s="34"/>
      <c r="AE9" s="8"/>
      <c r="AF9" s="9"/>
    </row>
    <row r="10" spans="1:32" ht="15.75" thickBot="1" x14ac:dyDescent="0.3">
      <c r="B10" s="23" t="s">
        <v>86</v>
      </c>
      <c r="C10" s="50">
        <v>9.84</v>
      </c>
      <c r="D10" s="51">
        <v>9.86</v>
      </c>
      <c r="E10" s="52">
        <v>10.01</v>
      </c>
      <c r="F10" s="34"/>
      <c r="G10" s="8"/>
      <c r="H10" s="9"/>
      <c r="I10" s="8"/>
      <c r="J10" s="23" t="s">
        <v>86</v>
      </c>
      <c r="K10" s="50">
        <v>35.49</v>
      </c>
      <c r="L10" s="51">
        <v>35.200000000000003</v>
      </c>
      <c r="M10" s="52">
        <v>35.200000000000003</v>
      </c>
      <c r="N10" s="34"/>
      <c r="O10" s="8"/>
      <c r="P10" s="9"/>
      <c r="R10" s="23" t="s">
        <v>86</v>
      </c>
      <c r="S10" s="50">
        <v>34.92</v>
      </c>
      <c r="T10" s="51">
        <v>34.75</v>
      </c>
      <c r="U10" s="52">
        <v>35.06</v>
      </c>
      <c r="V10" s="34"/>
      <c r="W10" s="8"/>
      <c r="X10" s="9"/>
      <c r="Z10" s="22" t="s">
        <v>86</v>
      </c>
      <c r="AA10" s="96">
        <v>16.88</v>
      </c>
      <c r="AB10" s="101"/>
      <c r="AC10" s="102"/>
      <c r="AD10" s="34"/>
      <c r="AE10" s="8"/>
      <c r="AF10" s="9"/>
    </row>
    <row r="11" spans="1:32" ht="15.75" thickBot="1" x14ac:dyDescent="0.3">
      <c r="B11" s="11"/>
      <c r="C11" s="8"/>
      <c r="D11" s="8"/>
      <c r="E11" s="8"/>
      <c r="F11" s="8"/>
      <c r="G11" s="210" t="s">
        <v>92</v>
      </c>
      <c r="H11" s="211"/>
      <c r="I11" s="8"/>
      <c r="J11" s="11"/>
      <c r="K11" s="8"/>
      <c r="L11" s="8"/>
      <c r="M11" s="8"/>
      <c r="N11" s="8"/>
      <c r="O11" s="210" t="s">
        <v>92</v>
      </c>
      <c r="P11" s="211"/>
      <c r="R11" s="11"/>
      <c r="S11" s="8"/>
      <c r="T11" s="8"/>
      <c r="U11" s="8"/>
      <c r="V11" s="8"/>
      <c r="W11" s="210" t="s">
        <v>92</v>
      </c>
      <c r="X11" s="211"/>
      <c r="Z11" s="23" t="s">
        <v>0</v>
      </c>
      <c r="AA11" s="50">
        <v>16.91</v>
      </c>
      <c r="AB11" s="103"/>
      <c r="AC11" s="104"/>
      <c r="AD11" s="34"/>
      <c r="AE11" s="8"/>
      <c r="AF11" s="9"/>
    </row>
    <row r="12" spans="1:32" ht="15.75" thickBot="1" x14ac:dyDescent="0.3">
      <c r="B12" s="24" t="s">
        <v>90</v>
      </c>
      <c r="C12" s="28">
        <f>AVERAGE(C8:C10)</f>
        <v>9.9133333333333322</v>
      </c>
      <c r="D12" s="29">
        <f t="shared" ref="D12:E12" si="0">AVERAGE(D8:D10)</f>
        <v>9.7899999999999991</v>
      </c>
      <c r="E12" s="30">
        <f t="shared" si="0"/>
        <v>10.020000000000001</v>
      </c>
      <c r="F12" s="8"/>
      <c r="G12" s="38" t="s">
        <v>90</v>
      </c>
      <c r="H12" s="53">
        <f>B7/H7</f>
        <v>1.009308063249972</v>
      </c>
      <c r="I12" s="8"/>
      <c r="J12" s="24" t="s">
        <v>90</v>
      </c>
      <c r="K12" s="82">
        <f>AVERAGE(K8:K10)</f>
        <v>35.423333333333339</v>
      </c>
      <c r="L12" s="83">
        <f t="shared" ref="L12:M12" si="1">AVERAGE(L8:L10)</f>
        <v>35.24</v>
      </c>
      <c r="M12" s="84">
        <f t="shared" si="1"/>
        <v>35.21</v>
      </c>
      <c r="N12" s="8"/>
      <c r="O12" s="38" t="s">
        <v>90</v>
      </c>
      <c r="P12" s="53">
        <f>J7/P7</f>
        <v>0.56671494238398079</v>
      </c>
      <c r="R12" s="24" t="s">
        <v>90</v>
      </c>
      <c r="S12" s="82">
        <f>AVERAGE(S8:S10)</f>
        <v>34.986666666666665</v>
      </c>
      <c r="T12" s="83">
        <f t="shared" ref="T12:U12" si="2">AVERAGE(T8:T10)</f>
        <v>34.956666666666671</v>
      </c>
      <c r="U12" s="84">
        <f t="shared" si="2"/>
        <v>35.033333333333331</v>
      </c>
      <c r="V12" s="8"/>
      <c r="W12" s="38" t="s">
        <v>90</v>
      </c>
      <c r="X12" s="53">
        <f>R7/X7</f>
        <v>0.57155558378052262</v>
      </c>
      <c r="Z12" s="11"/>
      <c r="AA12" s="8"/>
      <c r="AB12" s="8"/>
      <c r="AC12" s="8"/>
      <c r="AD12" s="8"/>
      <c r="AE12" s="210" t="s">
        <v>92</v>
      </c>
      <c r="AF12" s="211"/>
    </row>
    <row r="13" spans="1:32" ht="15.75" thickBot="1" x14ac:dyDescent="0.3">
      <c r="B13" s="25" t="s">
        <v>91</v>
      </c>
      <c r="C13" s="31" t="e">
        <f ca="1">_1__xlfn.S(C8:C10)</f>
        <v>#NAME?</v>
      </c>
      <c r="D13" s="32" t="e">
        <f t="shared" ref="D13:E13" ca="1" si="3">_1__xlfn.S(D8:D10)</f>
        <v>#NAME?</v>
      </c>
      <c r="E13" s="33" t="e">
        <f t="shared" ca="1" si="3"/>
        <v>#NAME?</v>
      </c>
      <c r="F13" s="33"/>
      <c r="G13" s="31" t="s">
        <v>91</v>
      </c>
      <c r="H13" s="54" t="e">
        <f ca="1">(H8/H7)*H12</f>
        <v>#NAME?</v>
      </c>
      <c r="I13" s="8"/>
      <c r="J13" s="25" t="s">
        <v>91</v>
      </c>
      <c r="K13" s="85" t="e">
        <f ca="1">_1__xlfn.S(K8:K10)</f>
        <v>#NAME?</v>
      </c>
      <c r="L13" s="86" t="e">
        <f t="shared" ref="L13:M13" ca="1" si="4">_1__xlfn.S(L8:L10)</f>
        <v>#NAME?</v>
      </c>
      <c r="M13" s="87" t="e">
        <f t="shared" ca="1" si="4"/>
        <v>#NAME?</v>
      </c>
      <c r="N13" s="33"/>
      <c r="O13" s="31" t="s">
        <v>91</v>
      </c>
      <c r="P13" s="54" t="e">
        <f ca="1">(P8/P7)*P12</f>
        <v>#NAME?</v>
      </c>
      <c r="R13" s="25" t="s">
        <v>91</v>
      </c>
      <c r="S13" s="85" t="e">
        <f ca="1">_1__xlfn.S(S8:S10)</f>
        <v>#NAME?</v>
      </c>
      <c r="T13" s="86" t="e">
        <f t="shared" ref="T13:U13" ca="1" si="5">_1__xlfn.S(T8:T10)</f>
        <v>#NAME?</v>
      </c>
      <c r="U13" s="87" t="e">
        <f t="shared" ca="1" si="5"/>
        <v>#NAME?</v>
      </c>
      <c r="V13" s="33"/>
      <c r="W13" s="31" t="s">
        <v>91</v>
      </c>
      <c r="X13" s="54" t="e">
        <f ca="1">(X8/X7)*X12</f>
        <v>#NAME?</v>
      </c>
      <c r="Z13" s="24" t="s">
        <v>90</v>
      </c>
      <c r="AA13" s="82">
        <f t="shared" ref="AA13" si="6">AVERAGE(AA8:AA11)</f>
        <v>16.899999999999999</v>
      </c>
      <c r="AB13" s="29"/>
      <c r="AC13" s="30"/>
      <c r="AD13" s="8"/>
      <c r="AE13" s="38" t="s">
        <v>90</v>
      </c>
      <c r="AF13" s="53">
        <f>Z7/AF7</f>
        <v>1.1834319526627219</v>
      </c>
    </row>
    <row r="14" spans="1:32" ht="15.75" thickBot="1" x14ac:dyDescent="0.3">
      <c r="B14" s="67"/>
      <c r="C14" s="68"/>
      <c r="D14" s="68"/>
      <c r="E14" s="68"/>
      <c r="F14" s="68"/>
      <c r="G14" s="68"/>
      <c r="H14" s="69"/>
      <c r="I14" s="8"/>
      <c r="J14" s="38"/>
      <c r="K14" s="17"/>
      <c r="L14" s="17"/>
      <c r="M14" s="17"/>
      <c r="N14" s="17"/>
      <c r="O14" s="17"/>
      <c r="P14" s="63"/>
      <c r="R14" s="38"/>
      <c r="S14" s="17"/>
      <c r="T14" s="17"/>
      <c r="U14" s="17"/>
      <c r="V14" s="17"/>
      <c r="W14" s="17"/>
      <c r="X14" s="63"/>
      <c r="Z14" s="25" t="s">
        <v>91</v>
      </c>
      <c r="AA14" s="85" t="e">
        <f t="shared" ref="AA14" ca="1" si="7">_1__xlfn.S(AA8:AA11)</f>
        <v>#NAME?</v>
      </c>
      <c r="AB14" s="32"/>
      <c r="AC14" s="33"/>
      <c r="AD14" s="33"/>
      <c r="AE14" s="31" t="s">
        <v>91</v>
      </c>
      <c r="AF14" s="54" t="e">
        <f ca="1">(AF8/AF7)*AF13</f>
        <v>#NAME?</v>
      </c>
    </row>
    <row r="15" spans="1:32" ht="15.75" thickBot="1" x14ac:dyDescent="0.3">
      <c r="B15" s="212" t="s">
        <v>109</v>
      </c>
      <c r="C15" s="213"/>
      <c r="D15" s="213"/>
      <c r="E15" s="213"/>
      <c r="F15" s="213"/>
      <c r="G15" s="213"/>
      <c r="H15" s="214"/>
      <c r="I15" s="8"/>
      <c r="J15" s="212" t="s">
        <v>110</v>
      </c>
      <c r="K15" s="213"/>
      <c r="L15" s="213"/>
      <c r="M15" s="213"/>
      <c r="N15" s="213"/>
      <c r="O15" s="213"/>
      <c r="P15" s="214"/>
      <c r="R15" s="212" t="s">
        <v>110</v>
      </c>
      <c r="S15" s="213"/>
      <c r="T15" s="213"/>
      <c r="U15" s="213"/>
      <c r="V15" s="213"/>
      <c r="W15" s="213"/>
      <c r="X15" s="214"/>
      <c r="Z15" s="38"/>
      <c r="AA15" s="17"/>
      <c r="AB15" s="17"/>
      <c r="AC15" s="17"/>
      <c r="AD15" s="17"/>
      <c r="AE15" s="17"/>
      <c r="AF15" s="63"/>
    </row>
    <row r="16" spans="1:32" x14ac:dyDescent="0.25">
      <c r="B16" s="38"/>
      <c r="C16" s="17" t="s">
        <v>71</v>
      </c>
      <c r="D16" s="8" t="s">
        <v>82</v>
      </c>
      <c r="E16" s="17" t="s">
        <v>102</v>
      </c>
      <c r="F16" s="8"/>
      <c r="G16" s="8"/>
      <c r="H16" s="63"/>
      <c r="J16" s="38" t="s">
        <v>124</v>
      </c>
      <c r="K16" s="93">
        <v>0.5</v>
      </c>
      <c r="L16" s="17" t="s">
        <v>96</v>
      </c>
      <c r="M16" s="17"/>
      <c r="N16" s="17"/>
      <c r="O16" s="17"/>
      <c r="P16" s="66"/>
      <c r="R16" s="38" t="s">
        <v>121</v>
      </c>
      <c r="S16" s="93">
        <f>28+3/16</f>
        <v>28.1875</v>
      </c>
      <c r="T16" s="17" t="s">
        <v>96</v>
      </c>
      <c r="U16" s="17"/>
      <c r="V16" s="17"/>
      <c r="W16" s="17"/>
      <c r="X16" s="63"/>
      <c r="Z16" s="212" t="s">
        <v>110</v>
      </c>
      <c r="AA16" s="213"/>
      <c r="AB16" s="213"/>
      <c r="AC16" s="213"/>
      <c r="AD16" s="213"/>
      <c r="AE16" s="213"/>
      <c r="AF16" s="214"/>
    </row>
    <row r="17" spans="2:32" x14ac:dyDescent="0.25">
      <c r="B17" s="11" t="s">
        <v>111</v>
      </c>
      <c r="C17" s="41">
        <v>61.31</v>
      </c>
      <c r="D17" s="56"/>
      <c r="E17" s="41">
        <v>-1.25</v>
      </c>
      <c r="F17" s="8"/>
      <c r="G17" s="8"/>
      <c r="H17" s="79"/>
      <c r="J17" s="38" t="s">
        <v>122</v>
      </c>
      <c r="K17" s="93">
        <v>26.875</v>
      </c>
      <c r="L17" s="17" t="s">
        <v>96</v>
      </c>
      <c r="M17" s="17"/>
      <c r="N17" s="17"/>
      <c r="O17" s="17"/>
      <c r="P17" s="63"/>
      <c r="R17" s="38"/>
      <c r="S17" s="17"/>
      <c r="T17" s="17"/>
      <c r="U17" s="17"/>
      <c r="V17" s="17"/>
      <c r="W17" s="17"/>
      <c r="X17" s="63"/>
      <c r="Z17" s="38" t="s">
        <v>1</v>
      </c>
      <c r="AA17" s="93">
        <v>33.5</v>
      </c>
      <c r="AB17" s="17" t="s">
        <v>96</v>
      </c>
      <c r="AC17" s="17"/>
      <c r="AD17" s="17"/>
      <c r="AE17" s="17"/>
      <c r="AF17" s="63"/>
    </row>
    <row r="18" spans="2:32" x14ac:dyDescent="0.25">
      <c r="B18" s="11" t="s">
        <v>112</v>
      </c>
      <c r="C18" s="41">
        <v>100.02</v>
      </c>
      <c r="D18" s="56"/>
      <c r="E18" s="41">
        <v>0.25</v>
      </c>
      <c r="F18" s="8"/>
      <c r="G18" s="8"/>
      <c r="H18" s="79"/>
      <c r="J18" s="38" t="s">
        <v>123</v>
      </c>
      <c r="K18" s="93">
        <v>26.625</v>
      </c>
      <c r="L18" s="17" t="s">
        <v>96</v>
      </c>
      <c r="M18" s="17"/>
      <c r="N18" s="17"/>
      <c r="O18" s="17"/>
      <c r="P18" s="63"/>
      <c r="R18" s="11" t="s">
        <v>125</v>
      </c>
      <c r="S18" s="8"/>
      <c r="T18" s="17"/>
      <c r="U18" s="17"/>
      <c r="V18" s="17"/>
      <c r="W18" s="17"/>
      <c r="X18" s="63"/>
      <c r="Z18" s="38" t="s">
        <v>2</v>
      </c>
      <c r="AA18" s="93">
        <v>33.5</v>
      </c>
      <c r="AB18" s="17" t="s">
        <v>96</v>
      </c>
      <c r="AC18" s="17"/>
      <c r="AD18" s="17"/>
      <c r="AE18" s="17"/>
      <c r="AF18" s="63"/>
    </row>
    <row r="19" spans="2:32" x14ac:dyDescent="0.25">
      <c r="B19" s="11" t="s">
        <v>113</v>
      </c>
      <c r="C19" s="41">
        <f>383.33</f>
        <v>383.33</v>
      </c>
      <c r="D19" s="56"/>
      <c r="E19" s="41">
        <v>9</v>
      </c>
      <c r="F19" s="8"/>
      <c r="G19" s="8"/>
      <c r="H19" s="79"/>
      <c r="I19" s="8"/>
      <c r="J19" s="38"/>
      <c r="K19" s="17"/>
      <c r="L19" s="17"/>
      <c r="M19" s="17"/>
      <c r="N19" s="17"/>
      <c r="O19" s="17"/>
      <c r="P19" s="63"/>
      <c r="R19" s="11" t="s">
        <v>126</v>
      </c>
      <c r="S19" t="s">
        <v>128</v>
      </c>
      <c r="T19" s="8" t="s">
        <v>127</v>
      </c>
      <c r="U19" s="17"/>
      <c r="V19" s="17"/>
      <c r="W19" s="17"/>
      <c r="X19" s="63"/>
      <c r="Z19" s="38" t="s">
        <v>3</v>
      </c>
      <c r="AA19" s="93">
        <f>15+7/16</f>
        <v>15.4375</v>
      </c>
      <c r="AB19" s="17" t="s">
        <v>96</v>
      </c>
      <c r="AC19" s="17"/>
      <c r="AD19" s="17"/>
      <c r="AE19" s="17"/>
      <c r="AF19" s="63"/>
    </row>
    <row r="20" spans="2:32" x14ac:dyDescent="0.25">
      <c r="B20" s="11"/>
      <c r="C20" s="8"/>
      <c r="D20" s="8"/>
      <c r="E20" s="8"/>
      <c r="F20" s="8"/>
      <c r="G20" s="8"/>
      <c r="H20" s="79"/>
      <c r="J20" s="11" t="s">
        <v>125</v>
      </c>
      <c r="K20" s="8"/>
      <c r="L20" s="17"/>
      <c r="M20" s="17"/>
      <c r="N20" s="17"/>
      <c r="O20" s="17"/>
      <c r="P20" s="63"/>
      <c r="R20" s="94">
        <v>0</v>
      </c>
      <c r="S20" s="75">
        <v>0</v>
      </c>
      <c r="T20" s="42">
        <f>-1.93-S16</f>
        <v>-30.1175</v>
      </c>
      <c r="U20" s="17"/>
      <c r="V20" s="17"/>
      <c r="W20" s="17"/>
      <c r="X20" s="63"/>
      <c r="Z20" s="38" t="s">
        <v>4</v>
      </c>
      <c r="AA20" s="93">
        <f>15+7/16</f>
        <v>15.4375</v>
      </c>
      <c r="AB20" s="17" t="s">
        <v>96</v>
      </c>
      <c r="AC20" s="17"/>
      <c r="AD20" s="17"/>
      <c r="AE20" s="17"/>
      <c r="AF20" s="63"/>
    </row>
    <row r="21" spans="2:32" ht="15.75" thickBot="1" x14ac:dyDescent="0.3">
      <c r="B21" s="12" t="s">
        <v>114</v>
      </c>
      <c r="C21" s="70">
        <f>SUM(C17:C19)</f>
        <v>544.66</v>
      </c>
      <c r="D21" s="71"/>
      <c r="E21" s="70">
        <f>SUMPRODUCT($C17:$C19,E17:E19)/SUM($C17:$C19)</f>
        <v>6.2393741049462044</v>
      </c>
      <c r="F21" s="13"/>
      <c r="G21" s="13"/>
      <c r="H21" s="80"/>
      <c r="J21" s="11" t="s">
        <v>126</v>
      </c>
      <c r="K21" t="s">
        <v>128</v>
      </c>
      <c r="L21" s="8" t="s">
        <v>127</v>
      </c>
      <c r="M21" s="17"/>
      <c r="N21" s="17"/>
      <c r="O21" s="17"/>
      <c r="P21" s="63"/>
      <c r="R21" s="12"/>
      <c r="S21" s="13"/>
      <c r="T21" s="32"/>
      <c r="U21" s="32"/>
      <c r="V21" s="32"/>
      <c r="W21" s="32"/>
      <c r="X21" s="74"/>
      <c r="Z21" s="38" t="s">
        <v>132</v>
      </c>
      <c r="AA21" s="17"/>
      <c r="AB21" s="17"/>
      <c r="AC21" s="17"/>
      <c r="AD21" s="17"/>
      <c r="AE21" s="17"/>
      <c r="AF21" s="63"/>
    </row>
    <row r="22" spans="2:32" x14ac:dyDescent="0.25">
      <c r="B22" s="11"/>
      <c r="C22" s="8"/>
      <c r="D22" s="8"/>
      <c r="E22" s="8"/>
      <c r="F22" s="8"/>
      <c r="G22" s="8"/>
      <c r="H22" s="9"/>
      <c r="J22" s="89">
        <f>-19.05+K16</f>
        <v>-18.55</v>
      </c>
      <c r="K22" s="40"/>
      <c r="L22" s="42">
        <f>-1.93-(AVERAGE(K17:K18))</f>
        <v>-28.68</v>
      </c>
      <c r="M22" s="17"/>
      <c r="N22" s="17"/>
      <c r="O22" s="17"/>
      <c r="P22" s="63"/>
      <c r="R22" s="11"/>
      <c r="S22" s="8"/>
      <c r="T22" s="17"/>
      <c r="U22" s="17"/>
      <c r="V22" s="17"/>
      <c r="W22" s="17"/>
      <c r="X22" s="63"/>
      <c r="Z22" s="38" t="s">
        <v>73</v>
      </c>
      <c r="AA22" s="93">
        <f>1+9/16</f>
        <v>1.5625</v>
      </c>
      <c r="AB22" s="17" t="s">
        <v>96</v>
      </c>
      <c r="AC22" s="17"/>
      <c r="AD22" s="17"/>
      <c r="AE22" s="17"/>
      <c r="AF22" s="63"/>
    </row>
    <row r="23" spans="2:32" ht="15.75" thickBot="1" x14ac:dyDescent="0.3">
      <c r="B23" s="5" t="s">
        <v>104</v>
      </c>
      <c r="C23" s="42">
        <f>E21</f>
        <v>6.2393741049462044</v>
      </c>
      <c r="D23" s="8" t="s">
        <v>96</v>
      </c>
      <c r="E23" s="8"/>
      <c r="F23" s="8"/>
      <c r="G23" s="8"/>
      <c r="H23" s="9"/>
      <c r="J23" s="12"/>
      <c r="K23" s="13"/>
      <c r="L23" s="32"/>
      <c r="M23" s="32"/>
      <c r="N23" s="32"/>
      <c r="O23" s="32"/>
      <c r="P23" s="74"/>
      <c r="R23" s="11"/>
      <c r="S23" s="8"/>
      <c r="T23" s="17"/>
      <c r="U23" s="17"/>
      <c r="V23" s="17"/>
      <c r="W23" s="17"/>
      <c r="X23" s="63"/>
      <c r="Z23" s="38" t="s">
        <v>74</v>
      </c>
      <c r="AA23" s="93">
        <f>1+7/16</f>
        <v>1.4375</v>
      </c>
      <c r="AB23" s="17" t="s">
        <v>96</v>
      </c>
      <c r="AC23" s="17"/>
      <c r="AD23" s="17"/>
      <c r="AE23" s="17"/>
      <c r="AF23" s="63"/>
    </row>
    <row r="24" spans="2:32" x14ac:dyDescent="0.25">
      <c r="B24" s="5" t="s">
        <v>68</v>
      </c>
      <c r="C24" s="42">
        <f>C21</f>
        <v>544.66</v>
      </c>
      <c r="D24" s="8" t="s">
        <v>65</v>
      </c>
      <c r="E24" s="8"/>
      <c r="F24" s="8"/>
      <c r="G24" s="8"/>
      <c r="H24" s="9"/>
      <c r="J24" s="11"/>
      <c r="K24" s="8"/>
      <c r="L24" s="17"/>
      <c r="M24" s="17"/>
      <c r="N24" s="17"/>
      <c r="O24" s="17"/>
      <c r="P24" s="63"/>
      <c r="R24" s="212" t="s">
        <v>109</v>
      </c>
      <c r="S24" s="213"/>
      <c r="T24" s="213"/>
      <c r="U24" s="213"/>
      <c r="V24" s="213"/>
      <c r="W24" s="213"/>
      <c r="X24" s="214"/>
      <c r="Z24" s="38"/>
      <c r="AA24" s="17"/>
      <c r="AB24" s="17"/>
      <c r="AC24" s="17"/>
      <c r="AD24" s="17"/>
      <c r="AE24" s="17"/>
      <c r="AF24" s="63"/>
    </row>
    <row r="25" spans="2:32" ht="15.75" thickBot="1" x14ac:dyDescent="0.3">
      <c r="B25" s="5" t="s">
        <v>32</v>
      </c>
      <c r="C25" s="42">
        <f>H12</f>
        <v>1.009308063249972</v>
      </c>
      <c r="D25" s="8" t="s">
        <v>93</v>
      </c>
      <c r="E25" s="8"/>
      <c r="F25" s="8"/>
      <c r="G25" s="8"/>
      <c r="H25" s="9"/>
      <c r="J25" s="11"/>
      <c r="K25" s="8"/>
      <c r="L25" s="17"/>
      <c r="M25" s="17"/>
      <c r="N25" s="17"/>
      <c r="O25" s="17"/>
      <c r="P25" s="63"/>
      <c r="R25" s="38"/>
      <c r="S25" s="17" t="s">
        <v>71</v>
      </c>
      <c r="T25" s="8" t="s">
        <v>82</v>
      </c>
      <c r="U25" s="17" t="s">
        <v>70</v>
      </c>
      <c r="V25" s="17" t="s">
        <v>76</v>
      </c>
      <c r="W25" s="17" t="s">
        <v>102</v>
      </c>
      <c r="X25" s="63" t="s">
        <v>83</v>
      </c>
      <c r="Z25" s="11"/>
      <c r="AA25" s="8"/>
      <c r="AB25" s="17"/>
      <c r="AC25" s="17"/>
      <c r="AD25" s="17"/>
      <c r="AE25" s="17"/>
      <c r="AF25" s="63"/>
    </row>
    <row r="26" spans="2:32" ht="15.75" thickBot="1" x14ac:dyDescent="0.3">
      <c r="B26" s="11"/>
      <c r="C26" s="8"/>
      <c r="D26" s="8"/>
      <c r="E26" s="8"/>
      <c r="F26" s="8"/>
      <c r="G26" s="8"/>
      <c r="H26" s="9"/>
      <c r="J26" s="212" t="s">
        <v>109</v>
      </c>
      <c r="K26" s="213"/>
      <c r="L26" s="213"/>
      <c r="M26" s="213"/>
      <c r="N26" s="213"/>
      <c r="O26" s="213"/>
      <c r="P26" s="214"/>
      <c r="R26" s="11" t="s">
        <v>114</v>
      </c>
      <c r="S26" s="42">
        <f>$C$21</f>
        <v>544.66</v>
      </c>
      <c r="T26" s="56"/>
      <c r="U26" s="81">
        <v>0</v>
      </c>
      <c r="V26" s="42">
        <f>$E$21</f>
        <v>6.2393741049462044</v>
      </c>
      <c r="W26" s="55">
        <f>SQRT(U26^2+V26^2)</f>
        <v>6.2393741049462044</v>
      </c>
      <c r="X26" s="64">
        <f>$C$28</f>
        <v>2.104813777075026E-2</v>
      </c>
      <c r="Z26" s="11"/>
      <c r="AA26" s="8"/>
      <c r="AB26" s="17"/>
      <c r="AC26" s="17"/>
      <c r="AD26" s="17"/>
      <c r="AE26" s="17"/>
      <c r="AF26" s="63"/>
    </row>
    <row r="27" spans="2:32" x14ac:dyDescent="0.25">
      <c r="B27" s="202" t="s">
        <v>107</v>
      </c>
      <c r="C27" s="203"/>
      <c r="D27" s="203"/>
      <c r="E27" s="8"/>
      <c r="F27" s="8"/>
      <c r="G27" s="8"/>
      <c r="H27" s="9"/>
      <c r="J27" s="38"/>
      <c r="K27" s="17" t="s">
        <v>71</v>
      </c>
      <c r="L27" s="8" t="s">
        <v>82</v>
      </c>
      <c r="M27" s="17" t="s">
        <v>69</v>
      </c>
      <c r="N27" s="17" t="s">
        <v>76</v>
      </c>
      <c r="O27" s="17" t="s">
        <v>102</v>
      </c>
      <c r="P27" s="63" t="s">
        <v>83</v>
      </c>
      <c r="R27" s="11" t="s">
        <v>106</v>
      </c>
      <c r="S27" s="42">
        <f>2*'Components and Fixtures'!$C$8</f>
        <v>27.49</v>
      </c>
      <c r="T27" s="88">
        <f>2*'Components and Fixtures'!$G$8</f>
        <v>2.6599999999999999E-6</v>
      </c>
      <c r="U27" s="42">
        <f>'Components and Fixtures'!$E$9-'Components and Fixtures'!$E$9</f>
        <v>0</v>
      </c>
      <c r="V27" s="42">
        <f>'Components and Fixtures'!$F$8-T20</f>
        <v>28.788499999999999</v>
      </c>
      <c r="W27" s="55">
        <f t="shared" ref="W27" si="8">SQRT(U27^2+V27^2)</f>
        <v>28.788499999999999</v>
      </c>
      <c r="X27" s="64">
        <f>T27+(S27/1000)*(W27*'Components and Fixtures'!$C$3)^2</f>
        <v>1.4701404705388886E-2</v>
      </c>
      <c r="Z27" s="212" t="s">
        <v>109</v>
      </c>
      <c r="AA27" s="213"/>
      <c r="AB27" s="213"/>
      <c r="AC27" s="213"/>
      <c r="AD27" s="213"/>
      <c r="AE27" s="213"/>
      <c r="AF27" s="214"/>
    </row>
    <row r="28" spans="2:32" ht="15.75" thickBot="1" x14ac:dyDescent="0.3">
      <c r="B28" s="61" t="s">
        <v>62</v>
      </c>
      <c r="C28" s="70">
        <f>(C24/1000)*'Components and Fixtures'!$C$2*(C23*'Components and Fixtures'!$C$3)/(C25*2*PI())^2</f>
        <v>2.104813777075026E-2</v>
      </c>
      <c r="D28" s="62" t="s">
        <v>97</v>
      </c>
      <c r="E28" s="13"/>
      <c r="F28" s="13"/>
      <c r="G28" s="13"/>
      <c r="H28" s="15"/>
      <c r="J28" s="11" t="s">
        <v>114</v>
      </c>
      <c r="K28" s="42">
        <f>$C$21</f>
        <v>544.66</v>
      </c>
      <c r="L28" s="56"/>
      <c r="M28" s="81">
        <v>0</v>
      </c>
      <c r="N28" s="42">
        <f>$E$21</f>
        <v>6.2393741049462044</v>
      </c>
      <c r="O28" s="55">
        <f>SQRT(M28^2+N28^2)</f>
        <v>6.2393741049462044</v>
      </c>
      <c r="P28" s="64">
        <f>$C$28</f>
        <v>2.104813777075026E-2</v>
      </c>
      <c r="R28" s="11" t="s">
        <v>98</v>
      </c>
      <c r="S28" s="42">
        <f>'Components and Fixtures'!$C$16</f>
        <v>3169.45</v>
      </c>
      <c r="T28" s="56"/>
      <c r="U28" s="56"/>
      <c r="V28" s="42">
        <f>'Components and Fixtures'!$F$16-T20</f>
        <v>30.407499999999999</v>
      </c>
      <c r="W28" s="57"/>
      <c r="X28" s="65"/>
      <c r="Z28" s="38"/>
      <c r="AA28" s="17" t="s">
        <v>71</v>
      </c>
      <c r="AB28" s="8" t="s">
        <v>82</v>
      </c>
      <c r="AC28" s="17" t="s">
        <v>70</v>
      </c>
      <c r="AD28" s="17" t="s">
        <v>76</v>
      </c>
      <c r="AE28" s="17" t="s">
        <v>102</v>
      </c>
      <c r="AF28" s="63" t="s">
        <v>83</v>
      </c>
    </row>
    <row r="29" spans="2:32" x14ac:dyDescent="0.25">
      <c r="J29" s="11" t="s">
        <v>106</v>
      </c>
      <c r="K29" s="42">
        <f>2*'Components and Fixtures'!$C$8</f>
        <v>27.49</v>
      </c>
      <c r="L29" s="88">
        <f>2*'Components and Fixtures'!$H$8</f>
        <v>1.0959999999999999E-4</v>
      </c>
      <c r="M29" s="42">
        <f>'Components and Fixtures'!$D$8-J22</f>
        <v>-3.3099999999999987</v>
      </c>
      <c r="N29" s="42">
        <f>'Components and Fixtures'!$F$8-L22</f>
        <v>27.350999999999999</v>
      </c>
      <c r="O29" s="55">
        <f t="shared" ref="O29" si="9">SQRT(M29^2+N29^2)</f>
        <v>27.550558996143799</v>
      </c>
      <c r="P29" s="64">
        <f>L29+(K29/1000)*(O29*'Components and Fixtures'!$C$3)^2</f>
        <v>1.3571395943767163E-2</v>
      </c>
      <c r="R29" s="11"/>
      <c r="S29" s="8"/>
      <c r="T29" s="8"/>
      <c r="U29" s="8"/>
      <c r="V29" s="8"/>
      <c r="W29" s="8"/>
      <c r="X29" s="9"/>
      <c r="Z29" s="11" t="s">
        <v>114</v>
      </c>
      <c r="AA29" s="42">
        <f>C18+C19/2</f>
        <v>291.685</v>
      </c>
      <c r="AB29" s="56"/>
      <c r="AC29" s="42">
        <f>AA35/2</f>
        <v>7.71875</v>
      </c>
      <c r="AD29" s="42">
        <v>0</v>
      </c>
      <c r="AE29" s="55">
        <f>SQRT(AC29^2+AD29^2)</f>
        <v>7.71875</v>
      </c>
      <c r="AF29" s="64">
        <f>AB29+(AA29/1000)*(AE29*'Components and Fixtures'!$C$3)^2</f>
        <v>1.121180353715957E-2</v>
      </c>
    </row>
    <row r="30" spans="2:32" x14ac:dyDescent="0.25">
      <c r="J30" s="11" t="s">
        <v>98</v>
      </c>
      <c r="K30" s="42">
        <f>'Components and Fixtures'!$C$16</f>
        <v>3169.45</v>
      </c>
      <c r="L30" s="56"/>
      <c r="M30" s="56"/>
      <c r="N30" s="42">
        <f>'Components and Fixtures'!$F$16-L22</f>
        <v>28.97</v>
      </c>
      <c r="O30" s="57"/>
      <c r="P30" s="65"/>
      <c r="R30" s="11" t="s">
        <v>81</v>
      </c>
      <c r="S30" s="42">
        <f>SUM(S26:S28)</f>
        <v>3741.6</v>
      </c>
      <c r="T30" s="56"/>
      <c r="U30" s="81">
        <v>0</v>
      </c>
      <c r="V30" s="42">
        <f>SUMPRODUCT($S26:$S28,V26:V28)/SUM($S26:$S28)</f>
        <v>26.877481355569806</v>
      </c>
      <c r="W30" s="55">
        <f>SQRT(U30^2 + V30^2)</f>
        <v>26.877481355569806</v>
      </c>
      <c r="X30" s="65"/>
      <c r="Z30" s="11" t="s">
        <v>106</v>
      </c>
      <c r="AA30" s="42">
        <f>2*'Components and Fixtures'!$C$9</f>
        <v>46.75</v>
      </c>
      <c r="AB30" s="88">
        <f>2*'Components and Fixtures'!$G$8</f>
        <v>2.6599999999999999E-6</v>
      </c>
      <c r="AC30" s="42">
        <f>'Components and Fixtures'!$E$9</f>
        <v>7.31</v>
      </c>
      <c r="AD30" s="42">
        <v>0</v>
      </c>
      <c r="AE30" s="55">
        <f t="shared" ref="AE30" si="10">SQRT(AC30^2+AD30^2)</f>
        <v>7.31</v>
      </c>
      <c r="AF30" s="64">
        <f>AB30+(AA30/1000)*(AE30*'Components and Fixtures'!$C$3)^2</f>
        <v>1.6143585024029996E-3</v>
      </c>
    </row>
    <row r="31" spans="2:32" x14ac:dyDescent="0.25">
      <c r="J31" s="11"/>
      <c r="K31" s="8"/>
      <c r="L31" s="8"/>
      <c r="M31" s="8"/>
      <c r="N31" s="8"/>
      <c r="O31" s="8"/>
      <c r="P31" s="9"/>
      <c r="R31" s="11"/>
      <c r="S31" s="8"/>
      <c r="T31" s="8"/>
      <c r="U31" s="8"/>
      <c r="V31" s="8"/>
      <c r="W31" s="8"/>
      <c r="X31" s="9"/>
      <c r="Z31" s="11" t="s">
        <v>98</v>
      </c>
      <c r="AA31" s="42">
        <f>'Components and Fixtures'!$C$16</f>
        <v>3169.45</v>
      </c>
      <c r="AB31" s="56"/>
      <c r="AC31" s="56"/>
      <c r="AD31" s="56"/>
      <c r="AE31" s="57"/>
      <c r="AF31" s="65"/>
    </row>
    <row r="32" spans="2:32" ht="15.75" thickBot="1" x14ac:dyDescent="0.3">
      <c r="J32" s="11" t="s">
        <v>81</v>
      </c>
      <c r="K32" s="42">
        <f>SUM(K28:K30)</f>
        <v>3741.6</v>
      </c>
      <c r="L32" s="56"/>
      <c r="M32" s="81">
        <v>0</v>
      </c>
      <c r="N32" s="42">
        <f>SUMPRODUCT($K28:$K30,N28:N30)/SUM($K28:$K30)</f>
        <v>25.649236420248023</v>
      </c>
      <c r="O32" s="55">
        <f>SQRT(M32^2 + N32^2)</f>
        <v>25.649236420248023</v>
      </c>
      <c r="P32" s="65"/>
      <c r="R32" s="12" t="str">
        <f>R28</f>
        <v>Body</v>
      </c>
      <c r="S32" s="70">
        <f>S28</f>
        <v>3169.45</v>
      </c>
      <c r="T32" s="71"/>
      <c r="U32" s="95">
        <f>SUMPRODUCT(S30,U30)/SUM(S30) - SUMPRODUCT($S26:$S27,U26:U27)/SUM($S26:$S27)</f>
        <v>0</v>
      </c>
      <c r="V32" s="71"/>
      <c r="W32" s="72">
        <f>SQRT(U32^2 + V28^2)</f>
        <v>30.407499999999999</v>
      </c>
      <c r="X32" s="73"/>
      <c r="Z32" s="11"/>
      <c r="AA32" s="8"/>
      <c r="AB32" s="8"/>
      <c r="AC32" s="8"/>
      <c r="AD32" s="8"/>
      <c r="AE32" s="8"/>
      <c r="AF32" s="9"/>
    </row>
    <row r="33" spans="10:32" ht="15.75" thickBot="1" x14ac:dyDescent="0.3">
      <c r="J33" s="11"/>
      <c r="K33" s="8"/>
      <c r="L33" s="8"/>
      <c r="M33" s="8"/>
      <c r="N33" s="8"/>
      <c r="O33" s="8"/>
      <c r="P33" s="9"/>
      <c r="R33" s="1"/>
      <c r="S33" s="2"/>
      <c r="T33" s="2"/>
      <c r="U33" s="2"/>
      <c r="V33" s="2"/>
      <c r="W33" s="2"/>
      <c r="X33" s="4"/>
      <c r="Z33" s="11" t="s">
        <v>81</v>
      </c>
      <c r="AA33" s="42">
        <f>SUM(AA29:AA31)</f>
        <v>3507.8849999999998</v>
      </c>
      <c r="AB33" s="56"/>
      <c r="AC33" s="56"/>
      <c r="AD33" s="56"/>
      <c r="AE33" s="57"/>
      <c r="AF33" s="65"/>
    </row>
    <row r="34" spans="10:32" ht="15.75" thickBot="1" x14ac:dyDescent="0.3">
      <c r="J34" s="12" t="str">
        <f>J30</f>
        <v>Body</v>
      </c>
      <c r="K34" s="70">
        <f>K30</f>
        <v>3169.45</v>
      </c>
      <c r="L34" s="71"/>
      <c r="M34" s="95">
        <f>SUMPRODUCT(K32,M32)/SUM(K32) - SUMPRODUCT($K28:$K29,M28:M29)/SUM($K28:$K29)</f>
        <v>0.15903504325788684</v>
      </c>
      <c r="N34" s="71"/>
      <c r="O34" s="72">
        <f>SQRT(M34^2 + N30^2)</f>
        <v>28.970436519752063</v>
      </c>
      <c r="P34" s="73"/>
      <c r="R34" s="5" t="s">
        <v>104</v>
      </c>
      <c r="S34" s="42">
        <f>W30</f>
        <v>26.877481355569806</v>
      </c>
      <c r="T34" s="8" t="s">
        <v>96</v>
      </c>
      <c r="U34" s="8"/>
      <c r="V34" s="8"/>
      <c r="W34" s="8"/>
      <c r="X34" s="9"/>
      <c r="Z34" s="1"/>
      <c r="AA34" s="2"/>
      <c r="AB34" s="2"/>
      <c r="AC34" s="2"/>
      <c r="AD34" s="2"/>
      <c r="AE34" s="2"/>
      <c r="AF34" s="4"/>
    </row>
    <row r="35" spans="10:32" x14ac:dyDescent="0.25">
      <c r="J35" s="1"/>
      <c r="K35" s="2"/>
      <c r="L35" s="2"/>
      <c r="M35" s="2"/>
      <c r="N35" s="2"/>
      <c r="O35" s="2"/>
      <c r="P35" s="4"/>
      <c r="R35" s="5" t="s">
        <v>68</v>
      </c>
      <c r="S35" s="42">
        <f>S30</f>
        <v>3741.6</v>
      </c>
      <c r="T35" s="8" t="s">
        <v>65</v>
      </c>
      <c r="U35" s="8"/>
      <c r="V35" s="8"/>
      <c r="W35" s="8"/>
      <c r="X35" s="9"/>
      <c r="Z35" s="5" t="s">
        <v>5</v>
      </c>
      <c r="AA35" s="42">
        <f>AVERAGE(AA19:AA20)</f>
        <v>15.4375</v>
      </c>
      <c r="AB35" s="8" t="s">
        <v>96</v>
      </c>
      <c r="AC35" s="8"/>
      <c r="AD35" s="8"/>
      <c r="AE35" s="8"/>
      <c r="AF35" s="9"/>
    </row>
    <row r="36" spans="10:32" x14ac:dyDescent="0.25">
      <c r="J36" s="5" t="s">
        <v>104</v>
      </c>
      <c r="K36" s="42">
        <f>O32</f>
        <v>25.649236420248023</v>
      </c>
      <c r="L36" s="8" t="s">
        <v>96</v>
      </c>
      <c r="M36" s="8"/>
      <c r="N36" s="8"/>
      <c r="O36" s="8"/>
      <c r="P36" s="9"/>
      <c r="R36" s="5" t="s">
        <v>32</v>
      </c>
      <c r="S36" s="92">
        <f>X12</f>
        <v>0.57155558378052262</v>
      </c>
      <c r="T36" s="8" t="s">
        <v>93</v>
      </c>
      <c r="U36" s="8"/>
      <c r="V36" s="8"/>
      <c r="W36" s="8"/>
      <c r="X36" s="9"/>
      <c r="Z36" s="5" t="s">
        <v>63</v>
      </c>
      <c r="AA36" s="42">
        <f>AVERAGE(AA17:AA18)</f>
        <v>33.5</v>
      </c>
      <c r="AB36" s="8" t="s">
        <v>96</v>
      </c>
      <c r="AC36" s="8"/>
      <c r="AD36" s="8"/>
      <c r="AE36" s="8"/>
      <c r="AF36" s="9"/>
    </row>
    <row r="37" spans="10:32" x14ac:dyDescent="0.25">
      <c r="J37" s="5" t="s">
        <v>68</v>
      </c>
      <c r="K37" s="42">
        <f>K32</f>
        <v>3741.6</v>
      </c>
      <c r="L37" s="8" t="s">
        <v>65</v>
      </c>
      <c r="M37" s="8"/>
      <c r="N37" s="8"/>
      <c r="O37" s="8"/>
      <c r="P37" s="9"/>
      <c r="R37" s="11"/>
      <c r="S37" s="8"/>
      <c r="T37" s="8"/>
      <c r="U37" s="8"/>
      <c r="V37" s="8"/>
      <c r="W37" s="8"/>
      <c r="X37" s="9"/>
      <c r="Z37" s="5" t="s">
        <v>68</v>
      </c>
      <c r="AA37" s="42">
        <f>AA33</f>
        <v>3507.8849999999998</v>
      </c>
      <c r="AB37" s="8" t="s">
        <v>65</v>
      </c>
      <c r="AC37" s="8"/>
      <c r="AD37" s="8"/>
      <c r="AE37" s="8"/>
      <c r="AF37" s="9"/>
    </row>
    <row r="38" spans="10:32" x14ac:dyDescent="0.25">
      <c r="J38" s="5" t="s">
        <v>32</v>
      </c>
      <c r="K38" s="92">
        <f>P12</f>
        <v>0.56671494238398079</v>
      </c>
      <c r="L38" s="8" t="s">
        <v>93</v>
      </c>
      <c r="M38" s="8"/>
      <c r="N38" s="8"/>
      <c r="O38" s="8"/>
      <c r="P38" s="9"/>
      <c r="R38" s="202" t="s">
        <v>107</v>
      </c>
      <c r="S38" s="203"/>
      <c r="T38" s="203"/>
      <c r="U38" s="8"/>
      <c r="V38" s="8"/>
      <c r="W38" s="8"/>
      <c r="X38" s="9"/>
      <c r="Z38" s="5" t="s">
        <v>32</v>
      </c>
      <c r="AA38" s="92">
        <f>AF13</f>
        <v>1.1834319526627219</v>
      </c>
      <c r="AB38" s="8" t="s">
        <v>93</v>
      </c>
      <c r="AC38" s="8"/>
      <c r="AD38" s="8"/>
      <c r="AE38" s="8"/>
      <c r="AF38" s="9"/>
    </row>
    <row r="39" spans="10:32" x14ac:dyDescent="0.25">
      <c r="J39" s="11"/>
      <c r="K39" s="8"/>
      <c r="L39" s="8"/>
      <c r="M39" s="8"/>
      <c r="N39" s="8"/>
      <c r="O39" s="8"/>
      <c r="P39" s="9"/>
      <c r="R39" s="90" t="s">
        <v>62</v>
      </c>
      <c r="S39" s="42">
        <f>(S35/1000)*g*(S34*in2m)/(S36*2*PI())^2</f>
        <v>1.9423327717497656</v>
      </c>
      <c r="T39" s="91" t="s">
        <v>97</v>
      </c>
      <c r="U39" s="8"/>
      <c r="V39" s="8"/>
      <c r="W39" s="8"/>
      <c r="X39" s="9"/>
      <c r="Z39" s="11"/>
      <c r="AA39" s="8"/>
      <c r="AB39" s="8"/>
      <c r="AC39" s="8"/>
      <c r="AD39" s="8"/>
      <c r="AE39" s="8"/>
      <c r="AF39" s="9"/>
    </row>
    <row r="40" spans="10:32" x14ac:dyDescent="0.25">
      <c r="J40" s="202" t="s">
        <v>107</v>
      </c>
      <c r="K40" s="203"/>
      <c r="L40" s="203"/>
      <c r="M40" s="8"/>
      <c r="N40" s="8"/>
      <c r="O40" s="8"/>
      <c r="P40" s="9"/>
      <c r="R40" s="11"/>
      <c r="S40" s="8"/>
      <c r="T40" s="8"/>
      <c r="U40" s="8"/>
      <c r="V40" s="8"/>
      <c r="W40" s="8"/>
      <c r="X40" s="9"/>
      <c r="Z40" s="202" t="s">
        <v>107</v>
      </c>
      <c r="AA40" s="203"/>
      <c r="AB40" s="203"/>
      <c r="AC40" s="8"/>
      <c r="AD40" s="8"/>
      <c r="AE40" s="8"/>
      <c r="AF40" s="9"/>
    </row>
    <row r="41" spans="10:32" x14ac:dyDescent="0.25">
      <c r="J41" s="90" t="s">
        <v>62</v>
      </c>
      <c r="K41" s="42">
        <f>(K37/1000)*g*(K36*in2m)/(K38*2*PI())^2</f>
        <v>1.8853723154045052</v>
      </c>
      <c r="L41" s="91" t="s">
        <v>97</v>
      </c>
      <c r="M41" s="8"/>
      <c r="N41" s="8"/>
      <c r="O41" s="8"/>
      <c r="P41" s="9"/>
      <c r="R41" s="202" t="s">
        <v>129</v>
      </c>
      <c r="S41" s="203"/>
      <c r="T41" s="203"/>
      <c r="U41" s="8"/>
      <c r="V41" s="8"/>
      <c r="W41" s="8"/>
      <c r="X41" s="9"/>
      <c r="Z41" s="90" t="s">
        <v>62</v>
      </c>
      <c r="AA41" s="42">
        <f>(AA37/1000)*g*(AA35*in2m)^2/((AA36*in2m)*(AA38*4*PI())^2)</f>
        <v>2.8106227908062765E-2</v>
      </c>
      <c r="AB41" s="91" t="s">
        <v>97</v>
      </c>
      <c r="AC41" s="8"/>
      <c r="AD41" s="8"/>
      <c r="AE41" s="8"/>
      <c r="AF41" s="9"/>
    </row>
    <row r="42" spans="10:32" x14ac:dyDescent="0.25">
      <c r="J42" s="11"/>
      <c r="K42" s="8"/>
      <c r="L42" s="8"/>
      <c r="M42" s="8"/>
      <c r="N42" s="8"/>
      <c r="O42" s="8"/>
      <c r="P42" s="9"/>
      <c r="R42" s="90" t="s">
        <v>62</v>
      </c>
      <c r="S42" s="42">
        <f>S39-(X26+X27)</f>
        <v>1.9065832292736264</v>
      </c>
      <c r="T42" s="91" t="s">
        <v>97</v>
      </c>
      <c r="U42" s="8"/>
      <c r="V42" s="8"/>
      <c r="W42" s="8"/>
      <c r="X42" s="9"/>
      <c r="Z42" s="11"/>
      <c r="AA42" s="8"/>
      <c r="AB42" s="8"/>
      <c r="AC42" s="8"/>
      <c r="AD42" s="8"/>
      <c r="AE42" s="8"/>
      <c r="AF42" s="9"/>
    </row>
    <row r="43" spans="10:32" x14ac:dyDescent="0.25">
      <c r="J43" s="202" t="s">
        <v>129</v>
      </c>
      <c r="K43" s="203"/>
      <c r="L43" s="203"/>
      <c r="M43" s="8"/>
      <c r="N43" s="8"/>
      <c r="O43" s="8"/>
      <c r="P43" s="9"/>
      <c r="R43" s="11"/>
      <c r="S43" s="8"/>
      <c r="T43" s="8"/>
      <c r="U43" s="8"/>
      <c r="V43" s="8"/>
      <c r="W43" s="8"/>
      <c r="X43" s="9"/>
      <c r="Z43" s="202" t="s">
        <v>133</v>
      </c>
      <c r="AA43" s="203"/>
      <c r="AB43" s="203"/>
      <c r="AC43" s="8"/>
      <c r="AD43" s="8"/>
      <c r="AE43" s="8"/>
      <c r="AF43" s="9"/>
    </row>
    <row r="44" spans="10:32" ht="15.75" thickBot="1" x14ac:dyDescent="0.3">
      <c r="J44" s="90" t="s">
        <v>62</v>
      </c>
      <c r="K44" s="42">
        <f>K41-(P28+P29)</f>
        <v>1.8507527816899878</v>
      </c>
      <c r="L44" s="91" t="s">
        <v>97</v>
      </c>
      <c r="M44" s="8"/>
      <c r="N44" s="8"/>
      <c r="O44" s="8"/>
      <c r="P44" s="9"/>
      <c r="R44" s="202" t="s">
        <v>133</v>
      </c>
      <c r="S44" s="203"/>
      <c r="T44" s="203"/>
      <c r="U44" s="8"/>
      <c r="V44" s="8"/>
      <c r="W44" s="8"/>
      <c r="X44" s="9"/>
      <c r="Z44" s="61" t="s">
        <v>62</v>
      </c>
      <c r="AA44" s="70">
        <f>AA41-(AF29+AF30)</f>
        <v>1.5280065868500196E-2</v>
      </c>
      <c r="AB44" s="62" t="s">
        <v>97</v>
      </c>
      <c r="AC44" s="13"/>
      <c r="AD44" s="13"/>
      <c r="AE44" s="13"/>
      <c r="AF44" s="15"/>
    </row>
    <row r="45" spans="10:32" ht="15.75" thickBot="1" x14ac:dyDescent="0.3">
      <c r="J45" s="11"/>
      <c r="K45" s="8"/>
      <c r="L45" s="8"/>
      <c r="M45" s="8"/>
      <c r="N45" s="8"/>
      <c r="O45" s="8"/>
      <c r="P45" s="9"/>
      <c r="R45" s="61" t="s">
        <v>62</v>
      </c>
      <c r="S45" s="70">
        <f>S42-(S32/1000)*(W32*'Components and Fixtures'!$C$3)^2</f>
        <v>1.5926133510502094E-2</v>
      </c>
      <c r="T45" s="62" t="s">
        <v>97</v>
      </c>
      <c r="U45" s="13"/>
      <c r="V45" s="13"/>
      <c r="W45" s="13"/>
      <c r="X45" s="15"/>
    </row>
    <row r="46" spans="10:32" x14ac:dyDescent="0.25">
      <c r="J46" s="202" t="s">
        <v>133</v>
      </c>
      <c r="K46" s="203"/>
      <c r="L46" s="203"/>
      <c r="M46" s="8"/>
      <c r="N46" s="8"/>
      <c r="O46" s="8"/>
      <c r="P46" s="9"/>
    </row>
    <row r="47" spans="10:32" ht="15.75" thickBot="1" x14ac:dyDescent="0.3">
      <c r="J47" s="61" t="s">
        <v>62</v>
      </c>
      <c r="K47" s="70">
        <f>K44-(K34/1000)*(O34*'Components and Fixtures'!C3)^2</f>
        <v>0.13457839359793833</v>
      </c>
      <c r="L47" s="62" t="s">
        <v>97</v>
      </c>
      <c r="M47" s="13"/>
      <c r="N47" s="13"/>
      <c r="O47" s="13"/>
      <c r="P47" s="15"/>
    </row>
  </sheetData>
  <mergeCells count="36">
    <mergeCell ref="Z27:AF27"/>
    <mergeCell ref="Z5:AF5"/>
    <mergeCell ref="AA6:AC6"/>
    <mergeCell ref="AE6:AF6"/>
    <mergeCell ref="AE12:AF12"/>
    <mergeCell ref="Z16:AF16"/>
    <mergeCell ref="Z3:AF3"/>
    <mergeCell ref="J46:L46"/>
    <mergeCell ref="R3:X3"/>
    <mergeCell ref="R5:X5"/>
    <mergeCell ref="S6:U6"/>
    <mergeCell ref="W6:X6"/>
    <mergeCell ref="W11:X11"/>
    <mergeCell ref="J40:L40"/>
    <mergeCell ref="J3:P3"/>
    <mergeCell ref="R15:X15"/>
    <mergeCell ref="R24:X24"/>
    <mergeCell ref="R38:T38"/>
    <mergeCell ref="R41:T41"/>
    <mergeCell ref="R44:T44"/>
    <mergeCell ref="Z40:AB40"/>
    <mergeCell ref="Z43:AB43"/>
    <mergeCell ref="B3:H3"/>
    <mergeCell ref="J43:L43"/>
    <mergeCell ref="J5:P5"/>
    <mergeCell ref="K6:M6"/>
    <mergeCell ref="O6:P6"/>
    <mergeCell ref="O11:P11"/>
    <mergeCell ref="J15:P15"/>
    <mergeCell ref="J26:P26"/>
    <mergeCell ref="C6:E6"/>
    <mergeCell ref="B5:H5"/>
    <mergeCell ref="G6:H6"/>
    <mergeCell ref="G11:H11"/>
    <mergeCell ref="B27:D27"/>
    <mergeCell ref="B15:H15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4" workbookViewId="0">
      <selection activeCell="M22" sqref="M22"/>
    </sheetView>
  </sheetViews>
  <sheetFormatPr defaultColWidth="8.85546875" defaultRowHeight="15" x14ac:dyDescent="0.25"/>
  <cols>
    <col min="2" max="2" width="13.42578125" customWidth="1"/>
    <col min="5" max="5" width="9" customWidth="1"/>
    <col min="16" max="16" width="16.7109375" customWidth="1"/>
  </cols>
  <sheetData>
    <row r="1" spans="1:24" x14ac:dyDescent="0.25">
      <c r="A1" t="s">
        <v>56</v>
      </c>
      <c r="B1" t="s">
        <v>57</v>
      </c>
    </row>
    <row r="2" spans="1:24" ht="15.75" thickBot="1" x14ac:dyDescent="0.3"/>
    <row r="3" spans="1:24" ht="20.25" x14ac:dyDescent="0.3">
      <c r="B3" s="199" t="s">
        <v>6</v>
      </c>
      <c r="C3" s="200"/>
      <c r="D3" s="200"/>
      <c r="E3" s="200"/>
      <c r="F3" s="200"/>
      <c r="G3" s="200"/>
      <c r="H3" s="201"/>
      <c r="J3" s="199" t="s">
        <v>29</v>
      </c>
      <c r="K3" s="200"/>
      <c r="L3" s="200"/>
      <c r="M3" s="200"/>
      <c r="N3" s="200"/>
      <c r="O3" s="200"/>
      <c r="P3" s="201"/>
      <c r="R3" s="199" t="s">
        <v>135</v>
      </c>
      <c r="S3" s="200"/>
      <c r="T3" s="200"/>
      <c r="U3" s="200"/>
      <c r="V3" s="200"/>
      <c r="W3" s="200"/>
      <c r="X3" s="201"/>
    </row>
    <row r="4" spans="1:24" x14ac:dyDescent="0.25">
      <c r="B4" s="5"/>
      <c r="C4" s="6"/>
      <c r="D4" s="7"/>
      <c r="E4" s="8"/>
      <c r="F4" s="8"/>
      <c r="G4" s="8"/>
      <c r="H4" s="9"/>
      <c r="J4" s="5"/>
      <c r="K4" s="6"/>
      <c r="L4" s="7"/>
      <c r="M4" s="8"/>
      <c r="N4" s="8"/>
      <c r="O4" s="8"/>
      <c r="P4" s="9"/>
      <c r="R4" s="5"/>
      <c r="S4" s="6"/>
      <c r="T4" s="7"/>
      <c r="U4" s="8"/>
      <c r="V4" s="8"/>
      <c r="W4" s="8"/>
      <c r="X4" s="9"/>
    </row>
    <row r="5" spans="1:24" ht="15.75" thickBot="1" x14ac:dyDescent="0.3">
      <c r="B5" s="204" t="s">
        <v>99</v>
      </c>
      <c r="C5" s="205"/>
      <c r="D5" s="205"/>
      <c r="E5" s="205"/>
      <c r="F5" s="205"/>
      <c r="G5" s="205"/>
      <c r="H5" s="206"/>
      <c r="J5" s="204" t="s">
        <v>99</v>
      </c>
      <c r="K5" s="205"/>
      <c r="L5" s="205"/>
      <c r="M5" s="205"/>
      <c r="N5" s="205"/>
      <c r="O5" s="205"/>
      <c r="P5" s="206"/>
      <c r="R5" s="204" t="s">
        <v>99</v>
      </c>
      <c r="S5" s="205"/>
      <c r="T5" s="205"/>
      <c r="U5" s="205"/>
      <c r="V5" s="205"/>
      <c r="W5" s="205"/>
      <c r="X5" s="206"/>
    </row>
    <row r="6" spans="1:24" ht="15.75" thickBot="1" x14ac:dyDescent="0.3">
      <c r="B6" s="39" t="s">
        <v>66</v>
      </c>
      <c r="C6" s="207" t="s">
        <v>100</v>
      </c>
      <c r="D6" s="208"/>
      <c r="E6" s="208"/>
      <c r="F6" s="18"/>
      <c r="G6" s="210" t="s">
        <v>101</v>
      </c>
      <c r="H6" s="211"/>
      <c r="J6" s="39" t="s">
        <v>66</v>
      </c>
      <c r="K6" s="207" t="s">
        <v>100</v>
      </c>
      <c r="L6" s="208"/>
      <c r="M6" s="209"/>
      <c r="N6" s="3"/>
      <c r="O6" s="210" t="s">
        <v>101</v>
      </c>
      <c r="P6" s="211"/>
      <c r="R6" s="39" t="s">
        <v>66</v>
      </c>
      <c r="S6" s="207" t="s">
        <v>100</v>
      </c>
      <c r="T6" s="208"/>
      <c r="U6" s="209"/>
      <c r="V6" s="3"/>
      <c r="W6" s="210" t="s">
        <v>101</v>
      </c>
      <c r="X6" s="211"/>
    </row>
    <row r="7" spans="1:24" ht="15.75" thickBot="1" x14ac:dyDescent="0.3">
      <c r="B7" s="43">
        <v>20</v>
      </c>
      <c r="C7" s="19" t="s">
        <v>7</v>
      </c>
      <c r="D7" s="14" t="s">
        <v>8</v>
      </c>
      <c r="E7" s="14" t="s">
        <v>89</v>
      </c>
      <c r="F7" s="20" t="s">
        <v>87</v>
      </c>
      <c r="G7" s="67" t="s">
        <v>90</v>
      </c>
      <c r="H7" s="53">
        <f>AVERAGE(E8:F11)</f>
        <v>33.633223684210527</v>
      </c>
      <c r="J7" s="43">
        <v>20</v>
      </c>
      <c r="K7" s="19" t="s">
        <v>89</v>
      </c>
      <c r="L7" s="32"/>
      <c r="M7" s="33"/>
      <c r="N7" s="6"/>
      <c r="O7" s="67" t="s">
        <v>90</v>
      </c>
      <c r="P7" s="53">
        <f>AVERAGE(K8:M10)</f>
        <v>136.93333333333331</v>
      </c>
      <c r="R7" s="43">
        <v>10</v>
      </c>
      <c r="S7" s="19" t="s">
        <v>89</v>
      </c>
      <c r="T7" s="32"/>
      <c r="U7" s="33"/>
      <c r="V7" s="6"/>
      <c r="W7" s="67" t="s">
        <v>90</v>
      </c>
      <c r="X7" s="53">
        <f>AVERAGE(S8:U10)</f>
        <v>57.496666666666663</v>
      </c>
    </row>
    <row r="8" spans="1:24" ht="15.75" thickBot="1" x14ac:dyDescent="0.3">
      <c r="B8" s="21" t="s">
        <v>84</v>
      </c>
      <c r="C8" s="105">
        <v>32.119999999999997</v>
      </c>
      <c r="D8" s="106">
        <v>34.299999999999997</v>
      </c>
      <c r="E8" s="106">
        <f>20/21*35.7</f>
        <v>34</v>
      </c>
      <c r="F8" s="107">
        <v>33.770000000000003</v>
      </c>
      <c r="G8" s="19" t="s">
        <v>91</v>
      </c>
      <c r="H8" s="54" t="e">
        <f ca="1">_1__xlfn.S(E8:F11)</f>
        <v>#NAME?</v>
      </c>
      <c r="J8" s="21" t="s">
        <v>84</v>
      </c>
      <c r="K8" s="44">
        <v>136.96</v>
      </c>
      <c r="L8" s="97"/>
      <c r="M8" s="98"/>
      <c r="N8" s="34"/>
      <c r="O8" s="19" t="s">
        <v>91</v>
      </c>
      <c r="P8" s="54" t="e">
        <f ca="1">_1__xlfn.S(K8:M10)</f>
        <v>#NAME?</v>
      </c>
      <c r="R8" s="21" t="s">
        <v>84</v>
      </c>
      <c r="S8" s="44">
        <v>57.12</v>
      </c>
      <c r="T8" s="97"/>
      <c r="U8" s="98"/>
      <c r="V8" s="34"/>
      <c r="W8" s="19" t="s">
        <v>91</v>
      </c>
      <c r="X8" s="54" t="e">
        <f ca="1">_1__xlfn.S(S8:U10)</f>
        <v>#NAME?</v>
      </c>
    </row>
    <row r="9" spans="1:24" x14ac:dyDescent="0.25">
      <c r="B9" s="22" t="s">
        <v>85</v>
      </c>
      <c r="C9" s="108">
        <v>32.47</v>
      </c>
      <c r="D9" s="109">
        <v>32.83</v>
      </c>
      <c r="E9" s="109">
        <v>33.68</v>
      </c>
      <c r="F9" s="110">
        <v>33.75</v>
      </c>
      <c r="G9" s="8"/>
      <c r="H9" s="9"/>
      <c r="J9" s="22" t="s">
        <v>85</v>
      </c>
      <c r="K9" s="47">
        <v>136.93</v>
      </c>
      <c r="L9" s="99"/>
      <c r="M9" s="100"/>
      <c r="N9" s="34"/>
      <c r="O9" s="8"/>
      <c r="P9" s="9"/>
      <c r="R9" s="22" t="s">
        <v>85</v>
      </c>
      <c r="S9" s="47">
        <v>57.64</v>
      </c>
      <c r="T9" s="99"/>
      <c r="U9" s="100"/>
      <c r="V9" s="34"/>
      <c r="W9" s="8"/>
      <c r="X9" s="9"/>
    </row>
    <row r="10" spans="1:24" ht="15.75" thickBot="1" x14ac:dyDescent="0.3">
      <c r="B10" s="22" t="s">
        <v>86</v>
      </c>
      <c r="C10" s="108">
        <v>32.6</v>
      </c>
      <c r="D10" s="109">
        <v>34.72</v>
      </c>
      <c r="E10" s="109">
        <v>33.89</v>
      </c>
      <c r="F10" s="110">
        <v>33.83</v>
      </c>
      <c r="G10" s="8"/>
      <c r="H10" s="9"/>
      <c r="J10" s="23" t="s">
        <v>86</v>
      </c>
      <c r="K10" s="50">
        <v>136.91</v>
      </c>
      <c r="L10" s="103"/>
      <c r="M10" s="104"/>
      <c r="N10" s="34"/>
      <c r="O10" s="8"/>
      <c r="P10" s="9"/>
      <c r="R10" s="23" t="s">
        <v>86</v>
      </c>
      <c r="S10" s="50">
        <v>57.73</v>
      </c>
      <c r="T10" s="103"/>
      <c r="U10" s="104"/>
      <c r="V10" s="34"/>
      <c r="W10" s="8"/>
      <c r="X10" s="9"/>
    </row>
    <row r="11" spans="1:24" ht="15.75" thickBot="1" x14ac:dyDescent="0.3">
      <c r="B11" s="23" t="s">
        <v>0</v>
      </c>
      <c r="C11" s="111">
        <v>33.9</v>
      </c>
      <c r="D11" s="112">
        <v>34.76</v>
      </c>
      <c r="E11" s="112">
        <v>32.229999999999997</v>
      </c>
      <c r="F11" s="113">
        <f>(20/19)*32.22</f>
        <v>33.915789473684207</v>
      </c>
      <c r="G11" s="8"/>
      <c r="H11" s="9"/>
      <c r="J11" s="11"/>
      <c r="K11" s="8"/>
      <c r="L11" s="8"/>
      <c r="M11" s="8"/>
      <c r="N11" s="8"/>
      <c r="O11" s="210" t="s">
        <v>92</v>
      </c>
      <c r="P11" s="211"/>
      <c r="R11" s="11"/>
      <c r="S11" s="8"/>
      <c r="T11" s="8"/>
      <c r="U11" s="8"/>
      <c r="V11" s="8"/>
      <c r="W11" s="210" t="s">
        <v>92</v>
      </c>
      <c r="X11" s="211"/>
    </row>
    <row r="12" spans="1:24" ht="15.75" thickBot="1" x14ac:dyDescent="0.3">
      <c r="B12" s="11"/>
      <c r="C12" s="8"/>
      <c r="D12" s="8"/>
      <c r="E12" s="8"/>
      <c r="F12" s="8"/>
      <c r="G12" s="210" t="s">
        <v>92</v>
      </c>
      <c r="H12" s="211"/>
      <c r="J12" s="24" t="s">
        <v>90</v>
      </c>
      <c r="K12" s="82">
        <f>AVERAGE(K8:K10)</f>
        <v>136.93333333333331</v>
      </c>
      <c r="L12" s="29"/>
      <c r="M12" s="30"/>
      <c r="N12" s="8"/>
      <c r="O12" s="38" t="s">
        <v>90</v>
      </c>
      <c r="P12" s="53">
        <f>J7/P7</f>
        <v>0.14605647517039924</v>
      </c>
      <c r="R12" s="24" t="s">
        <v>90</v>
      </c>
      <c r="S12" s="82">
        <f>AVERAGE(S8:S10)</f>
        <v>57.496666666666663</v>
      </c>
      <c r="T12" s="29"/>
      <c r="U12" s="30"/>
      <c r="V12" s="8"/>
      <c r="W12" s="38" t="s">
        <v>90</v>
      </c>
      <c r="X12" s="53">
        <f>R7/X7</f>
        <v>0.17392312597831761</v>
      </c>
    </row>
    <row r="13" spans="1:24" ht="15.75" thickBot="1" x14ac:dyDescent="0.3">
      <c r="B13" s="24" t="s">
        <v>90</v>
      </c>
      <c r="C13" s="82">
        <f>AVERAGE(C8:C11)</f>
        <v>32.772500000000001</v>
      </c>
      <c r="D13" s="83">
        <f t="shared" ref="D13:E13" si="0">AVERAGE(D8:D11)</f>
        <v>34.152499999999996</v>
      </c>
      <c r="E13" s="83">
        <f t="shared" si="0"/>
        <v>33.450000000000003</v>
      </c>
      <c r="F13" s="84">
        <f t="shared" ref="F13" si="1">AVERAGE(F8:F11)</f>
        <v>33.816447368421052</v>
      </c>
      <c r="G13" s="38" t="s">
        <v>90</v>
      </c>
      <c r="H13" s="53">
        <f>B7/H7</f>
        <v>0.59465010513961558</v>
      </c>
      <c r="J13" s="25" t="s">
        <v>91</v>
      </c>
      <c r="K13" s="85" t="e">
        <f ca="1">_1__xlfn.S(K8:K10)</f>
        <v>#NAME?</v>
      </c>
      <c r="L13" s="32"/>
      <c r="M13" s="33"/>
      <c r="N13" s="33"/>
      <c r="O13" s="31" t="s">
        <v>91</v>
      </c>
      <c r="P13" s="54" t="e">
        <f ca="1">(P8/P7)*P12</f>
        <v>#NAME?</v>
      </c>
      <c r="R13" s="25" t="s">
        <v>91</v>
      </c>
      <c r="S13" s="85" t="e">
        <f ca="1">_1__xlfn.S(S8:S10)</f>
        <v>#NAME?</v>
      </c>
      <c r="T13" s="32"/>
      <c r="U13" s="33"/>
      <c r="V13" s="33"/>
      <c r="W13" s="31" t="s">
        <v>91</v>
      </c>
      <c r="X13" s="54" t="e">
        <f ca="1">(X8/X7)*X12</f>
        <v>#NAME?</v>
      </c>
    </row>
    <row r="14" spans="1:24" ht="15.75" thickBot="1" x14ac:dyDescent="0.3">
      <c r="B14" s="25" t="s">
        <v>91</v>
      </c>
      <c r="C14" s="85" t="e">
        <f ca="1">_1__xlfn.S(C8:C11)</f>
        <v>#NAME?</v>
      </c>
      <c r="D14" s="86" t="e">
        <f t="shared" ref="D14:E14" ca="1" si="2">_1__xlfn.S(D8:D11)</f>
        <v>#NAME?</v>
      </c>
      <c r="E14" s="86" t="e">
        <f t="shared" ca="1" si="2"/>
        <v>#NAME?</v>
      </c>
      <c r="F14" s="87" t="e">
        <f t="shared" ref="F14" ca="1" si="3">_1__xlfn.S(F8:F11)</f>
        <v>#NAME?</v>
      </c>
      <c r="G14" s="31" t="s">
        <v>91</v>
      </c>
      <c r="H14" s="54" t="e">
        <f ca="1">(H8/H7)*H13</f>
        <v>#NAME?</v>
      </c>
      <c r="J14" s="38"/>
      <c r="K14" s="17"/>
      <c r="L14" s="17"/>
      <c r="M14" s="17"/>
      <c r="N14" s="17"/>
      <c r="O14" s="17"/>
      <c r="P14" s="63"/>
      <c r="R14" s="38"/>
      <c r="S14" s="17"/>
      <c r="T14" s="17"/>
      <c r="U14" s="17"/>
      <c r="V14" s="17"/>
      <c r="W14" s="17"/>
      <c r="X14" s="63"/>
    </row>
    <row r="15" spans="1:24" ht="15.75" thickBot="1" x14ac:dyDescent="0.3">
      <c r="B15" s="38"/>
      <c r="C15" s="17"/>
      <c r="D15" s="17"/>
      <c r="E15" s="17"/>
      <c r="F15" s="17"/>
      <c r="G15" s="17"/>
      <c r="H15" s="63"/>
      <c r="J15" s="212" t="s">
        <v>110</v>
      </c>
      <c r="K15" s="213"/>
      <c r="L15" s="213"/>
      <c r="M15" s="213"/>
      <c r="N15" s="213"/>
      <c r="O15" s="213"/>
      <c r="P15" s="214"/>
      <c r="R15" s="212" t="s">
        <v>110</v>
      </c>
      <c r="S15" s="213"/>
      <c r="T15" s="213"/>
      <c r="U15" s="213"/>
      <c r="V15" s="213"/>
      <c r="W15" s="213"/>
      <c r="X15" s="214"/>
    </row>
    <row r="16" spans="1:24" x14ac:dyDescent="0.25">
      <c r="B16" s="212" t="s">
        <v>110</v>
      </c>
      <c r="C16" s="213"/>
      <c r="D16" s="213"/>
      <c r="E16" s="213"/>
      <c r="F16" s="213"/>
      <c r="G16" s="213"/>
      <c r="H16" s="214"/>
      <c r="J16" s="38" t="s">
        <v>1</v>
      </c>
      <c r="K16" s="93">
        <v>30.25</v>
      </c>
      <c r="L16" s="17" t="s">
        <v>96</v>
      </c>
      <c r="M16" s="17"/>
      <c r="N16" s="17"/>
      <c r="O16" s="17"/>
      <c r="P16" s="63"/>
      <c r="R16" s="38" t="s">
        <v>1</v>
      </c>
      <c r="S16" s="93">
        <v>28.75</v>
      </c>
      <c r="T16" s="17" t="s">
        <v>96</v>
      </c>
      <c r="U16" s="17"/>
      <c r="V16" s="17"/>
      <c r="W16" s="17"/>
      <c r="X16" s="63"/>
    </row>
    <row r="17" spans="2:24" x14ac:dyDescent="0.25">
      <c r="B17" s="38" t="s">
        <v>9</v>
      </c>
      <c r="C17" s="93">
        <v>1.5</v>
      </c>
      <c r="D17" s="17" t="s">
        <v>96</v>
      </c>
      <c r="E17" s="17"/>
      <c r="F17" s="17"/>
      <c r="G17" s="17"/>
      <c r="H17" s="66"/>
      <c r="J17" s="38" t="s">
        <v>2</v>
      </c>
      <c r="K17" s="93">
        <v>30.25</v>
      </c>
      <c r="L17" s="17" t="s">
        <v>96</v>
      </c>
      <c r="M17" s="17"/>
      <c r="N17" s="17"/>
      <c r="O17" s="17"/>
      <c r="P17" s="63"/>
      <c r="R17" s="38" t="s">
        <v>2</v>
      </c>
      <c r="S17" s="93">
        <v>28.75</v>
      </c>
      <c r="T17" s="17" t="s">
        <v>96</v>
      </c>
      <c r="U17" s="17"/>
      <c r="V17" s="17"/>
      <c r="W17" s="17"/>
      <c r="X17" s="63"/>
    </row>
    <row r="18" spans="2:24" x14ac:dyDescent="0.25">
      <c r="B18" s="38" t="s">
        <v>10</v>
      </c>
      <c r="C18" s="93">
        <v>0.23300000000000001</v>
      </c>
      <c r="D18" s="17" t="s">
        <v>96</v>
      </c>
      <c r="E18" s="17"/>
      <c r="F18" s="17"/>
      <c r="G18" s="17"/>
      <c r="H18" s="63"/>
      <c r="J18" s="38" t="s">
        <v>3</v>
      </c>
      <c r="K18" s="93">
        <v>14.375</v>
      </c>
      <c r="L18" s="17" t="s">
        <v>96</v>
      </c>
      <c r="M18" s="17"/>
      <c r="N18" s="17"/>
      <c r="O18" s="17"/>
      <c r="P18" s="63"/>
      <c r="R18" s="38" t="s">
        <v>3</v>
      </c>
      <c r="S18" s="93">
        <v>16.125</v>
      </c>
      <c r="T18" s="17" t="s">
        <v>96</v>
      </c>
      <c r="U18" s="17"/>
      <c r="V18" s="17"/>
      <c r="W18" s="17"/>
      <c r="X18" s="63"/>
    </row>
    <row r="19" spans="2:24" x14ac:dyDescent="0.25">
      <c r="B19" s="38"/>
      <c r="C19" s="17"/>
      <c r="D19" s="17"/>
      <c r="E19" s="17"/>
      <c r="F19" s="17"/>
      <c r="G19" s="17"/>
      <c r="H19" s="63"/>
      <c r="J19" s="38" t="s">
        <v>4</v>
      </c>
      <c r="K19" s="93">
        <v>14.375</v>
      </c>
      <c r="L19" s="17" t="s">
        <v>96</v>
      </c>
      <c r="M19" s="17"/>
      <c r="N19" s="17"/>
      <c r="O19" s="17"/>
      <c r="P19" s="63"/>
      <c r="R19" s="38" t="s">
        <v>4</v>
      </c>
      <c r="S19" s="93">
        <v>16.125</v>
      </c>
      <c r="T19" s="17" t="s">
        <v>96</v>
      </c>
      <c r="U19" s="17"/>
      <c r="V19" s="17"/>
      <c r="W19" s="17"/>
      <c r="X19" s="63"/>
    </row>
    <row r="20" spans="2:24" x14ac:dyDescent="0.25">
      <c r="B20" s="11" t="s">
        <v>125</v>
      </c>
      <c r="C20" s="8"/>
      <c r="D20" s="17"/>
      <c r="E20" s="17"/>
      <c r="F20" s="17"/>
      <c r="G20" s="17"/>
      <c r="H20" s="63"/>
      <c r="J20" s="38" t="s">
        <v>30</v>
      </c>
      <c r="K20" s="17"/>
      <c r="L20" s="17"/>
      <c r="M20" s="17"/>
      <c r="N20" s="17"/>
      <c r="O20" s="17"/>
      <c r="P20" s="63"/>
      <c r="R20" s="38" t="s">
        <v>132</v>
      </c>
      <c r="S20" s="17"/>
      <c r="T20" s="17"/>
      <c r="U20" s="17"/>
      <c r="V20" s="17"/>
      <c r="W20" s="17"/>
      <c r="X20" s="63"/>
    </row>
    <row r="21" spans="2:24" x14ac:dyDescent="0.25">
      <c r="B21" s="11" t="s">
        <v>126</v>
      </c>
      <c r="C21" t="s">
        <v>128</v>
      </c>
      <c r="D21" s="8" t="s">
        <v>127</v>
      </c>
      <c r="E21" s="17"/>
      <c r="F21" s="17"/>
      <c r="G21" s="17"/>
      <c r="H21" s="63"/>
      <c r="J21" s="38" t="s">
        <v>73</v>
      </c>
      <c r="K21" s="93">
        <v>2.5000000000000001E-2</v>
      </c>
      <c r="L21" s="17" t="s">
        <v>96</v>
      </c>
      <c r="M21" s="17"/>
      <c r="N21" s="17"/>
      <c r="O21" s="17"/>
      <c r="P21" s="63"/>
      <c r="R21" s="38" t="s">
        <v>73</v>
      </c>
      <c r="S21" s="93">
        <f>1+7/16</f>
        <v>1.4375</v>
      </c>
      <c r="T21" s="17" t="s">
        <v>96</v>
      </c>
      <c r="U21" s="17"/>
      <c r="V21" s="17"/>
      <c r="W21" s="17"/>
      <c r="X21" s="63"/>
    </row>
    <row r="22" spans="2:24" x14ac:dyDescent="0.25">
      <c r="B22" s="89">
        <f>-46.07+C18</f>
        <v>-45.837000000000003</v>
      </c>
      <c r="C22" s="40"/>
      <c r="D22" s="75">
        <v>0</v>
      </c>
      <c r="E22" s="17"/>
      <c r="F22" s="17"/>
      <c r="G22" s="17"/>
      <c r="H22" s="63"/>
      <c r="J22" s="38" t="s">
        <v>74</v>
      </c>
      <c r="K22" s="93">
        <v>2.5000000000000001E-2</v>
      </c>
      <c r="L22" s="17" t="s">
        <v>96</v>
      </c>
      <c r="M22" s="17"/>
      <c r="N22" s="17"/>
      <c r="O22" s="17"/>
      <c r="P22" s="63"/>
      <c r="R22" s="38" t="s">
        <v>74</v>
      </c>
      <c r="S22" s="93">
        <f>1+7/16</f>
        <v>1.4375</v>
      </c>
      <c r="T22" s="17" t="s">
        <v>96</v>
      </c>
      <c r="U22" s="17"/>
      <c r="V22" s="17"/>
      <c r="W22" s="17"/>
      <c r="X22" s="63"/>
    </row>
    <row r="23" spans="2:24" ht="15.75" thickBot="1" x14ac:dyDescent="0.3">
      <c r="B23" s="12"/>
      <c r="C23" s="13"/>
      <c r="D23" s="32"/>
      <c r="E23" s="32"/>
      <c r="F23" s="32"/>
      <c r="G23" s="32"/>
      <c r="H23" s="74"/>
      <c r="J23" s="38"/>
      <c r="K23" s="17"/>
      <c r="L23" s="17"/>
      <c r="M23" s="17"/>
      <c r="N23" s="17"/>
      <c r="O23" s="17"/>
      <c r="P23" s="63"/>
      <c r="R23" s="38"/>
      <c r="S23" s="17"/>
      <c r="T23" s="17"/>
      <c r="U23" s="17"/>
      <c r="V23" s="17"/>
      <c r="W23" s="17"/>
      <c r="X23" s="63"/>
    </row>
    <row r="24" spans="2:24" x14ac:dyDescent="0.25">
      <c r="B24" s="11"/>
      <c r="C24" s="8"/>
      <c r="D24" s="17"/>
      <c r="E24" s="17"/>
      <c r="F24" s="17"/>
      <c r="G24" s="17"/>
      <c r="H24" s="63"/>
      <c r="J24" s="212" t="s">
        <v>109</v>
      </c>
      <c r="K24" s="213"/>
      <c r="L24" s="213"/>
      <c r="M24" s="213"/>
      <c r="N24" s="213"/>
      <c r="O24" s="213"/>
      <c r="P24" s="214"/>
      <c r="R24" s="212" t="s">
        <v>109</v>
      </c>
      <c r="S24" s="213"/>
      <c r="T24" s="213"/>
      <c r="U24" s="213"/>
      <c r="V24" s="213"/>
      <c r="W24" s="213"/>
      <c r="X24" s="214"/>
    </row>
    <row r="25" spans="2:24" ht="15.75" thickBot="1" x14ac:dyDescent="0.3">
      <c r="B25" s="11"/>
      <c r="C25" s="8"/>
      <c r="D25" s="17"/>
      <c r="E25" s="17"/>
      <c r="F25" s="17"/>
      <c r="G25" s="17"/>
      <c r="H25" s="63"/>
      <c r="J25" s="38"/>
      <c r="K25" s="17" t="s">
        <v>71</v>
      </c>
      <c r="L25" s="8" t="s">
        <v>82</v>
      </c>
      <c r="M25" s="17" t="s">
        <v>70</v>
      </c>
      <c r="N25" s="17" t="s">
        <v>76</v>
      </c>
      <c r="O25" s="17" t="s">
        <v>102</v>
      </c>
      <c r="P25" s="63" t="s">
        <v>83</v>
      </c>
      <c r="R25" s="38"/>
      <c r="S25" s="17" t="s">
        <v>71</v>
      </c>
      <c r="T25" s="8" t="s">
        <v>82</v>
      </c>
      <c r="U25" s="17" t="s">
        <v>70</v>
      </c>
      <c r="V25" s="17" t="s">
        <v>76</v>
      </c>
      <c r="W25" s="17" t="s">
        <v>102</v>
      </c>
      <c r="X25" s="63" t="s">
        <v>83</v>
      </c>
    </row>
    <row r="26" spans="2:24" x14ac:dyDescent="0.25">
      <c r="B26" s="212" t="s">
        <v>109</v>
      </c>
      <c r="C26" s="213"/>
      <c r="D26" s="213"/>
      <c r="E26" s="213"/>
      <c r="F26" s="213"/>
      <c r="G26" s="213"/>
      <c r="H26" s="214"/>
      <c r="J26" s="11" t="s">
        <v>114</v>
      </c>
      <c r="K26" s="42">
        <f>'Centerbody Test'!$C$18+'Centerbody Test'!$C$19/2</f>
        <v>291.685</v>
      </c>
      <c r="L26" s="56"/>
      <c r="M26" s="42">
        <f>K32/2</f>
        <v>7.1875</v>
      </c>
      <c r="N26" s="42">
        <v>0</v>
      </c>
      <c r="O26" s="55">
        <f>SQRT(M26^2+N26^2)</f>
        <v>7.1875</v>
      </c>
      <c r="P26" s="64">
        <f>L26+(K26/1000)*(O26*in2m)^2</f>
        <v>9.7215887347070311E-3</v>
      </c>
      <c r="R26" s="11" t="s">
        <v>114</v>
      </c>
      <c r="S26" s="42">
        <f>'Centerbody Test'!$C$18+'Centerbody Test'!$C$19/2</f>
        <v>291.685</v>
      </c>
      <c r="T26" s="56"/>
      <c r="U26" s="42">
        <f>S32/2</f>
        <v>8.0625</v>
      </c>
      <c r="V26" s="42">
        <v>0</v>
      </c>
      <c r="W26" s="55">
        <f>SQRT(U26^2+V26^2)</f>
        <v>8.0625</v>
      </c>
      <c r="X26" s="64">
        <f>T26+(S26/1000)*(W26*in2m)^2</f>
        <v>1.2232662240775781E-2</v>
      </c>
    </row>
    <row r="27" spans="2:24" x14ac:dyDescent="0.25">
      <c r="B27" s="38"/>
      <c r="C27" s="17" t="s">
        <v>71</v>
      </c>
      <c r="D27" s="8" t="s">
        <v>82</v>
      </c>
      <c r="E27" s="17" t="s">
        <v>69</v>
      </c>
      <c r="F27" s="17" t="s">
        <v>76</v>
      </c>
      <c r="G27" s="17" t="s">
        <v>102</v>
      </c>
      <c r="H27" s="63" t="s">
        <v>83</v>
      </c>
      <c r="J27" s="11" t="s">
        <v>106</v>
      </c>
      <c r="K27" s="42">
        <f>2*'Components and Fixtures'!$C$8</f>
        <v>27.49</v>
      </c>
      <c r="L27" s="88">
        <f>2*'Components and Fixtures'!$G$8</f>
        <v>2.6599999999999999E-6</v>
      </c>
      <c r="M27" s="88">
        <f>2*'Components and Fixtures'!$E$8</f>
        <v>14.62</v>
      </c>
      <c r="N27" s="42">
        <v>0</v>
      </c>
      <c r="O27" s="55">
        <f t="shared" ref="O27" si="4">SQRT(M27^2+N27^2)</f>
        <v>14.62</v>
      </c>
      <c r="P27" s="64">
        <f>L27+(K27/1000)*(O27*in2m)^2</f>
        <v>3.7935127769889582E-3</v>
      </c>
      <c r="R27" s="11" t="s">
        <v>106</v>
      </c>
      <c r="S27" s="42">
        <f>2*'Components and Fixtures'!$C$9</f>
        <v>46.75</v>
      </c>
      <c r="T27" s="88">
        <f>2*'Components and Fixtures'!$G$9</f>
        <v>3.9199999999999997E-5</v>
      </c>
      <c r="U27" s="88">
        <f>2*'Components and Fixtures'!$E$9</f>
        <v>14.62</v>
      </c>
      <c r="V27" s="42">
        <v>0</v>
      </c>
      <c r="W27" s="55">
        <f t="shared" ref="W27" si="5">SQRT(U27^2+V27^2)</f>
        <v>14.62</v>
      </c>
      <c r="X27" s="64">
        <f>T27+(S27/1000)*(W27*in2m)^2</f>
        <v>6.485994009611998E-3</v>
      </c>
    </row>
    <row r="28" spans="2:24" x14ac:dyDescent="0.25">
      <c r="B28" s="11" t="s">
        <v>114</v>
      </c>
      <c r="C28" s="56"/>
      <c r="D28" s="56"/>
      <c r="E28" s="56"/>
      <c r="F28" s="56"/>
      <c r="G28" s="57"/>
      <c r="H28" s="65"/>
      <c r="J28" s="11" t="s">
        <v>98</v>
      </c>
      <c r="K28" s="42">
        <f>'Components and Fixtures'!C24</f>
        <v>6269.81</v>
      </c>
      <c r="L28" s="56"/>
      <c r="M28" s="56"/>
      <c r="N28" s="42">
        <f>'Components and Fixtures'!F24</f>
        <v>-0.49249999999999994</v>
      </c>
      <c r="O28" s="57"/>
      <c r="P28" s="65"/>
      <c r="R28" s="11" t="s">
        <v>98</v>
      </c>
      <c r="S28" s="42">
        <f>'Components and Fixtures'!C24</f>
        <v>6269.81</v>
      </c>
      <c r="T28" s="56"/>
      <c r="U28" s="56"/>
      <c r="V28" s="42" t="e">
        <f>#REF!</f>
        <v>#REF!</v>
      </c>
      <c r="W28" s="57"/>
      <c r="X28" s="65"/>
    </row>
    <row r="29" spans="2:24" x14ac:dyDescent="0.25">
      <c r="B29" s="11" t="s">
        <v>106</v>
      </c>
      <c r="C29" s="42">
        <f>2*'Components and Fixtures'!C$10</f>
        <v>103.02</v>
      </c>
      <c r="D29" s="88">
        <f>2*'Components and Fixtures'!$H$10</f>
        <v>4.2999999999999999E-4</v>
      </c>
      <c r="E29" s="42">
        <f>'Components and Fixtures'!F10</f>
        <v>-0.21199999999999999</v>
      </c>
      <c r="F29" s="42">
        <f>C17</f>
        <v>1.5</v>
      </c>
      <c r="G29" s="55">
        <f t="shared" ref="G29:G30" si="6">SQRT(E29^2+F29^2)</f>
        <v>1.5149072578874259</v>
      </c>
      <c r="H29" s="64">
        <f>D29+(C29/1000)*(G29*in2m)^2</f>
        <v>5.8253203743854074E-4</v>
      </c>
      <c r="J29" s="11"/>
      <c r="K29" s="8"/>
      <c r="L29" s="8"/>
      <c r="M29" s="8"/>
      <c r="N29" s="8"/>
      <c r="O29" s="8"/>
      <c r="P29" s="9"/>
      <c r="R29" s="11"/>
      <c r="S29" s="8"/>
      <c r="T29" s="8"/>
      <c r="U29" s="8"/>
      <c r="V29" s="8"/>
      <c r="W29" s="8"/>
      <c r="X29" s="9"/>
    </row>
    <row r="30" spans="2:24" ht="15.75" thickBot="1" x14ac:dyDescent="0.3">
      <c r="B30" s="11" t="s">
        <v>98</v>
      </c>
      <c r="C30" s="42">
        <f>'Components and Fixtures'!C24</f>
        <v>6269.81</v>
      </c>
      <c r="D30" s="56"/>
      <c r="E30" s="42">
        <f>'Components and Fixtures'!$F$24-D22</f>
        <v>-0.49249999999999994</v>
      </c>
      <c r="F30" s="42">
        <f>'Components and Fixtures'!$D$24-B22</f>
        <v>22.612000000000002</v>
      </c>
      <c r="G30" s="55">
        <f t="shared" si="6"/>
        <v>22.617362804933737</v>
      </c>
      <c r="H30" s="65"/>
      <c r="J30" s="11" t="s">
        <v>81</v>
      </c>
      <c r="K30" s="42">
        <f>SUM(K26:K28)</f>
        <v>6588.9850000000006</v>
      </c>
      <c r="L30" s="56"/>
      <c r="M30" s="56"/>
      <c r="N30" s="56"/>
      <c r="O30" s="57"/>
      <c r="P30" s="65"/>
      <c r="R30" s="11" t="s">
        <v>81</v>
      </c>
      <c r="S30" s="42">
        <f>SUM(S26:S28)</f>
        <v>6608.2450000000008</v>
      </c>
      <c r="T30" s="56"/>
      <c r="U30" s="56"/>
      <c r="V30" s="56"/>
      <c r="W30" s="57"/>
      <c r="X30" s="65"/>
    </row>
    <row r="31" spans="2:24" x14ac:dyDescent="0.25">
      <c r="B31" s="11"/>
      <c r="C31" s="8"/>
      <c r="D31" s="8"/>
      <c r="E31" s="8"/>
      <c r="F31" s="8"/>
      <c r="G31" s="8"/>
      <c r="H31" s="9"/>
      <c r="J31" s="1"/>
      <c r="K31" s="2"/>
      <c r="L31" s="2"/>
      <c r="M31" s="2"/>
      <c r="N31" s="2"/>
      <c r="O31" s="2"/>
      <c r="P31" s="4"/>
      <c r="R31" s="1"/>
      <c r="S31" s="2"/>
      <c r="T31" s="2"/>
      <c r="U31" s="2"/>
      <c r="V31" s="2"/>
      <c r="W31" s="2"/>
      <c r="X31" s="4"/>
    </row>
    <row r="32" spans="2:24" x14ac:dyDescent="0.25">
      <c r="B32" s="11" t="s">
        <v>81</v>
      </c>
      <c r="C32" s="42">
        <f>SUM(C28:C30)</f>
        <v>6372.8300000000008</v>
      </c>
      <c r="D32" s="56"/>
      <c r="E32" s="81">
        <v>0</v>
      </c>
      <c r="F32" s="42">
        <f>SUMPRODUCT($C28:$C30,F28:F30)/SUM($C28:$C30)</f>
        <v>22.270713908891338</v>
      </c>
      <c r="G32" s="55">
        <f>SQRT(E32^2 + F32^2)</f>
        <v>22.270713908891338</v>
      </c>
      <c r="H32" s="65"/>
      <c r="J32" s="5" t="s">
        <v>5</v>
      </c>
      <c r="K32" s="42">
        <f>AVERAGE(K18:K19)</f>
        <v>14.375</v>
      </c>
      <c r="L32" s="8" t="s">
        <v>96</v>
      </c>
      <c r="M32" s="8"/>
      <c r="N32" s="8"/>
      <c r="O32" s="8"/>
      <c r="P32" s="9"/>
      <c r="R32" s="5" t="s">
        <v>5</v>
      </c>
      <c r="S32" s="42">
        <f>AVERAGE(S18:S19)</f>
        <v>16.125</v>
      </c>
      <c r="T32" s="8" t="s">
        <v>96</v>
      </c>
      <c r="U32" s="8"/>
      <c r="V32" s="8"/>
      <c r="W32" s="8"/>
      <c r="X32" s="9"/>
    </row>
    <row r="33" spans="2:24" x14ac:dyDescent="0.25">
      <c r="B33" s="11"/>
      <c r="C33" s="8"/>
      <c r="D33" s="8"/>
      <c r="E33" s="8"/>
      <c r="F33" s="8"/>
      <c r="G33" s="8"/>
      <c r="H33" s="9"/>
      <c r="J33" s="5" t="s">
        <v>63</v>
      </c>
      <c r="K33" s="42">
        <f>AVERAGE(K16:K17)</f>
        <v>30.25</v>
      </c>
      <c r="L33" s="8" t="s">
        <v>96</v>
      </c>
      <c r="M33" s="8"/>
      <c r="N33" s="8"/>
      <c r="O33" s="8"/>
      <c r="P33" s="9"/>
      <c r="R33" s="5" t="s">
        <v>63</v>
      </c>
      <c r="S33" s="42">
        <f>AVERAGE(S16:S17)</f>
        <v>28.75</v>
      </c>
      <c r="T33" s="8" t="s">
        <v>96</v>
      </c>
      <c r="U33" s="8"/>
      <c r="V33" s="8"/>
      <c r="W33" s="8"/>
      <c r="X33" s="9"/>
    </row>
    <row r="34" spans="2:24" ht="15.75" thickBot="1" x14ac:dyDescent="0.3">
      <c r="B34" s="12" t="str">
        <f>B30</f>
        <v>Body</v>
      </c>
      <c r="C34" s="70">
        <f>C30</f>
        <v>6269.81</v>
      </c>
      <c r="D34" s="71"/>
      <c r="E34" s="95">
        <f>(SUMPRODUCT(C32,E32)/SUM(C32) - SUMPRODUCT($C28:$C29,E28:E29)/SUM($C28:$C29))/C34</f>
        <v>3.3812826863971953E-5</v>
      </c>
      <c r="F34" s="71"/>
      <c r="G34" s="72">
        <f>SQRT(E34^2 + F30^2)</f>
        <v>22.612000000025283</v>
      </c>
      <c r="H34" s="73"/>
      <c r="J34" s="5" t="s">
        <v>68</v>
      </c>
      <c r="K34" s="42">
        <f>K30</f>
        <v>6588.9850000000006</v>
      </c>
      <c r="L34" s="8" t="s">
        <v>65</v>
      </c>
      <c r="M34" s="8"/>
      <c r="N34" s="8"/>
      <c r="O34" s="8"/>
      <c r="P34" s="9"/>
      <c r="R34" s="5" t="s">
        <v>68</v>
      </c>
      <c r="S34" s="42">
        <f>S30</f>
        <v>6608.2450000000008</v>
      </c>
      <c r="T34" s="8" t="s">
        <v>65</v>
      </c>
      <c r="U34" s="8"/>
      <c r="V34" s="8"/>
      <c r="W34" s="8"/>
      <c r="X34" s="9"/>
    </row>
    <row r="35" spans="2:24" x14ac:dyDescent="0.25">
      <c r="B35" s="1"/>
      <c r="C35" s="2"/>
      <c r="D35" s="2"/>
      <c r="E35" s="2"/>
      <c r="F35" s="2"/>
      <c r="G35" s="2"/>
      <c r="H35" s="4"/>
      <c r="J35" s="5" t="s">
        <v>105</v>
      </c>
      <c r="K35" s="92">
        <f>P12</f>
        <v>0.14605647517039924</v>
      </c>
      <c r="L35" s="8" t="s">
        <v>93</v>
      </c>
      <c r="M35" s="8"/>
      <c r="N35" s="8"/>
      <c r="O35" s="8"/>
      <c r="P35" s="9"/>
      <c r="R35" s="5" t="s">
        <v>105</v>
      </c>
      <c r="S35" s="92">
        <f>X12</f>
        <v>0.17392312597831761</v>
      </c>
      <c r="T35" s="8" t="s">
        <v>93</v>
      </c>
      <c r="U35" s="8"/>
      <c r="V35" s="8"/>
      <c r="W35" s="8"/>
      <c r="X35" s="9"/>
    </row>
    <row r="36" spans="2:24" x14ac:dyDescent="0.25">
      <c r="B36" s="5" t="s">
        <v>104</v>
      </c>
      <c r="C36" s="42">
        <f>G32</f>
        <v>22.270713908891338</v>
      </c>
      <c r="D36" s="8" t="s">
        <v>96</v>
      </c>
      <c r="E36" s="8"/>
      <c r="F36" s="8"/>
      <c r="G36" s="8"/>
      <c r="H36" s="9"/>
      <c r="J36" s="11"/>
      <c r="K36" s="8"/>
      <c r="L36" s="8"/>
      <c r="M36" s="8"/>
      <c r="N36" s="8"/>
      <c r="O36" s="8"/>
      <c r="P36" s="9"/>
      <c r="R36" s="11"/>
      <c r="S36" s="8"/>
      <c r="T36" s="8"/>
      <c r="U36" s="8"/>
      <c r="V36" s="8"/>
      <c r="W36" s="8"/>
      <c r="X36" s="9"/>
    </row>
    <row r="37" spans="2:24" x14ac:dyDescent="0.25">
      <c r="B37" s="5" t="s">
        <v>68</v>
      </c>
      <c r="C37" s="42">
        <f>C32</f>
        <v>6372.8300000000008</v>
      </c>
      <c r="D37" s="8" t="s">
        <v>65</v>
      </c>
      <c r="E37" s="8"/>
      <c r="F37" s="8"/>
      <c r="G37" s="8"/>
      <c r="H37" s="9"/>
      <c r="J37" s="202" t="s">
        <v>107</v>
      </c>
      <c r="K37" s="203"/>
      <c r="L37" s="203"/>
      <c r="M37" s="8"/>
      <c r="N37" s="8"/>
      <c r="O37" s="8"/>
      <c r="P37" s="9"/>
      <c r="R37" s="202" t="s">
        <v>107</v>
      </c>
      <c r="S37" s="203"/>
      <c r="T37" s="203"/>
      <c r="U37" s="8"/>
      <c r="V37" s="8"/>
      <c r="W37" s="8"/>
      <c r="X37" s="9"/>
    </row>
    <row r="38" spans="2:24" x14ac:dyDescent="0.25">
      <c r="B38" s="5" t="s">
        <v>105</v>
      </c>
      <c r="C38" s="92">
        <f>H13</f>
        <v>0.59465010513961558</v>
      </c>
      <c r="D38" s="8" t="s">
        <v>93</v>
      </c>
      <c r="E38" s="8"/>
      <c r="F38" s="8"/>
      <c r="G38" s="8"/>
      <c r="H38" s="9"/>
      <c r="J38" s="90" t="s">
        <v>62</v>
      </c>
      <c r="K38" s="42">
        <f>(K34/1000)*g*(K32*in2m)^2/((K33*in2m)*(K35*4*PI())^2)</f>
        <v>3.3281422453760885</v>
      </c>
      <c r="L38" s="91" t="s">
        <v>97</v>
      </c>
      <c r="M38" s="8"/>
      <c r="N38" s="8"/>
      <c r="O38" s="8"/>
      <c r="P38" s="9"/>
      <c r="R38" s="90" t="s">
        <v>62</v>
      </c>
      <c r="S38" s="42">
        <f>(S34/1000)*g*(S32*in2m)^2/((S33*in2m)*(S35*4*PI())^2)</f>
        <v>3.116504316256512</v>
      </c>
      <c r="T38" s="91" t="s">
        <v>97</v>
      </c>
      <c r="U38" s="8"/>
      <c r="V38" s="8"/>
      <c r="W38" s="8"/>
      <c r="X38" s="9"/>
    </row>
    <row r="39" spans="2:24" x14ac:dyDescent="0.25">
      <c r="B39" s="11"/>
      <c r="C39" s="8"/>
      <c r="D39" s="8"/>
      <c r="E39" s="8"/>
      <c r="F39" s="8"/>
      <c r="G39" s="8"/>
      <c r="H39" s="9"/>
      <c r="J39" s="11"/>
      <c r="K39" s="8"/>
      <c r="L39" s="8"/>
      <c r="M39" s="8"/>
      <c r="N39" s="8"/>
      <c r="O39" s="8"/>
      <c r="P39" s="9"/>
      <c r="R39" s="11"/>
      <c r="S39" s="8"/>
      <c r="T39" s="8"/>
      <c r="U39" s="8"/>
      <c r="V39" s="8"/>
      <c r="W39" s="8"/>
      <c r="X39" s="9"/>
    </row>
    <row r="40" spans="2:24" x14ac:dyDescent="0.25">
      <c r="B40" s="202" t="s">
        <v>107</v>
      </c>
      <c r="C40" s="203"/>
      <c r="D40" s="203"/>
      <c r="E40" s="8"/>
      <c r="F40" s="8"/>
      <c r="G40" s="8"/>
      <c r="H40" s="9"/>
      <c r="J40" s="202" t="s">
        <v>133</v>
      </c>
      <c r="K40" s="203"/>
      <c r="L40" s="203"/>
      <c r="M40" s="8"/>
      <c r="N40" s="8"/>
      <c r="O40" s="8"/>
      <c r="P40" s="9"/>
      <c r="R40" s="202" t="s">
        <v>133</v>
      </c>
      <c r="S40" s="203"/>
      <c r="T40" s="203"/>
      <c r="U40" s="8"/>
      <c r="V40" s="8"/>
      <c r="W40" s="8"/>
      <c r="X40" s="9"/>
    </row>
    <row r="41" spans="2:24" ht="15.75" thickBot="1" x14ac:dyDescent="0.3">
      <c r="B41" s="90" t="s">
        <v>62</v>
      </c>
      <c r="C41" s="42">
        <f>(C37/1000)*g*(C36*in2m)/(C38*2*PI())^2</f>
        <v>2.5324339551251667</v>
      </c>
      <c r="D41" s="91" t="s">
        <v>97</v>
      </c>
      <c r="E41" s="8"/>
      <c r="F41" s="8"/>
      <c r="G41" s="8"/>
      <c r="H41" s="9"/>
      <c r="J41" s="61" t="s">
        <v>62</v>
      </c>
      <c r="K41" s="70">
        <f>K38-(P26+P27)</f>
        <v>3.3146271438643926</v>
      </c>
      <c r="L41" s="62" t="s">
        <v>97</v>
      </c>
      <c r="M41" s="13"/>
      <c r="N41" s="13"/>
      <c r="O41" s="13"/>
      <c r="P41" s="15"/>
      <c r="R41" s="61" t="s">
        <v>62</v>
      </c>
      <c r="S41" s="70">
        <f>S38-(X26+X27)</f>
        <v>3.0977856600061244</v>
      </c>
      <c r="T41" s="62" t="s">
        <v>97</v>
      </c>
      <c r="U41" s="13"/>
      <c r="V41" s="13"/>
      <c r="W41" s="13"/>
      <c r="X41" s="15"/>
    </row>
    <row r="42" spans="2:24" x14ac:dyDescent="0.25">
      <c r="B42" s="11"/>
      <c r="C42" s="8"/>
      <c r="D42" s="8"/>
      <c r="E42" s="8"/>
      <c r="F42" s="8"/>
      <c r="G42" s="8"/>
      <c r="H42" s="9"/>
    </row>
    <row r="43" spans="2:24" x14ac:dyDescent="0.25">
      <c r="B43" s="202" t="s">
        <v>129</v>
      </c>
      <c r="C43" s="203"/>
      <c r="D43" s="203"/>
      <c r="E43" s="8"/>
      <c r="F43" s="8"/>
      <c r="G43" s="8"/>
      <c r="H43" s="9"/>
    </row>
    <row r="44" spans="2:24" x14ac:dyDescent="0.25">
      <c r="B44" s="90" t="s">
        <v>62</v>
      </c>
      <c r="C44" s="42">
        <f>C41-(H28+H29)</f>
        <v>2.531851423087728</v>
      </c>
      <c r="D44" s="91" t="s">
        <v>97</v>
      </c>
      <c r="E44" s="8"/>
      <c r="F44" s="8"/>
      <c r="G44" s="8"/>
      <c r="H44" s="9"/>
    </row>
    <row r="45" spans="2:24" x14ac:dyDescent="0.25">
      <c r="B45" s="11"/>
      <c r="C45" s="8"/>
      <c r="D45" s="8"/>
      <c r="E45" s="8"/>
      <c r="F45" s="8"/>
      <c r="G45" s="8"/>
      <c r="H45" s="9"/>
    </row>
    <row r="46" spans="2:24" x14ac:dyDescent="0.25">
      <c r="B46" s="202" t="s">
        <v>133</v>
      </c>
      <c r="C46" s="203"/>
      <c r="D46" s="203"/>
      <c r="E46" s="8"/>
      <c r="F46" s="8"/>
      <c r="G46" s="8"/>
      <c r="H46" s="9"/>
    </row>
    <row r="47" spans="2:24" ht="15.75" thickBot="1" x14ac:dyDescent="0.3">
      <c r="B47" s="61" t="s">
        <v>62</v>
      </c>
      <c r="C47" s="70">
        <f>C44-(C34/1000)*(G34*in2m)^2</f>
        <v>0.46361697672372681</v>
      </c>
      <c r="D47" s="62" t="s">
        <v>97</v>
      </c>
      <c r="E47" s="13"/>
      <c r="F47" s="13"/>
      <c r="G47" s="13"/>
      <c r="H47" s="15"/>
    </row>
  </sheetData>
  <mergeCells count="28">
    <mergeCell ref="R37:T37"/>
    <mergeCell ref="R40:T40"/>
    <mergeCell ref="J24:P24"/>
    <mergeCell ref="J37:L37"/>
    <mergeCell ref="J40:L40"/>
    <mergeCell ref="R15:X15"/>
    <mergeCell ref="R24:X24"/>
    <mergeCell ref="J3:P3"/>
    <mergeCell ref="J5:P5"/>
    <mergeCell ref="K6:M6"/>
    <mergeCell ref="O6:P6"/>
    <mergeCell ref="O11:P11"/>
    <mergeCell ref="J15:P15"/>
    <mergeCell ref="R3:X3"/>
    <mergeCell ref="R5:X5"/>
    <mergeCell ref="S6:U6"/>
    <mergeCell ref="W6:X6"/>
    <mergeCell ref="W11:X11"/>
    <mergeCell ref="B16:H16"/>
    <mergeCell ref="B26:H26"/>
    <mergeCell ref="B40:D40"/>
    <mergeCell ref="B43:D43"/>
    <mergeCell ref="B46:D46"/>
    <mergeCell ref="B3:H3"/>
    <mergeCell ref="B5:H5"/>
    <mergeCell ref="C6:E6"/>
    <mergeCell ref="G6:H6"/>
    <mergeCell ref="G12:H12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Tracking</vt:lpstr>
      <vt:lpstr>Test Summary</vt:lpstr>
      <vt:lpstr>Wing Test</vt:lpstr>
      <vt:lpstr>Components and Fixtures</vt:lpstr>
      <vt:lpstr>Centerbody Test</vt:lpstr>
      <vt:lpstr>Aircraft Test</vt:lpstr>
      <vt:lpstr>g</vt:lpstr>
      <vt:lpstr>in2m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2015-07-01T16:33:34Z</dcterms:modified>
</cp:coreProperties>
</file>