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-255" yWindow="465" windowWidth="25440" windowHeight="14580" activeTab="1"/>
  </bookViews>
  <sheets>
    <sheet name="Skoll - Tracking" sheetId="6" r:id="rId1"/>
    <sheet name="Skoll - Test Summary" sheetId="1" r:id="rId2"/>
    <sheet name="Hati - Tracking" sheetId="7" r:id="rId3"/>
    <sheet name="Hati - Test Summary" sheetId="8" r:id="rId4"/>
  </sheets>
  <definedNames>
    <definedName name="g">'Skoll - Test Summary'!$K$4</definedName>
    <definedName name="in2m">'Skoll - Test Summary'!$K$5</definedName>
  </definedName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4" i="1" l="1"/>
  <c r="E35" i="1"/>
  <c r="E3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D35" i="1"/>
  <c r="D36" i="1"/>
  <c r="D37" i="1"/>
  <c r="E37" i="1"/>
  <c r="D38" i="1"/>
  <c r="E38" i="1"/>
  <c r="C28" i="1"/>
  <c r="C29" i="1"/>
  <c r="C30" i="1"/>
  <c r="C31" i="1"/>
  <c r="C32" i="1"/>
  <c r="C33" i="1"/>
  <c r="C34" i="1"/>
  <c r="C35" i="1"/>
  <c r="C36" i="1"/>
  <c r="C37" i="1"/>
  <c r="C38" i="1"/>
  <c r="C27" i="1"/>
  <c r="C9" i="7"/>
  <c r="H21" i="8"/>
  <c r="G21" i="8"/>
  <c r="F21" i="8"/>
  <c r="B21" i="8"/>
  <c r="E5" i="7"/>
  <c r="I3" i="7"/>
  <c r="H3" i="7"/>
  <c r="G3" i="7"/>
  <c r="F3" i="7"/>
  <c r="E3" i="7"/>
  <c r="D3" i="7"/>
  <c r="C3" i="7" l="1"/>
  <c r="C6" i="7" s="1"/>
  <c r="F50" i="6"/>
  <c r="E50" i="6"/>
  <c r="E6" i="7" l="1"/>
  <c r="D6" i="7"/>
  <c r="F6" i="7"/>
  <c r="E8" i="6"/>
  <c r="F8" i="6"/>
  <c r="G8" i="6"/>
  <c r="H8" i="6"/>
  <c r="I8" i="6"/>
  <c r="D8" i="6"/>
  <c r="E5" i="6"/>
  <c r="F5" i="6"/>
  <c r="D5" i="6"/>
  <c r="G6" i="7" l="1"/>
  <c r="H6" i="7"/>
  <c r="I6" i="7"/>
  <c r="E41" i="6"/>
  <c r="F41" i="6"/>
  <c r="D41" i="6"/>
  <c r="C41" i="6"/>
  <c r="F44" i="6" l="1"/>
  <c r="D44" i="6"/>
  <c r="C47" i="6"/>
  <c r="D3" i="6" l="1"/>
  <c r="E3" i="6"/>
  <c r="C5" i="6"/>
  <c r="C11" i="6"/>
  <c r="D17" i="6"/>
  <c r="D26" i="6" s="1"/>
  <c r="D11" i="6"/>
  <c r="D14" i="6"/>
  <c r="D23" i="6"/>
  <c r="E17" i="6"/>
  <c r="E26" i="6" s="1"/>
  <c r="E14" i="6"/>
  <c r="E23" i="6"/>
  <c r="I14" i="6"/>
  <c r="I26" i="6"/>
  <c r="I29" i="6"/>
  <c r="I32" i="6"/>
  <c r="I41" i="6" s="1"/>
  <c r="F17" i="6"/>
  <c r="F26" i="6" s="1"/>
  <c r="F14" i="6"/>
  <c r="F23" i="6"/>
  <c r="H14" i="6"/>
  <c r="H26" i="6"/>
  <c r="H29" i="6"/>
  <c r="H32" i="6"/>
  <c r="H41" i="6" s="1"/>
  <c r="G14" i="6"/>
  <c r="G26" i="6"/>
  <c r="G29" i="6"/>
  <c r="G32" i="6"/>
  <c r="G41" i="6" s="1"/>
  <c r="B40" i="1" l="1"/>
  <c r="B42" i="1" s="1"/>
  <c r="F3" i="6"/>
  <c r="H21" i="1" l="1"/>
  <c r="I3" i="6"/>
  <c r="G3" i="6"/>
  <c r="F21" i="1"/>
  <c r="B21" i="1"/>
  <c r="C3" i="6"/>
  <c r="C6" i="6" l="1"/>
  <c r="C9" i="6" s="1"/>
  <c r="C12" i="6" s="1"/>
  <c r="C15" i="6" s="1"/>
  <c r="C18" i="6" s="1"/>
  <c r="C21" i="6" s="1"/>
  <c r="C24" i="6" s="1"/>
  <c r="C27" i="6" s="1"/>
  <c r="C30" i="6" s="1"/>
  <c r="C33" i="6" s="1"/>
  <c r="C36" i="6" s="1"/>
  <c r="C39" i="6" s="1"/>
  <c r="C42" i="6" l="1"/>
  <c r="C45" i="6" s="1"/>
  <c r="C48" i="6" s="1"/>
  <c r="C51" i="6" s="1"/>
  <c r="C54" i="6" s="1"/>
  <c r="F6" i="6"/>
  <c r="F9" i="6" s="1"/>
  <c r="F12" i="6" s="1"/>
  <c r="F15" i="6" s="1"/>
  <c r="F18" i="6" s="1"/>
  <c r="F21" i="6" s="1"/>
  <c r="F24" i="6" s="1"/>
  <c r="F27" i="6" s="1"/>
  <c r="F30" i="6" s="1"/>
  <c r="F33" i="6" s="1"/>
  <c r="F36" i="6" s="1"/>
  <c r="F39" i="6" s="1"/>
  <c r="D6" i="6"/>
  <c r="H3" i="6"/>
  <c r="G21" i="1"/>
  <c r="E6" i="6"/>
  <c r="F42" i="6" l="1"/>
  <c r="F45" i="6" s="1"/>
  <c r="F48" i="6" s="1"/>
  <c r="F51" i="6" s="1"/>
  <c r="F54" i="6" s="1"/>
  <c r="C57" i="6"/>
  <c r="E9" i="6"/>
  <c r="E12" i="6" s="1"/>
  <c r="E15" i="6" s="1"/>
  <c r="E18" i="6" s="1"/>
  <c r="E21" i="6" s="1"/>
  <c r="E24" i="6" s="1"/>
  <c r="E27" i="6" s="1"/>
  <c r="E30" i="6" s="1"/>
  <c r="E33" i="6" s="1"/>
  <c r="E36" i="6" s="1"/>
  <c r="E39" i="6" s="1"/>
  <c r="G6" i="6"/>
  <c r="H6" i="6"/>
  <c r="D9" i="6"/>
  <c r="D12" i="6" s="1"/>
  <c r="D15" i="6" s="1"/>
  <c r="D18" i="6" s="1"/>
  <c r="D21" i="6" s="1"/>
  <c r="D24" i="6" s="1"/>
  <c r="D27" i="6" s="1"/>
  <c r="D30" i="6" s="1"/>
  <c r="D33" i="6" s="1"/>
  <c r="D36" i="6" s="1"/>
  <c r="D39" i="6" s="1"/>
  <c r="D42" i="6" s="1"/>
  <c r="D45" i="6" s="1"/>
  <c r="D48" i="6" s="1"/>
  <c r="D51" i="6" s="1"/>
  <c r="D54" i="6" s="1"/>
  <c r="I6" i="6"/>
  <c r="E42" i="6" l="1"/>
  <c r="H9" i="6"/>
  <c r="H12" i="6" s="1"/>
  <c r="H15" i="6" s="1"/>
  <c r="H18" i="6" s="1"/>
  <c r="H21" i="6" s="1"/>
  <c r="H24" i="6" s="1"/>
  <c r="H27" i="6" s="1"/>
  <c r="H30" i="6" s="1"/>
  <c r="H33" i="6" s="1"/>
  <c r="H36" i="6" s="1"/>
  <c r="H39" i="6" s="1"/>
  <c r="H42" i="6" s="1"/>
  <c r="H45" i="6" s="1"/>
  <c r="H48" i="6" s="1"/>
  <c r="H51" i="6" s="1"/>
  <c r="H54" i="6" s="1"/>
  <c r="I9" i="6"/>
  <c r="I12" i="6" s="1"/>
  <c r="I15" i="6" s="1"/>
  <c r="I18" i="6" s="1"/>
  <c r="I21" i="6" s="1"/>
  <c r="I24" i="6" s="1"/>
  <c r="I27" i="6" s="1"/>
  <c r="I30" i="6" s="1"/>
  <c r="I33" i="6" s="1"/>
  <c r="I36" i="6" s="1"/>
  <c r="I39" i="6" s="1"/>
  <c r="G9" i="6"/>
  <c r="G12" i="6" s="1"/>
  <c r="G15" i="6" s="1"/>
  <c r="G18" i="6" s="1"/>
  <c r="G21" i="6" s="1"/>
  <c r="G24" i="6" s="1"/>
  <c r="G27" i="6" s="1"/>
  <c r="G30" i="6" s="1"/>
  <c r="G33" i="6" s="1"/>
  <c r="G36" i="6" s="1"/>
  <c r="G39" i="6" s="1"/>
  <c r="I42" i="6" l="1"/>
  <c r="G42" i="6"/>
  <c r="E45" i="6"/>
  <c r="E48" i="6" s="1"/>
  <c r="E51" i="6" s="1"/>
  <c r="E54" i="6" s="1"/>
  <c r="G45" i="6" l="1"/>
  <c r="G48" i="6" s="1"/>
  <c r="G51" i="6" s="1"/>
  <c r="G54" i="6" s="1"/>
  <c r="I45" i="6"/>
  <c r="I48" i="6" s="1"/>
  <c r="I51" i="6" s="1"/>
  <c r="I54" i="6" s="1"/>
</calcChain>
</file>

<file path=xl/sharedStrings.xml><?xml version="1.0" encoding="utf-8"?>
<sst xmlns="http://schemas.openxmlformats.org/spreadsheetml/2006/main" count="198" uniqueCount="75">
  <si>
    <t>Left Wing</t>
  </si>
  <si>
    <t>Right Wing</t>
  </si>
  <si>
    <t>Left Winglet</t>
  </si>
  <si>
    <t>Right Winglet</t>
  </si>
  <si>
    <t>Attach Bolts (12)</t>
  </si>
  <si>
    <t>Ballast</t>
  </si>
  <si>
    <t>[109.34]</t>
  </si>
  <si>
    <t>Centerbody</t>
  </si>
  <si>
    <t>lb - in^2</t>
  </si>
  <si>
    <t>lb</t>
  </si>
  <si>
    <t>mAEWing1 Skoll Mass Prop</t>
  </si>
  <si>
    <t>Removed Ballast</t>
  </si>
  <si>
    <t>Notes</t>
  </si>
  <si>
    <t>Summary Test Results</t>
  </si>
  <si>
    <t>Assume negligible body inertia</t>
  </si>
  <si>
    <t>Airframe</t>
  </si>
  <si>
    <t>Airframe (CB1 + WS1)</t>
  </si>
  <si>
    <t>Added Ballast</t>
  </si>
  <si>
    <t>Added Avionics Cover</t>
  </si>
  <si>
    <t>Removed Temporary Avionics Cover</t>
  </si>
  <si>
    <t>Scale Body Inertia from previous</t>
  </si>
  <si>
    <t>Added Collet + Yoke + Propeller</t>
  </si>
  <si>
    <t>Removed Propulsion Battery - TP1300-65M70</t>
  </si>
  <si>
    <t>Added Propulsion Battery - 2X TP3300-3SPP45</t>
  </si>
  <si>
    <t>Removed GPS Ant</t>
    <phoneticPr fontId="2" type="noConversion"/>
  </si>
  <si>
    <t>g</t>
  </si>
  <si>
    <t>m/sec2</t>
  </si>
  <si>
    <t>xCG</t>
  </si>
  <si>
    <t>yCG</t>
  </si>
  <si>
    <t>zCG</t>
  </si>
  <si>
    <t>Ixx</t>
  </si>
  <si>
    <t>Iyy</t>
  </si>
  <si>
    <t>Izz</t>
  </si>
  <si>
    <t>Total</t>
  </si>
  <si>
    <t>in2m</t>
  </si>
  <si>
    <t>m/in</t>
  </si>
  <si>
    <t>N/A</t>
  </si>
  <si>
    <t>Mass (g)</t>
  </si>
  <si>
    <t>Position of Body CG (inch)</t>
  </si>
  <si>
    <t>Inertia about Body CG (Kg-m^2)</t>
  </si>
  <si>
    <t>Left Body Flap</t>
  </si>
  <si>
    <t>Right Body Flap</t>
  </si>
  <si>
    <t>[57.13]</t>
  </si>
  <si>
    <t>[56.35]</t>
  </si>
  <si>
    <t>Summary based on Complete Mass Property Test</t>
  </si>
  <si>
    <t>[119.55]</t>
  </si>
  <si>
    <t>Avionics Battery</t>
  </si>
  <si>
    <t>Propulsion Battery</t>
  </si>
  <si>
    <t>[210.42]</t>
  </si>
  <si>
    <t>[78]</t>
  </si>
  <si>
    <t>[546.64]</t>
  </si>
  <si>
    <t>Added Repair Mass</t>
  </si>
  <si>
    <t>Mass estimated from change in component weight. Position estimate by visual refernce. Neglect body inertia.</t>
  </si>
  <si>
    <t>Summary based on Weight and Balance (Aircraft xCG) following repairs after Flight 2</t>
  </si>
  <si>
    <t>Balance performed to establish required ballast mass.</t>
  </si>
  <si>
    <t>Reduced Ballast</t>
  </si>
  <si>
    <t>Rewiring Flight Computer</t>
  </si>
  <si>
    <t>Mass estimated based on position estimate and ballast required to balance</t>
  </si>
  <si>
    <t>Removed Titan III GPS</t>
  </si>
  <si>
    <t>Added GPS Ant</t>
  </si>
  <si>
    <t>Avionics Cover</t>
  </si>
  <si>
    <t>[104.4]</t>
  </si>
  <si>
    <t>[58]</t>
  </si>
  <si>
    <t>Repair to Wing Attach</t>
  </si>
  <si>
    <t>Inertia Uncertainty (%)</t>
  </si>
  <si>
    <t>[0]</t>
  </si>
  <si>
    <t>[48.14]</t>
  </si>
  <si>
    <t>[48.21]</t>
  </si>
  <si>
    <t>Airframe (CB2 + WS2)</t>
  </si>
  <si>
    <t>Change</t>
  </si>
  <si>
    <t xml:space="preserve"> </t>
  </si>
  <si>
    <t>Flight 3 and 4</t>
  </si>
  <si>
    <t>Flight 1 and  2</t>
  </si>
  <si>
    <t>Flight 6</t>
  </si>
  <si>
    <t>Flight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</si>
</sst>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/>
    <xf numFmtId="0" fontId="0" fillId="0" borderId="9" xfId="0" applyBorder="1" applyAlignment="1">
      <alignment horizontal="center"/>
    </xf>
    <xf numFmtId="0" fontId="1" fillId="0" borderId="12" xfId="0" applyFont="1" applyBorder="1"/>
    <xf numFmtId="0" fontId="0" fillId="0" borderId="14" xfId="0" applyFont="1" applyBorder="1"/>
    <xf numFmtId="0" fontId="0" fillId="0" borderId="13" xfId="0" applyFont="1" applyBorder="1"/>
    <xf numFmtId="0" fontId="0" fillId="2" borderId="2" xfId="0" quotePrefix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8" xfId="0" quotePrefix="1" applyFill="1" applyBorder="1" applyAlignment="1">
      <alignment horizontal="left"/>
    </xf>
    <xf numFmtId="0" fontId="0" fillId="0" borderId="12" xfId="0" applyFont="1" applyBorder="1"/>
    <xf numFmtId="165" fontId="0" fillId="0" borderId="1" xfId="0" applyNumberFormat="1" applyFill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2" fontId="0" fillId="0" borderId="2" xfId="0" applyNumberFormat="1" applyFill="1" applyBorder="1" applyAlignment="1">
      <alignment horizontal="right"/>
    </xf>
    <xf numFmtId="2" fontId="0" fillId="0" borderId="3" xfId="0" applyNumberFormat="1" applyFill="1" applyBorder="1" applyAlignment="1">
      <alignment horizontal="right"/>
    </xf>
    <xf numFmtId="11" fontId="0" fillId="0" borderId="2" xfId="0" applyNumberFormat="1" applyFill="1" applyBorder="1" applyAlignment="1">
      <alignment horizontal="right"/>
    </xf>
    <xf numFmtId="11" fontId="0" fillId="0" borderId="3" xfId="0" applyNumberFormat="1" applyFill="1" applyBorder="1" applyAlignment="1">
      <alignment horizontal="right"/>
    </xf>
    <xf numFmtId="165" fontId="0" fillId="0" borderId="4" xfId="0" applyNumberFormat="1" applyFill="1" applyBorder="1" applyAlignment="1">
      <alignment horizontal="right"/>
    </xf>
    <xf numFmtId="2" fontId="0" fillId="0" borderId="4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0" fillId="0" borderId="5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5" fontId="0" fillId="0" borderId="6" xfId="0" applyNumberFormat="1" applyFill="1" applyBorder="1" applyAlignment="1">
      <alignment horizontal="right"/>
    </xf>
    <xf numFmtId="2" fontId="0" fillId="0" borderId="6" xfId="0" applyNumberFormat="1" applyFill="1" applyBorder="1" applyAlignment="1">
      <alignment horizontal="right"/>
    </xf>
    <xf numFmtId="2" fontId="0" fillId="0" borderId="10" xfId="0" applyNumberFormat="1" applyFill="1" applyBorder="1" applyAlignment="1">
      <alignment horizontal="right"/>
    </xf>
    <xf numFmtId="2" fontId="0" fillId="0" borderId="11" xfId="0" applyNumberFormat="1" applyFill="1" applyBorder="1" applyAlignment="1">
      <alignment horizontal="right"/>
    </xf>
    <xf numFmtId="164" fontId="0" fillId="0" borderId="10" xfId="0" applyNumberFormat="1" applyFill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" fontId="0" fillId="0" borderId="6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2" fontId="0" fillId="0" borderId="12" xfId="0" applyNumberFormat="1" applyBorder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Fill="1"/>
    <xf numFmtId="11" fontId="0" fillId="0" borderId="0" xfId="0" applyNumberForma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0" xfId="0" applyNumberFormat="1" applyFill="1"/>
    <xf numFmtId="11" fontId="0" fillId="0" borderId="0" xfId="0" applyNumberFormat="1" applyFill="1" applyBorder="1" applyAlignment="1">
      <alignment horizontal="right"/>
    </xf>
    <xf numFmtId="11" fontId="0" fillId="0" borderId="5" xfId="0" applyNumberFormat="1" applyFill="1" applyBorder="1" applyAlignment="1">
      <alignment horizontal="right"/>
    </xf>
    <xf numFmtId="165" fontId="0" fillId="3" borderId="1" xfId="0" applyNumberFormat="1" applyFill="1" applyBorder="1" applyAlignment="1">
      <alignment horizontal="right"/>
    </xf>
    <xf numFmtId="165" fontId="0" fillId="3" borderId="4" xfId="0" applyNumberFormat="1" applyFill="1" applyBorder="1" applyAlignment="1">
      <alignment horizontal="right"/>
    </xf>
    <xf numFmtId="165" fontId="0" fillId="0" borderId="0" xfId="0" applyNumberFormat="1"/>
    <xf numFmtId="0" fontId="1" fillId="0" borderId="0" xfId="0" applyFont="1"/>
    <xf numFmtId="2" fontId="0" fillId="0" borderId="7" xfId="0" applyNumberFormat="1" applyFill="1" applyBorder="1" applyAlignment="1">
      <alignment horizontal="right"/>
    </xf>
    <xf numFmtId="2" fontId="0" fillId="0" borderId="8" xfId="0" applyNumberFormat="1" applyFill="1" applyBorder="1" applyAlignment="1">
      <alignment horizontal="right"/>
    </xf>
    <xf numFmtId="2" fontId="0" fillId="0" borderId="9" xfId="0" applyNumberFormat="1" applyFill="1" applyBorder="1" applyAlignment="1">
      <alignment horizontal="right"/>
    </xf>
    <xf numFmtId="2" fontId="0" fillId="4" borderId="0" xfId="0" applyNumberFormat="1" applyFill="1" applyBorder="1"/>
    <xf numFmtId="10" fontId="0" fillId="0" borderId="2" xfId="1" applyNumberFormat="1" applyFont="1" applyFill="1" applyBorder="1" applyAlignment="1">
      <alignment horizontal="right"/>
    </xf>
    <xf numFmtId="10" fontId="0" fillId="0" borderId="0" xfId="1" applyNumberFormat="1" applyFont="1" applyFill="1" applyBorder="1" applyAlignment="1">
      <alignment horizontal="right"/>
    </xf>
    <xf numFmtId="10" fontId="0" fillId="0" borderId="10" xfId="1" applyNumberFormat="1" applyFont="1" applyFill="1" applyBorder="1" applyAlignment="1">
      <alignment horizontal="right"/>
    </xf>
    <xf numFmtId="10" fontId="0" fillId="0" borderId="11" xfId="1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pane ySplit="2" topLeftCell="A33" activePane="bottomLeft" state="frozen"/>
      <selection pane="bottomLeft" activeCell="K39" sqref="K39"/>
    </sheetView>
  </sheetViews>
  <sheetFormatPr defaultColWidth="8.85546875" defaultRowHeight="15" x14ac:dyDescent="0.25"/>
  <cols>
    <col min="1" max="1" width="10.42578125" bestFit="1" customWidth="1"/>
    <col min="2" max="2" width="33.42578125" bestFit="1" customWidth="1"/>
    <col min="3" max="9" width="10.85546875" customWidth="1"/>
    <col min="10" max="10" width="49.42578125" customWidth="1"/>
  </cols>
  <sheetData>
    <row r="1" spans="1:10" ht="15.75" thickBot="1" x14ac:dyDescent="0.3">
      <c r="C1" s="2"/>
      <c r="D1" s="67" t="s">
        <v>38</v>
      </c>
      <c r="E1" s="68"/>
      <c r="F1" s="69"/>
      <c r="G1" s="67" t="s">
        <v>39</v>
      </c>
      <c r="H1" s="68"/>
      <c r="I1" s="69"/>
    </row>
    <row r="2" spans="1:10" ht="15.75" thickBot="1" x14ac:dyDescent="0.3">
      <c r="C2" s="11" t="s">
        <v>37</v>
      </c>
      <c r="D2" s="12" t="s">
        <v>27</v>
      </c>
      <c r="E2" s="10" t="s">
        <v>28</v>
      </c>
      <c r="F2" s="14" t="s">
        <v>29</v>
      </c>
      <c r="G2" s="12" t="s">
        <v>30</v>
      </c>
      <c r="H2" s="10" t="s">
        <v>31</v>
      </c>
      <c r="I2" s="14" t="s">
        <v>32</v>
      </c>
      <c r="J2" s="6" t="s">
        <v>12</v>
      </c>
    </row>
    <row r="3" spans="1:10" x14ac:dyDescent="0.25">
      <c r="A3" s="44">
        <v>42161</v>
      </c>
      <c r="B3" t="s">
        <v>16</v>
      </c>
      <c r="C3">
        <f>'Skoll - Test Summary'!B19</f>
        <v>6269.81</v>
      </c>
      <c r="D3" s="45">
        <f>'Skoll - Test Summary'!C19</f>
        <v>-23.726447721701295</v>
      </c>
      <c r="E3" s="45">
        <f>'Skoll - Test Summary'!D19</f>
        <v>0</v>
      </c>
      <c r="F3" s="45">
        <f>'Skoll - Test Summary'!E19</f>
        <v>-0.49104200924748914</v>
      </c>
      <c r="G3" s="46">
        <f>'Skoll - Test Summary'!F19</f>
        <v>3.0977856600061244</v>
      </c>
      <c r="H3" s="46">
        <f>'Skoll - Test Summary'!G19</f>
        <v>0.5278392103037457</v>
      </c>
      <c r="I3" s="46">
        <f>'Skoll - Test Summary'!H19</f>
        <v>3.3146271438643926</v>
      </c>
      <c r="J3" t="s">
        <v>13</v>
      </c>
    </row>
    <row r="5" spans="1:10" x14ac:dyDescent="0.25">
      <c r="A5" s="44">
        <v>42161</v>
      </c>
      <c r="B5" t="s">
        <v>11</v>
      </c>
      <c r="C5">
        <f>-109.34</f>
        <v>-109.34</v>
      </c>
      <c r="D5" s="45">
        <f>'Skoll - Test Summary'!C8</f>
        <v>-4.62</v>
      </c>
      <c r="E5" s="45">
        <f>'Skoll - Test Summary'!D8</f>
        <v>0</v>
      </c>
      <c r="F5" s="45">
        <f>'Skoll - Test Summary'!E8</f>
        <v>-0.9</v>
      </c>
      <c r="G5" s="48">
        <v>0</v>
      </c>
      <c r="H5" s="48">
        <v>0</v>
      </c>
      <c r="I5" s="48">
        <v>0</v>
      </c>
      <c r="J5" t="s">
        <v>14</v>
      </c>
    </row>
    <row r="6" spans="1:10" x14ac:dyDescent="0.25">
      <c r="A6" s="44"/>
      <c r="B6" t="s">
        <v>15</v>
      </c>
      <c r="C6">
        <f>C3+C5</f>
        <v>6160.47</v>
      </c>
      <c r="D6" s="45">
        <f>(D3*$C3 + D5*$C5)/$C6</f>
        <v>-24.065561294836272</v>
      </c>
      <c r="E6" s="45">
        <f t="shared" ref="E6:F6" si="0">(E3*$C3 + E5*$C5)/$C6</f>
        <v>0</v>
      </c>
      <c r="F6" s="45">
        <f t="shared" si="0"/>
        <v>-0.48378355872198059</v>
      </c>
      <c r="G6" s="46">
        <f>(G3+($C3/1000)*(($E3*in2m-$E6*in2m)^2+($F3*in2m-$F6*in2m)^2)) + SIGN($C5)*((G5)+ABS($C5/1000)*(($E5*in2m-$E6*in2m)^2+($F5*in2m-$F6*in2m)^2))</f>
        <v>3.0977736527318012</v>
      </c>
      <c r="H6" s="46">
        <f>(H3+($C3/1000)*(($D3*in2m-$D6*in2m)^2+($F3*in2m-$F6*in2m)^2)) + SIGN($C5)*((H5)+ABS($C5/1000)*(($D5*in2m-$D6*in2m)^2+($F5*in2m-$F6*in2m)^2))</f>
        <v>0.50161841510085492</v>
      </c>
      <c r="I6" s="46">
        <f>(I3+($C3/1000)*(($D3*in2m-$D6*in2m)^2+($E3*in2m-$E6*in2m)^2)) + SIGN($C5)*((I5)+ABS($C5/1000)*(($D5*in2m-$D6*in2m)^2+($E5*in2m-$E6*in2m)^2))</f>
        <v>3.2884183559358253</v>
      </c>
    </row>
    <row r="7" spans="1:10" x14ac:dyDescent="0.25">
      <c r="A7" s="44"/>
      <c r="D7" s="45"/>
      <c r="E7" s="45"/>
      <c r="F7" s="45"/>
    </row>
    <row r="8" spans="1:10" x14ac:dyDescent="0.25">
      <c r="A8" s="44">
        <v>42161</v>
      </c>
      <c r="B8" t="s">
        <v>19</v>
      </c>
      <c r="C8">
        <v>-104.4</v>
      </c>
      <c r="D8" s="45">
        <f>'Skoll - Test Summary'!C7</f>
        <v>-9.0909999999999993</v>
      </c>
      <c r="E8" s="45">
        <f>'Skoll - Test Summary'!D7</f>
        <v>0</v>
      </c>
      <c r="F8" s="45">
        <f>'Skoll - Test Summary'!E7</f>
        <v>-1.9730000000000001</v>
      </c>
      <c r="G8" s="48">
        <f>'Skoll - Test Summary'!F7</f>
        <v>3.1799999999999998E-4</v>
      </c>
      <c r="H8" s="48">
        <f>'Skoll - Test Summary'!G7</f>
        <v>5.9639999999999997E-4</v>
      </c>
      <c r="I8" s="48">
        <f>'Skoll - Test Summary'!H7</f>
        <v>8.8159999999999996E-4</v>
      </c>
    </row>
    <row r="9" spans="1:10" x14ac:dyDescent="0.25">
      <c r="A9" s="44"/>
      <c r="B9" t="s">
        <v>15</v>
      </c>
      <c r="C9">
        <f>C6+C8</f>
        <v>6056.0700000000006</v>
      </c>
      <c r="D9" s="45">
        <f>(D6*$C6 + D8*$C8)/$C9</f>
        <v>-24.323706296327487</v>
      </c>
      <c r="E9" s="45">
        <f t="shared" ref="E9" si="1">(E6*$C6 + E8*$C8)/$C9</f>
        <v>0</v>
      </c>
      <c r="F9" s="45">
        <f t="shared" ref="F9" si="2">(F6*$C6 + F8*$C8)/$C9</f>
        <v>-0.4581111017541078</v>
      </c>
      <c r="G9" s="46">
        <f>(G6+($C6/1000)*(($E6*in2m-$E9*in2m)^2+($F6*in2m-$F9*in2m)^2)) + SIGN($C8)*((G8)+ABS($C8/1000)*(($E8*in2m-$E9*in2m)^2+($F8*in2m-$F9*in2m)^2))</f>
        <v>3.0973037006910635</v>
      </c>
      <c r="H9" s="46">
        <f>(H6+($C6/1000)*(($D6*in2m-$D9*in2m)^2+($F6*in2m-$F9*in2m)^2)) + SIGN($C8)*((H8)+ABS($C8/1000)*(($D8*in2m-$D9*in2m)^2+($F8*in2m-$F9*in2m)^2))</f>
        <v>0.48550624667414077</v>
      </c>
      <c r="I9" s="46">
        <f>(I6+($C6/1000)*(($D6*in2m-$D9*in2m)^2+($E6*in2m-$E9*in2m)^2)) + SIGN($C8)*((I8)+ABS($C8/1000)*(($D8*in2m-$D9*in2m)^2+($E8*in2m-$E9*in2m)^2))</f>
        <v>3.2721729395498484</v>
      </c>
    </row>
    <row r="10" spans="1:10" x14ac:dyDescent="0.25">
      <c r="A10" s="44"/>
      <c r="D10" s="45"/>
      <c r="E10" s="45"/>
      <c r="F10" s="45"/>
    </row>
    <row r="11" spans="1:10" x14ac:dyDescent="0.25">
      <c r="A11" s="44">
        <v>42166</v>
      </c>
      <c r="B11" t="s">
        <v>21</v>
      </c>
      <c r="C11">
        <f>23+8+16</f>
        <v>47</v>
      </c>
      <c r="D11" s="45">
        <f>-32.99 - 1</f>
        <v>-33.99</v>
      </c>
      <c r="E11" s="45">
        <v>0</v>
      </c>
      <c r="F11" s="45">
        <v>-1.24</v>
      </c>
      <c r="G11" s="48">
        <v>0</v>
      </c>
      <c r="H11" s="48">
        <v>0</v>
      </c>
      <c r="I11" s="48">
        <v>0</v>
      </c>
      <c r="J11" t="s">
        <v>14</v>
      </c>
    </row>
    <row r="12" spans="1:10" x14ac:dyDescent="0.25">
      <c r="A12" s="44"/>
      <c r="B12" t="s">
        <v>15</v>
      </c>
      <c r="C12">
        <f>C9+C11</f>
        <v>6103.0700000000006</v>
      </c>
      <c r="D12" s="45">
        <f>(D9*$C9 + D11*$C11)/$C12</f>
        <v>-24.398146832659627</v>
      </c>
      <c r="E12" s="45">
        <f t="shared" ref="E12" si="3">(E9*$C9 + E11*$C11)/$C12</f>
        <v>0</v>
      </c>
      <c r="F12" s="45">
        <f t="shared" ref="F12" si="4">(F9*$C9 + F11*$C11)/$C12</f>
        <v>-0.46413246120395141</v>
      </c>
      <c r="G12" s="46">
        <f>(G9+($C9/1000)*(($E9*in2m-$E12*in2m)^2+($F9*in2m-$F12*in2m)^2)) + SIGN($C11)*((G11)+ABS($C11/1000)*(($E11*in2m-$E12*in2m)^2+($F11*in2m-$F12*in2m)^2))</f>
        <v>3.0973220956117635</v>
      </c>
      <c r="H12" s="46">
        <f>(H9+($C9/1000)*(($D9*in2m-$D12*in2m)^2+($F9*in2m-$F12*in2m)^2)) + SIGN($C11)*((H11)+ABS($C11/1000)*(($D11*in2m-$D12*in2m)^2+($F11*in2m-$F12*in2m)^2))</f>
        <v>0.48833607499407028</v>
      </c>
      <c r="I12" s="46">
        <f>(I9+($C9/1000)*(($D9*in2m-$D12*in2m)^2+($E9*in2m-$E12*in2m)^2)) + SIGN($C11)*((I11)+ABS($C11/1000)*(($D11*in2m-$D12*in2m)^2+($E11*in2m-$E12*in2m)^2))</f>
        <v>3.2749843729490777</v>
      </c>
    </row>
    <row r="13" spans="1:10" x14ac:dyDescent="0.25">
      <c r="A13" s="44"/>
      <c r="D13" s="45"/>
      <c r="E13" s="45"/>
      <c r="F13" s="45"/>
    </row>
    <row r="14" spans="1:10" x14ac:dyDescent="0.25">
      <c r="A14" s="44">
        <v>42166</v>
      </c>
      <c r="B14" t="s">
        <v>18</v>
      </c>
      <c r="C14" s="47">
        <v>58</v>
      </c>
      <c r="D14" s="45">
        <f>D8</f>
        <v>-9.0909999999999993</v>
      </c>
      <c r="E14" s="45">
        <f>E8</f>
        <v>0</v>
      </c>
      <c r="F14" s="45">
        <f>F8</f>
        <v>-1.9730000000000001</v>
      </c>
      <c r="G14" s="48">
        <f>ABS($C14/$C8)*G8</f>
        <v>1.7666666666666666E-4</v>
      </c>
      <c r="H14" s="48">
        <f>ABS($C14/$C8)*H8</f>
        <v>3.3133333333333333E-4</v>
      </c>
      <c r="I14" s="48">
        <f>ABS($C14/$C8)*I8</f>
        <v>4.8977777777777778E-4</v>
      </c>
      <c r="J14" t="s">
        <v>20</v>
      </c>
    </row>
    <row r="15" spans="1:10" x14ac:dyDescent="0.25">
      <c r="A15" s="44"/>
      <c r="B15" t="s">
        <v>15</v>
      </c>
      <c r="C15">
        <f>C12+C14</f>
        <v>6161.0700000000006</v>
      </c>
      <c r="D15" s="45">
        <f>(D12*$C12 + D14*$C14)/$C15</f>
        <v>-24.254046129974174</v>
      </c>
      <c r="E15" s="45">
        <f t="shared" ref="E15" si="5">(E12*$C12 + E14*$C14)/$C15</f>
        <v>0</v>
      </c>
      <c r="F15" s="45">
        <f t="shared" ref="F15" si="6">(F12*$C12 + F14*$C14)/$C15</f>
        <v>-0.47833686356428345</v>
      </c>
      <c r="G15" s="46">
        <f>(G12+($C12/1000)*(($E12*in2m-$E15*in2m)^2+($F12*in2m-$F15*in2m)^2)) + SIGN($C14)*((G14)+ABS($C14/1000)*(($E14*in2m-$E15*in2m)^2+($F14*in2m-$F15*in2m)^2))</f>
        <v>3.0975831520605559</v>
      </c>
      <c r="H15" s="46">
        <f>(H12+($C12/1000)*(($D12*in2m-$D15*in2m)^2+($F12*in2m-$F15*in2m)^2)) + SIGN($C14)*((H14)+ABS($C14/1000)*(($D14*in2m-$D15*in2m)^2+($F14*in2m-$F15*in2m)^2))</f>
        <v>0.49743692426532682</v>
      </c>
      <c r="I15" s="46">
        <f>(I12+($C12/1000)*(($D12*in2m-$D15*in2m)^2+($E12*in2m-$E15*in2m)^2)) + SIGN($C14)*((I14)+ABS($C14/1000)*(($D14*in2m-$D15*in2m)^2+($E14*in2m-$E15*in2m)^2))</f>
        <v>3.2841592768826526</v>
      </c>
    </row>
    <row r="16" spans="1:10" x14ac:dyDescent="0.25">
      <c r="A16" s="44"/>
    </row>
    <row r="17" spans="1:10" x14ac:dyDescent="0.25">
      <c r="A17" s="44">
        <v>42170</v>
      </c>
      <c r="B17" t="s">
        <v>17</v>
      </c>
      <c r="C17" s="47">
        <v>165</v>
      </c>
      <c r="D17" s="45">
        <f>D5</f>
        <v>-4.62</v>
      </c>
      <c r="E17" s="45">
        <f t="shared" ref="E17:F17" si="7">E5</f>
        <v>0</v>
      </c>
      <c r="F17" s="45">
        <f t="shared" si="7"/>
        <v>-0.9</v>
      </c>
      <c r="G17" s="48">
        <v>0</v>
      </c>
      <c r="H17" s="48">
        <v>0</v>
      </c>
      <c r="I17" s="48">
        <v>0</v>
      </c>
      <c r="J17" t="s">
        <v>14</v>
      </c>
    </row>
    <row r="18" spans="1:10" x14ac:dyDescent="0.25">
      <c r="B18" t="s">
        <v>15</v>
      </c>
      <c r="C18">
        <f>C15+C17</f>
        <v>6326.0700000000006</v>
      </c>
      <c r="D18" s="45">
        <f>(D15*$C15 + D17*$C17)/$C18</f>
        <v>-23.741940255166316</v>
      </c>
      <c r="E18" s="45">
        <f t="shared" ref="E18" si="8">(E15*$C15 + E17*$C17)/$C18</f>
        <v>0</v>
      </c>
      <c r="F18" s="45">
        <f t="shared" ref="F18" si="9">(F15*$C15 + F17*$C17)/$C18</f>
        <v>-0.48933491093206366</v>
      </c>
      <c r="G18" s="46">
        <f>(G15+($C15/1000)*(($E15*in2m-$E18*in2m)^2+($F15*in2m-$F18*in2m)^2)) + SIGN($C17)*((G17)+ABS($C17/1000)*(($E17*in2m-$E18*in2m)^2+($F17*in2m-$F18*in2m)^2))</f>
        <v>3.0976015854329564</v>
      </c>
      <c r="H18" s="46">
        <f>(H15+($C15/1000)*(($D15*in2m-$D18*in2m)^2+($F15*in2m-$F18*in2m)^2)) + SIGN($C17)*((H17)+ABS($C17/1000)*(($D17*in2m-$D18*in2m)^2+($F17*in2m-$F18*in2m)^2))</f>
        <v>0.53742158377972804</v>
      </c>
      <c r="I18" s="46">
        <f>(I15+($C15/1000)*(($D15*in2m-$D18*in2m)^2+($E15*in2m-$E18*in2m)^2)) + SIGN($C17)*((I17)+ABS($C17/1000)*(($D17*in2m-$D18*in2m)^2+($E17*in2m-$E18*in2m)^2))</f>
        <v>3.3241255030246535</v>
      </c>
    </row>
    <row r="20" spans="1:10" x14ac:dyDescent="0.25">
      <c r="A20" s="44">
        <v>42170</v>
      </c>
      <c r="B20" t="s">
        <v>22</v>
      </c>
      <c r="C20" s="47">
        <v>-210.42</v>
      </c>
      <c r="D20" s="45">
        <v>-19.28</v>
      </c>
      <c r="E20" s="45">
        <v>0</v>
      </c>
      <c r="F20" s="45">
        <v>-0.85099999999999998</v>
      </c>
      <c r="G20">
        <v>0</v>
      </c>
      <c r="H20">
        <v>0</v>
      </c>
      <c r="I20">
        <v>0</v>
      </c>
      <c r="J20" t="s">
        <v>14</v>
      </c>
    </row>
    <row r="21" spans="1:10" x14ac:dyDescent="0.25">
      <c r="B21" t="s">
        <v>15</v>
      </c>
      <c r="C21">
        <f>C18+C20</f>
        <v>6115.6500000000005</v>
      </c>
      <c r="D21" s="45">
        <f>(D18*$C18 + D20*$C20)/$C21</f>
        <v>-23.89546138022941</v>
      </c>
      <c r="E21" s="45">
        <f t="shared" ref="E21:F21" si="10">(E18*$C18 + E20*$C20)/$C21</f>
        <v>0</v>
      </c>
      <c r="F21" s="45">
        <f t="shared" si="10"/>
        <v>-0.47689116937692644</v>
      </c>
      <c r="G21" s="46">
        <f>(G18+($C18/1000)*(($E18*in2m-$E21*in2m)^2+($F18*in2m-$F21*in2m)^2)) + SIGN($C20)*((G20)+ABS($C20/1000)*(($E20*in2m-$E21*in2m)^2+($F20*in2m-$F21*in2m)^2))</f>
        <v>3.097583217554448</v>
      </c>
      <c r="H21" s="46">
        <f>(H18+($C18/1000)*(($D18*in2m-$D21*in2m)^2+($F18*in2m-$F21*in2m)^2)) + SIGN($C20)*((H20)+ABS($C20/1000)*(($D20*in2m-$D21*in2m)^2+($F20*in2m-$F21*in2m)^2))</f>
        <v>0.53460749816464148</v>
      </c>
      <c r="I21" s="46">
        <f>(I18+($C18/1000)*(($D18*in2m-$D21*in2m)^2+($E18*in2m-$E21*in2m)^2)) + SIGN($C20)*((I20)+ABS($C20/1000)*(($D20*in2m-$D21*in2m)^2+($E20*in2m-$E21*in2m)^2))</f>
        <v>3.3213297852880754</v>
      </c>
    </row>
    <row r="23" spans="1:10" x14ac:dyDescent="0.25">
      <c r="A23" s="44">
        <v>42170</v>
      </c>
      <c r="B23" t="s">
        <v>23</v>
      </c>
      <c r="C23" s="47">
        <v>546.64</v>
      </c>
      <c r="D23" s="45">
        <f>D20</f>
        <v>-19.28</v>
      </c>
      <c r="E23" s="45">
        <f>E20</f>
        <v>0</v>
      </c>
      <c r="F23" s="45">
        <f>F20</f>
        <v>-0.85099999999999998</v>
      </c>
      <c r="G23">
        <v>0</v>
      </c>
      <c r="H23">
        <v>0</v>
      </c>
      <c r="I23">
        <v>0</v>
      </c>
      <c r="J23" t="s">
        <v>14</v>
      </c>
    </row>
    <row r="24" spans="1:10" x14ac:dyDescent="0.25">
      <c r="B24" t="s">
        <v>15</v>
      </c>
      <c r="C24">
        <f>C21+C23</f>
        <v>6662.2900000000009</v>
      </c>
      <c r="D24" s="45">
        <f>(D21*$C21 + D23*$C23)/$C24</f>
        <v>-23.516763393667937</v>
      </c>
      <c r="E24" s="45">
        <f t="shared" ref="E24:F24" si="11">(E21*$C21 + E23*$C23)/$C24</f>
        <v>0</v>
      </c>
      <c r="F24" s="45">
        <f t="shared" si="11"/>
        <v>-0.50758674870052189</v>
      </c>
      <c r="G24" s="46">
        <f>(G21+($C21/1000)*(($E21*in2m-$E24*in2m)^2+($F21*in2m-$F24*in2m)^2)) + SIGN($C23)*((G23)+ABS($C23/1000)*(($E23*in2m-$E24*in2m)^2+($F23*in2m-$F24*in2m)^2))</f>
        <v>3.0976285264890047</v>
      </c>
      <c r="H24" s="46">
        <f>(H21+($C21/1000)*(($D21*in2m-$D24*in2m)^2+($F21*in2m-$F24*in2m)^2)) + SIGN($C23)*((H23)+ABS($C23/1000)*(($D23*in2m-$D24*in2m)^2+($F23*in2m-$F24*in2m)^2))</f>
        <v>0.54154913929713655</v>
      </c>
      <c r="I24" s="46">
        <f>(I21+($C21/1000)*(($D21*in2m-$D24*in2m)^2+($E21*in2m-$E24*in2m)^2)) + SIGN($C23)*((I23)+ABS($C23/1000)*(($D23*in2m-$D24*in2m)^2+($E23*in2m-$E24*in2m)^2))</f>
        <v>3.3282261174860137</v>
      </c>
    </row>
    <row r="26" spans="1:10" x14ac:dyDescent="0.25">
      <c r="A26" s="44">
        <v>42170</v>
      </c>
      <c r="B26" t="s">
        <v>11</v>
      </c>
      <c r="C26" s="47">
        <v>-165</v>
      </c>
      <c r="D26" s="45">
        <f>D17</f>
        <v>-4.62</v>
      </c>
      <c r="E26" s="45">
        <f t="shared" ref="E26:I26" si="12">E17</f>
        <v>0</v>
      </c>
      <c r="F26" s="45">
        <f t="shared" si="12"/>
        <v>-0.9</v>
      </c>
      <c r="G26" s="45">
        <f t="shared" si="12"/>
        <v>0</v>
      </c>
      <c r="H26" s="45">
        <f t="shared" si="12"/>
        <v>0</v>
      </c>
      <c r="I26" s="45">
        <f t="shared" si="12"/>
        <v>0</v>
      </c>
      <c r="J26" t="s">
        <v>14</v>
      </c>
    </row>
    <row r="27" spans="1:10" x14ac:dyDescent="0.25">
      <c r="B27" t="s">
        <v>15</v>
      </c>
      <c r="C27">
        <f>C24+C26</f>
        <v>6497.2900000000009</v>
      </c>
      <c r="D27" s="45">
        <f>(D24*$C24 + D26*$C26)/$C27</f>
        <v>-23.996650540456095</v>
      </c>
      <c r="E27" s="45">
        <f t="shared" ref="E27:F27" si="13">(E24*$C24 + E26*$C26)/$C27</f>
        <v>0</v>
      </c>
      <c r="F27" s="45">
        <f t="shared" si="13"/>
        <v>-0.49762133443327916</v>
      </c>
      <c r="G27" s="46">
        <f>(G24+($C24/1000)*(($E24*in2m-$E27*in2m)^2+($F24*in2m-$F27*in2m)^2)) + SIGN($C26)*((G26)+ABS($C26/1000)*(($E26*in2m-$E27*in2m)^2+($F26*in2m-$F27*in2m)^2))</f>
        <v>3.0976117179491589</v>
      </c>
      <c r="H27" s="46">
        <f>(H24+($C24/1000)*(($D24*in2m-$D27*in2m)^2+($F24*in2m-$F27*in2m)^2)) + SIGN($C26)*((H26)+ABS($C26/1000)*(($D26*in2m-$D27*in2m)^2+($F26*in2m-$F27*in2m)^2))</f>
        <v>0.50255451400140949</v>
      </c>
      <c r="I27" s="46">
        <f>(I24+($C24/1000)*(($D24*in2m-$D27*in2m)^2+($E24*in2m-$E27*in2m)^2)) + SIGN($C26)*((I26)+ABS($C26/1000)*(($D26*in2m-$D27*in2m)^2+($E26*in2m-$E27*in2m)^2))</f>
        <v>3.2892483007301321</v>
      </c>
    </row>
    <row r="29" spans="1:10" x14ac:dyDescent="0.25">
      <c r="A29" s="44">
        <v>42177</v>
      </c>
      <c r="B29" t="s">
        <v>24</v>
      </c>
      <c r="C29" s="47">
        <v>-55</v>
      </c>
      <c r="D29" s="45">
        <v>-14.5</v>
      </c>
      <c r="E29" s="45">
        <v>-1.5</v>
      </c>
      <c r="F29" s="52">
        <v>-1.5</v>
      </c>
      <c r="G29" s="45">
        <f t="shared" ref="G29:I29" si="14">G20</f>
        <v>0</v>
      </c>
      <c r="H29" s="45">
        <f t="shared" si="14"/>
        <v>0</v>
      </c>
      <c r="I29" s="45">
        <f t="shared" si="14"/>
        <v>0</v>
      </c>
      <c r="J29" t="s">
        <v>14</v>
      </c>
    </row>
    <row r="30" spans="1:10" x14ac:dyDescent="0.25">
      <c r="B30" t="s">
        <v>15</v>
      </c>
      <c r="C30">
        <f>C27+C29</f>
        <v>6442.2900000000009</v>
      </c>
      <c r="D30" s="45">
        <f>(D27*$C27 + D29*$C29)/$C30</f>
        <v>-24.077726645338842</v>
      </c>
      <c r="E30" s="45">
        <f t="shared" ref="E30:F30" si="15">(E27*$C27 + E29*$C29)/$C30</f>
        <v>1.2806005317984752E-2</v>
      </c>
      <c r="F30" s="45">
        <f t="shared" si="15"/>
        <v>-0.48906369008535788</v>
      </c>
      <c r="G30" s="46">
        <f>(G27+($C27/1000)*(($E27*in2m-$E30*in2m)^2+($F27*in2m-$F30*in2m)^2)) + SIGN($C29)*((G29)+ABS($C29/1000)*(($E29*in2m-$E30*in2m)^2+($F29*in2m-$F30*in2m)^2))</f>
        <v>3.0974952406015652</v>
      </c>
      <c r="H30" s="46">
        <f>(H27+($C27/1000)*(($D27*in2m-$D30*in2m)^2+($F27*in2m-$F30*in2m)^2)) + SIGN($C29)*((H29)+ABS($C29/1000)*(($D29*in2m-$D30*in2m)^2+($F29*in2m-$F30*in2m)^2))</f>
        <v>0.4992910808410852</v>
      </c>
      <c r="I30" s="46">
        <f>(I27+($C27/1000)*(($D27*in2m-$D30*in2m)^2+($E27*in2m-$E30*in2m)^2)) + SIGN($C29)*((I29)+ABS($C29/1000)*(($D29*in2m-$D30*in2m)^2+($E29*in2m-$E30*in2m)^2))</f>
        <v>3.2859403046002069</v>
      </c>
    </row>
    <row r="32" spans="1:10" x14ac:dyDescent="0.25">
      <c r="A32" s="44">
        <v>42177</v>
      </c>
      <c r="B32" t="s">
        <v>59</v>
      </c>
      <c r="C32" s="47">
        <v>55</v>
      </c>
      <c r="D32" s="45">
        <v>-22.5</v>
      </c>
      <c r="E32" s="45">
        <v>-5.5</v>
      </c>
      <c r="F32" s="52">
        <v>-1.25</v>
      </c>
      <c r="G32" s="45">
        <f t="shared" ref="G32:I32" si="16">G23</f>
        <v>0</v>
      </c>
      <c r="H32" s="45">
        <f t="shared" si="16"/>
        <v>0</v>
      </c>
      <c r="I32" s="45">
        <f t="shared" si="16"/>
        <v>0</v>
      </c>
      <c r="J32" t="s">
        <v>14</v>
      </c>
    </row>
    <row r="33" spans="1:11" x14ac:dyDescent="0.25">
      <c r="B33" t="s">
        <v>15</v>
      </c>
      <c r="C33">
        <f>C30+C32</f>
        <v>6497.2900000000009</v>
      </c>
      <c r="D33" s="45">
        <f>(D30*$C30 + D32*$C32)/$C33</f>
        <v>-24.06437108240512</v>
      </c>
      <c r="E33" s="45">
        <f t="shared" ref="E33:F33" si="17">(E30*$C30 + E32*$C32)/$C33</f>
        <v>-3.3860270974513988E-2</v>
      </c>
      <c r="F33" s="45">
        <f t="shared" si="17"/>
        <v>-0.495505067497372</v>
      </c>
      <c r="G33" s="46">
        <f>(G30+($C30/1000)*(($E30*in2m-$E33*in2m)^2+($F30*in2m-$F33*in2m)^2)) + SIGN($C32)*((G32)+ABS($C32/1000)*(($E32*in2m-$E33*in2m)^2+($F32*in2m-$F33*in2m)^2))</f>
        <v>3.0985848732469812</v>
      </c>
      <c r="H33" s="46">
        <f>(H30+($C30/1000)*(($D30*in2m-$D33*in2m)^2+($F30*in2m-$F33*in2m)^2)) + SIGN($C32)*((H32)+ABS($C32/1000)*(($D32*in2m-$D33*in2m)^2+($F32*in2m-$F33*in2m)^2))</f>
        <v>0.49939903223107446</v>
      </c>
      <c r="I33" s="46">
        <f>(I30+($C30/1000)*(($D30*in2m-$D33*in2m)^2+($E30*in2m-$E33*in2m)^2)) + SIGN($C32)*((I32)+ABS($C32/1000)*(($D32*in2m-$D33*in2m)^2+($E32*in2m-$E33*in2m)^2))</f>
        <v>3.287097144533309</v>
      </c>
      <c r="K33" t="s">
        <v>72</v>
      </c>
    </row>
    <row r="35" spans="1:11" x14ac:dyDescent="0.25">
      <c r="A35" s="44">
        <v>42186</v>
      </c>
      <c r="B35" t="s">
        <v>51</v>
      </c>
      <c r="C35">
        <v>68.02</v>
      </c>
      <c r="D35">
        <v>-22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52</v>
      </c>
    </row>
    <row r="36" spans="1:11" x14ac:dyDescent="0.25">
      <c r="B36" t="s">
        <v>15</v>
      </c>
      <c r="C36">
        <f>C33+C35</f>
        <v>6565.3100000000013</v>
      </c>
      <c r="D36" s="45">
        <f>(D33*$C33 + D35*$C35)/$C36</f>
        <v>-24.042983132555808</v>
      </c>
      <c r="E36" s="45">
        <f t="shared" ref="E36:F36" si="18">(E33*$C33 + E35*$C35)/$C36</f>
        <v>-3.3509461091707778E-2</v>
      </c>
      <c r="F36" s="45">
        <f t="shared" si="18"/>
        <v>-0.49037137926465013</v>
      </c>
      <c r="G36" s="46">
        <f>(G33+($C33/1000)*(($E33*in2m-$E36*in2m)^2+($F33*in2m-$F36*in2m)^2)) + SIGN($C35)*((G35)+ABS($C35/1000)*(($E35*in2m-$E36*in2m)^2+($F35*in2m-$F36*in2m)^2))</f>
        <v>3.0985955859868679</v>
      </c>
      <c r="H36" s="46">
        <f>(H33+($C33/1000)*(($D33*in2m-$D36*in2m)^2+($F33*in2m-$F36*in2m)^2)) + SIGN($C35)*((H35)+ABS($C35/1000)*(($D35*in2m-$D36*in2m)^2+($F35*in2m-$F36*in2m)^2))</f>
        <v>0.49959477395043728</v>
      </c>
      <c r="I36" s="46">
        <f>(I33+($C33/1000)*(($D33*in2m-$D36*in2m)^2+($E33*in2m-$E36*in2m)^2)) + SIGN($C35)*((I35)+ABS($C35/1000)*(($D35*in2m-$D36*in2m)^2+($E35*in2m-$E36*in2m)^2))</f>
        <v>3.2872822730973268</v>
      </c>
    </row>
    <row r="38" spans="1:11" x14ac:dyDescent="0.25">
      <c r="A38" s="44">
        <v>42186</v>
      </c>
      <c r="B38" t="s">
        <v>17</v>
      </c>
      <c r="C38">
        <v>119.55</v>
      </c>
      <c r="D38">
        <v>-4.62</v>
      </c>
      <c r="E38">
        <v>0</v>
      </c>
      <c r="F38">
        <v>-0.9</v>
      </c>
      <c r="G38">
        <v>0</v>
      </c>
      <c r="H38">
        <v>0</v>
      </c>
      <c r="I38">
        <v>0</v>
      </c>
      <c r="J38" t="s">
        <v>14</v>
      </c>
    </row>
    <row r="39" spans="1:11" x14ac:dyDescent="0.25">
      <c r="B39" s="47" t="s">
        <v>15</v>
      </c>
      <c r="C39" s="47">
        <f>C36+C38</f>
        <v>6684.8600000000015</v>
      </c>
      <c r="D39" s="52">
        <f>(D36*$C36 + D38*$C38)/$C39</f>
        <v>-23.695628418545784</v>
      </c>
      <c r="E39" s="52">
        <f t="shared" ref="E39:F39" si="19">(E36*$C36 + E38*$C38)/$C39</f>
        <v>-3.2910188096684147E-2</v>
      </c>
      <c r="F39" s="52">
        <f t="shared" si="19"/>
        <v>-0.49769705274306414</v>
      </c>
      <c r="G39" s="70">
        <f>(G36+($C36/1000)*(($E36*in2m-$E39*in2m)^2+($F36*in2m-$F39*in2m)^2)) + SIGN($C38)*((G38)+ABS($C38/1000)*(($E38*in2m-$E39*in2m)^2+($F38*in2m-$F39*in2m)^2))</f>
        <v>3.0986083814829324</v>
      </c>
      <c r="H39" s="70">
        <f>(H36+($C36/1000)*(($D36*in2m-$D39*in2m)^2+($F36*in2m-$F39*in2m)^2)) + SIGN($C38)*((H38)+ABS($C38/1000)*(($D38*in2m-$D39*in2m)^2+($F38*in2m-$F39*in2m)^2))</f>
        <v>0.52818416630470488</v>
      </c>
      <c r="I39" s="70">
        <f>(I36+($C36/1000)*(($D36*in2m-$D39*in2m)^2+($E36*in2m-$E39*in2m)^2)) + SIGN($C38)*((I38)+ABS($C38/1000)*(($D38*in2m-$D39*in2m)^2+($E38*in2m-$E39*in2m)^2))</f>
        <v>3.3158590400713943</v>
      </c>
      <c r="J39" t="s">
        <v>54</v>
      </c>
      <c r="K39" t="s">
        <v>71</v>
      </c>
    </row>
    <row r="41" spans="1:11" x14ac:dyDescent="0.25">
      <c r="A41" s="44">
        <v>42217</v>
      </c>
      <c r="B41" t="s">
        <v>58</v>
      </c>
      <c r="C41">
        <f>-C32</f>
        <v>-55</v>
      </c>
      <c r="D41" s="45">
        <f>D32</f>
        <v>-22.5</v>
      </c>
      <c r="E41" s="45">
        <f t="shared" ref="E41:I41" si="20">E32</f>
        <v>-5.5</v>
      </c>
      <c r="F41" s="45">
        <f t="shared" si="20"/>
        <v>-1.25</v>
      </c>
      <c r="G41" s="45">
        <f t="shared" si="20"/>
        <v>0</v>
      </c>
      <c r="H41" s="45">
        <f t="shared" si="20"/>
        <v>0</v>
      </c>
      <c r="I41" s="45">
        <f t="shared" si="20"/>
        <v>0</v>
      </c>
      <c r="J41" t="s">
        <v>14</v>
      </c>
    </row>
    <row r="42" spans="1:11" x14ac:dyDescent="0.25">
      <c r="B42" t="s">
        <v>15</v>
      </c>
      <c r="C42">
        <f>C39+C41</f>
        <v>6629.8600000000015</v>
      </c>
      <c r="D42" s="45">
        <f>(D39*$C39 + D41*$C41)/$C42</f>
        <v>-23.705547114117035</v>
      </c>
      <c r="E42" s="45">
        <f t="shared" ref="E42:F42" si="21">(E39*$C39 + E41*$C41)/$C42</f>
        <v>1.244370167695848E-2</v>
      </c>
      <c r="F42" s="45">
        <f t="shared" si="21"/>
        <v>-0.49145609711215615</v>
      </c>
      <c r="G42" s="46">
        <f>(G39+($C39/1000)*(($E39*in2m-$E42*in2m)^2+($F39*in2m-$F42*in2m)^2)) + SIGN($C41)*((G41)+ABS($C41/1000)*(($E41*in2m-$E42*in2m)^2+($F41*in2m-$F42*in2m)^2))</f>
        <v>3.0975187563210489</v>
      </c>
      <c r="H42" s="46">
        <f>(H39+($C39/1000)*(($D39*in2m-$D42*in2m)^2+($F39*in2m-$F42*in2m)^2)) + SIGN($C41)*((H41)+ABS($C41/1000)*(($D41*in2m-$D42*in2m)^2+($F41*in2m-$F42*in2m)^2))</f>
        <v>0.52811277143705515</v>
      </c>
      <c r="I42" s="46">
        <f>(I39+($C39/1000)*(($D39*in2m-$D42*in2m)^2+($E39*in2m-$E42*in2m)^2)) + SIGN($C41)*((I41)+ABS($C41/1000)*(($D41*in2m-$D42*in2m)^2+($E41*in2m-$E42*in2m)^2))</f>
        <v>3.3147385180444222</v>
      </c>
    </row>
    <row r="44" spans="1:11" x14ac:dyDescent="0.25">
      <c r="A44" s="44">
        <v>42217</v>
      </c>
      <c r="B44" t="s">
        <v>56</v>
      </c>
      <c r="C44">
        <v>96</v>
      </c>
      <c r="D44">
        <f>D38-6</f>
        <v>-10.620000000000001</v>
      </c>
      <c r="E44">
        <v>0</v>
      </c>
      <c r="F44">
        <f>F38</f>
        <v>-0.9</v>
      </c>
      <c r="G44">
        <v>0</v>
      </c>
      <c r="H44">
        <v>0</v>
      </c>
      <c r="I44">
        <v>0</v>
      </c>
      <c r="J44" t="s">
        <v>57</v>
      </c>
    </row>
    <row r="45" spans="1:11" x14ac:dyDescent="0.25">
      <c r="B45" t="s">
        <v>15</v>
      </c>
      <c r="C45">
        <f>C42+C44</f>
        <v>6725.8600000000015</v>
      </c>
      <c r="D45" s="45">
        <f>(D42*$C42 + D44*$C44)/$C45</f>
        <v>-23.518773597725787</v>
      </c>
      <c r="E45" s="45">
        <f t="shared" ref="E45:F45" si="22">(E42*$C42 + E44*$C44)/$C45</f>
        <v>1.2266089392285887E-2</v>
      </c>
      <c r="F45" s="45">
        <f t="shared" si="22"/>
        <v>-0.49728735358749659</v>
      </c>
      <c r="G45" s="46">
        <f>(G42+($C42/1000)*(($E42*in2m-$E45*in2m)^2+($F42*in2m-$F45*in2m)^2)) + SIGN($C44)*((G44)+ABS($C44/1000)*(($E44*in2m-$E45*in2m)^2+($F44*in2m-$F45*in2m)^2))</f>
        <v>3.0975289557390107</v>
      </c>
      <c r="H45" s="46">
        <f>(H42+($C42/1000)*(($D42*in2m-$D45*in2m)^2+($F42*in2m-$F45*in2m)^2)) + SIGN($C44)*((H44)+ABS($C44/1000)*(($D44*in2m-$D45*in2m)^2+($F44*in2m-$F45*in2m)^2))</f>
        <v>0.5385768765737533</v>
      </c>
      <c r="I45" s="46">
        <f>(I42+($C42/1000)*(($D42*in2m-$D45*in2m)^2+($E42*in2m-$E45*in2m)^2)) + SIGN($C44)*((I44)+ABS($C44/1000)*(($D44*in2m-$D45*in2m)^2+($E44*in2m-$E45*in2m)^2))</f>
        <v>3.3251924426702351</v>
      </c>
    </row>
    <row r="47" spans="1:11" x14ac:dyDescent="0.25">
      <c r="A47" s="44">
        <v>42217</v>
      </c>
      <c r="B47" t="s">
        <v>55</v>
      </c>
      <c r="C47">
        <f>49-121</f>
        <v>-72</v>
      </c>
      <c r="D47">
        <v>-4.62</v>
      </c>
      <c r="E47">
        <v>0</v>
      </c>
      <c r="F47">
        <v>-0.9</v>
      </c>
      <c r="G47">
        <v>0</v>
      </c>
      <c r="H47">
        <v>0</v>
      </c>
      <c r="I47">
        <v>0</v>
      </c>
      <c r="J47" t="s">
        <v>14</v>
      </c>
    </row>
    <row r="48" spans="1:11" x14ac:dyDescent="0.25">
      <c r="B48" t="s">
        <v>15</v>
      </c>
      <c r="C48">
        <f>C45+C47</f>
        <v>6653.8600000000015</v>
      </c>
      <c r="D48" s="45">
        <f>(D45*$C45 + D47*$C47)/$C48</f>
        <v>-23.723273196310103</v>
      </c>
      <c r="E48" s="45">
        <f t="shared" ref="E48:F48" si="23">(E45*$C45 + E47*$C47)/$C48</f>
        <v>1.2398818129627006E-2</v>
      </c>
      <c r="F48" s="45">
        <f t="shared" si="23"/>
        <v>-0.49292968592666508</v>
      </c>
      <c r="G48" s="46">
        <f>(G45+($C45/1000)*(($E45*in2m-$E48*in2m)^2+($F45*in2m-$F48*in2m)^2)) + SIGN($C47)*((G47)+ABS($C47/1000)*(($E47*in2m-$E48*in2m)^2+($F47*in2m-$F48*in2m)^2))</f>
        <v>3.0975213337669709</v>
      </c>
      <c r="H48" s="46">
        <f>(H45+($C45/1000)*(($D45*in2m-$D48*in2m)^2+($F45*in2m-$F48*in2m)^2)) + SIGN($C47)*((H47)+ABS($C47/1000)*(($D47*in2m-$D48*in2m)^2+($F47*in2m-$F48*in2m)^2))</f>
        <v>0.52179894209209343</v>
      </c>
      <c r="I48" s="46">
        <f>(I45+($C45/1000)*(($D45*in2m-$D48*in2m)^2+($E45*in2m-$E48*in2m)^2)) + SIGN($C47)*((I47)+ABS($C47/1000)*(($D47*in2m-$D48*in2m)^2+($E47*in2m-$E48*in2m)^2))</f>
        <v>3.3084221160314553</v>
      </c>
      <c r="J48" t="s">
        <v>54</v>
      </c>
      <c r="K48" t="s">
        <v>73</v>
      </c>
    </row>
    <row r="50" spans="1:11" x14ac:dyDescent="0.25">
      <c r="A50" s="44">
        <v>42225</v>
      </c>
      <c r="B50" t="s">
        <v>63</v>
      </c>
      <c r="C50">
        <v>40</v>
      </c>
      <c r="D50">
        <v>-30</v>
      </c>
      <c r="E50">
        <f>E35</f>
        <v>0</v>
      </c>
      <c r="F50">
        <f>F35</f>
        <v>0</v>
      </c>
      <c r="G50">
        <v>0</v>
      </c>
      <c r="H50">
        <v>0</v>
      </c>
      <c r="I50">
        <v>0</v>
      </c>
      <c r="J50" t="s">
        <v>57</v>
      </c>
    </row>
    <row r="51" spans="1:11" x14ac:dyDescent="0.25">
      <c r="B51" t="s">
        <v>15</v>
      </c>
      <c r="C51">
        <f>C48+C50</f>
        <v>6693.8600000000015</v>
      </c>
      <c r="D51" s="45">
        <f>(D48*$C48 + D50*$C50)/$C51</f>
        <v>-23.760780564577079</v>
      </c>
      <c r="E51" s="45">
        <f t="shared" ref="E51:F51" si="24">(E48*$C48 + E50*$C50)/$C51</f>
        <v>1.2324727436785346E-2</v>
      </c>
      <c r="F51" s="45">
        <f t="shared" si="24"/>
        <v>-0.48998412276324865</v>
      </c>
      <c r="G51" s="46">
        <f>(G48+($C48/1000)*(($E48*in2m-$E51*in2m)^2+($F48*in2m-$F51*in2m)^2)) + SIGN($C50)*((G50)+ABS($C50/1000)*(($E50*in2m-$E51*in2m)^2+($F50*in2m-$F51*in2m)^2))</f>
        <v>3.0975275706714465</v>
      </c>
      <c r="H51" s="46">
        <f>(H48+($C48/1000)*(($D48*in2m-$D51*in2m)^2+($F48*in2m-$F51*in2m)^2)) + SIGN($C50)*((H50)+ABS($C50/1000)*(($D50*in2m-$D51*in2m)^2+($F50*in2m-$F51*in2m)^2))</f>
        <v>0.52281580208634781</v>
      </c>
      <c r="I51" s="46">
        <f>(I48+($C48/1000)*(($D48*in2m-$D51*in2m)^2+($E48*in2m-$E51*in2m)^2)) + SIGN($C50)*((I50)+ABS($C50/1000)*(($D50*in2m-$D51*in2m)^2+($E50*in2m-$E51*in2m)^2))</f>
        <v>3.3094327470082918</v>
      </c>
    </row>
    <row r="53" spans="1:11" x14ac:dyDescent="0.25">
      <c r="A53" s="44">
        <v>42225</v>
      </c>
      <c r="B53" t="s">
        <v>17</v>
      </c>
      <c r="C53">
        <v>15</v>
      </c>
      <c r="D53">
        <v>-4.62</v>
      </c>
      <c r="E53">
        <v>0</v>
      </c>
      <c r="F53">
        <v>-0.9</v>
      </c>
      <c r="G53">
        <v>0</v>
      </c>
      <c r="H53">
        <v>0</v>
      </c>
      <c r="I53">
        <v>0</v>
      </c>
      <c r="J53" t="s">
        <v>14</v>
      </c>
    </row>
    <row r="54" spans="1:11" x14ac:dyDescent="0.25">
      <c r="B54" t="s">
        <v>15</v>
      </c>
      <c r="C54">
        <f>C51+C53</f>
        <v>6708.8600000000015</v>
      </c>
      <c r="D54" s="45">
        <f>(D51*$C51 + D53*$C53)/$C54</f>
        <v>-23.717984663564291</v>
      </c>
      <c r="E54" s="45">
        <f t="shared" ref="E54:F54" si="25">(E51*$C51 + E53*$C53)/$C54</f>
        <v>1.2297171203453337E-2</v>
      </c>
      <c r="F54" s="45">
        <f t="shared" si="25"/>
        <v>-0.49090085647934217</v>
      </c>
      <c r="G54" s="46">
        <f>(G51+($C51/1000)*(($E51*in2m-$E54*in2m)^2+($F51*in2m-$F54*in2m)^2)) + SIGN($C53)*((G53)+ABS($C53/1000)*(($E53*in2m-$E54*in2m)^2+($F53*in2m-$F54*in2m)^2))</f>
        <v>3.0975291953975854</v>
      </c>
      <c r="H54" s="46">
        <f>(H51+($C51/1000)*(($D51*in2m-$D54*in2m)^2+($F51*in2m-$F54*in2m)^2)) + SIGN($C53)*((H53)+ABS($C53/1000)*(($D53*in2m-$D54*in2m)^2+($F53*in2m-$F54*in2m)^2))</f>
        <v>0.52635500214485431</v>
      </c>
      <c r="I54" s="46">
        <f>(I51+($C51/1000)*(($D51*in2m-$D54*in2m)^2+($E51*in2m-$E54*in2m)^2)) + SIGN($C53)*((I53)+ABS($C53/1000)*(($D53*in2m-$D54*in2m)^2+($E53*in2m-$E54*in2m)^2))</f>
        <v>3.3129703252740588</v>
      </c>
      <c r="J54" t="s">
        <v>54</v>
      </c>
      <c r="K54" t="s">
        <v>74</v>
      </c>
    </row>
    <row r="57" spans="1:11" x14ac:dyDescent="0.25">
      <c r="C57" s="62">
        <f>C48/1000*2.20462</f>
        <v>14.669232833200002</v>
      </c>
      <c r="D57" t="s">
        <v>9</v>
      </c>
    </row>
  </sheetData>
  <mergeCells count="2">
    <mergeCell ref="D1:F1"/>
    <mergeCell ref="G1:I1"/>
  </mergeCells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2"/>
  <sheetViews>
    <sheetView tabSelected="1" topLeftCell="A22" workbookViewId="0">
      <selection activeCell="C43" sqref="C43"/>
    </sheetView>
  </sheetViews>
  <sheetFormatPr defaultColWidth="8.85546875" defaultRowHeight="15" x14ac:dyDescent="0.25"/>
  <cols>
    <col min="1" max="1" width="17.85546875" customWidth="1"/>
    <col min="2" max="8" width="12" customWidth="1"/>
  </cols>
  <sheetData>
    <row r="3" spans="1:12" ht="15.75" thickBot="1" x14ac:dyDescent="0.3">
      <c r="A3" s="58" t="s">
        <v>44</v>
      </c>
    </row>
    <row r="4" spans="1:12" ht="15.75" thickBot="1" x14ac:dyDescent="0.3">
      <c r="A4" s="13" t="s">
        <v>10</v>
      </c>
      <c r="B4" s="2"/>
      <c r="C4" s="67" t="s">
        <v>38</v>
      </c>
      <c r="D4" s="68"/>
      <c r="E4" s="69"/>
      <c r="F4" s="67" t="s">
        <v>39</v>
      </c>
      <c r="G4" s="68"/>
      <c r="H4" s="69"/>
      <c r="J4" s="1" t="s">
        <v>25</v>
      </c>
      <c r="K4" s="18">
        <v>9.8066499999999994</v>
      </c>
      <c r="L4" s="19" t="s">
        <v>26</v>
      </c>
    </row>
    <row r="5" spans="1:12" ht="15.75" thickBot="1" x14ac:dyDescent="0.3">
      <c r="A5" s="15"/>
      <c r="B5" s="11" t="s">
        <v>37</v>
      </c>
      <c r="C5" s="7" t="s">
        <v>27</v>
      </c>
      <c r="D5" s="4" t="s">
        <v>28</v>
      </c>
      <c r="E5" s="8" t="s">
        <v>29</v>
      </c>
      <c r="F5" s="7" t="s">
        <v>30</v>
      </c>
      <c r="G5" s="4" t="s">
        <v>31</v>
      </c>
      <c r="H5" s="8" t="s">
        <v>32</v>
      </c>
      <c r="J5" s="3" t="s">
        <v>34</v>
      </c>
      <c r="K5" s="20">
        <v>2.5399999999999999E-2</v>
      </c>
      <c r="L5" s="5" t="s">
        <v>35</v>
      </c>
    </row>
    <row r="6" spans="1:12" ht="15.75" thickBot="1" x14ac:dyDescent="0.3">
      <c r="A6" s="17" t="s">
        <v>7</v>
      </c>
      <c r="B6" s="22">
        <v>3169.45</v>
      </c>
      <c r="C6" s="23">
        <v>-18.523510031077947</v>
      </c>
      <c r="D6" s="24">
        <v>0</v>
      </c>
      <c r="E6" s="25">
        <v>-0.42442166874378823</v>
      </c>
      <c r="F6" s="26">
        <v>1.5280065868500196E-2</v>
      </c>
      <c r="G6" s="26">
        <v>0.14448048825940063</v>
      </c>
      <c r="H6" s="27" t="s">
        <v>36</v>
      </c>
      <c r="J6" s="3"/>
      <c r="K6" s="20">
        <v>3417.1718982090001</v>
      </c>
      <c r="L6" s="5"/>
    </row>
    <row r="7" spans="1:12" x14ac:dyDescent="0.25">
      <c r="A7" s="16" t="s">
        <v>60</v>
      </c>
      <c r="B7" s="28" t="s">
        <v>61</v>
      </c>
      <c r="C7" s="29">
        <v>-9.0909999999999993</v>
      </c>
      <c r="D7" s="30">
        <v>0</v>
      </c>
      <c r="E7" s="31">
        <v>-1.9730000000000001</v>
      </c>
      <c r="F7" s="53">
        <v>3.1799999999999998E-4</v>
      </c>
      <c r="G7" s="53">
        <v>5.9639999999999997E-4</v>
      </c>
      <c r="H7" s="54">
        <v>8.8159999999999996E-4</v>
      </c>
    </row>
    <row r="8" spans="1:12" x14ac:dyDescent="0.25">
      <c r="A8" s="16" t="s">
        <v>5</v>
      </c>
      <c r="B8" s="28" t="s">
        <v>6</v>
      </c>
      <c r="C8" s="29">
        <v>-4.62</v>
      </c>
      <c r="D8" s="30">
        <v>0</v>
      </c>
      <c r="E8" s="31">
        <v>-0.9</v>
      </c>
      <c r="F8" s="53"/>
      <c r="G8" s="53"/>
      <c r="H8" s="54"/>
    </row>
    <row r="9" spans="1:12" x14ac:dyDescent="0.25">
      <c r="A9" s="16" t="s">
        <v>46</v>
      </c>
      <c r="B9" s="28" t="s">
        <v>49</v>
      </c>
      <c r="C9" s="29">
        <v>-4.62</v>
      </c>
      <c r="D9" s="30">
        <v>0</v>
      </c>
      <c r="E9" s="31">
        <v>-0.9</v>
      </c>
      <c r="F9" s="53"/>
      <c r="G9" s="53"/>
      <c r="H9" s="54"/>
    </row>
    <row r="10" spans="1:12" x14ac:dyDescent="0.25">
      <c r="A10" s="16" t="s">
        <v>47</v>
      </c>
      <c r="B10" s="28" t="s">
        <v>48</v>
      </c>
      <c r="C10" s="29">
        <v>-19.28</v>
      </c>
      <c r="D10" s="30">
        <v>0</v>
      </c>
      <c r="E10" s="31">
        <v>-0.85099999999999998</v>
      </c>
      <c r="F10" s="53"/>
      <c r="G10" s="53"/>
      <c r="H10" s="54"/>
    </row>
    <row r="11" spans="1:12" x14ac:dyDescent="0.25">
      <c r="A11" s="16" t="s">
        <v>40</v>
      </c>
      <c r="B11" s="28" t="s">
        <v>42</v>
      </c>
      <c r="C11" s="29">
        <v>-28.06</v>
      </c>
      <c r="D11" s="30">
        <v>-7.5209999999999999</v>
      </c>
      <c r="E11" s="31">
        <v>0.14099999999999999</v>
      </c>
      <c r="F11" s="53"/>
      <c r="G11" s="53"/>
      <c r="H11" s="54"/>
    </row>
    <row r="12" spans="1:12" x14ac:dyDescent="0.25">
      <c r="A12" s="16" t="s">
        <v>41</v>
      </c>
      <c r="B12" s="28" t="s">
        <v>43</v>
      </c>
      <c r="C12" s="29">
        <v>-28.06</v>
      </c>
      <c r="D12" s="30">
        <v>7.5209999999999999</v>
      </c>
      <c r="E12" s="31">
        <v>0.14099999999999999</v>
      </c>
      <c r="F12" s="53"/>
      <c r="G12" s="53"/>
      <c r="H12" s="54"/>
    </row>
    <row r="13" spans="1:12" x14ac:dyDescent="0.25">
      <c r="A13" s="16" t="s">
        <v>0</v>
      </c>
      <c r="B13" s="28">
        <v>1407.45</v>
      </c>
      <c r="C13" s="29">
        <v>-28.265099212856772</v>
      </c>
      <c r="D13" s="30">
        <v>-31.416080260883309</v>
      </c>
      <c r="E13" s="31" t="s">
        <v>70</v>
      </c>
      <c r="F13" s="32"/>
      <c r="G13" s="32"/>
      <c r="H13" s="33"/>
    </row>
    <row r="14" spans="1:12" x14ac:dyDescent="0.25">
      <c r="A14" s="16" t="s">
        <v>1</v>
      </c>
      <c r="B14" s="28">
        <v>1432.8</v>
      </c>
      <c r="C14" s="29">
        <v>-28.405576685387736</v>
      </c>
      <c r="D14" s="30">
        <v>31.763774206345854</v>
      </c>
      <c r="E14" s="31" t="s">
        <v>70</v>
      </c>
      <c r="F14" s="32"/>
      <c r="G14" s="32"/>
      <c r="H14" s="33"/>
    </row>
    <row r="15" spans="1:12" x14ac:dyDescent="0.25">
      <c r="A15" s="16" t="s">
        <v>2</v>
      </c>
      <c r="B15" s="28">
        <v>95.85</v>
      </c>
      <c r="C15" s="29">
        <v>-42.45</v>
      </c>
      <c r="D15" s="30">
        <v>-60.25</v>
      </c>
      <c r="E15" s="31">
        <v>-0.2122</v>
      </c>
      <c r="F15" s="32"/>
      <c r="G15" s="32"/>
      <c r="H15" s="33"/>
    </row>
    <row r="16" spans="1:12" x14ac:dyDescent="0.25">
      <c r="A16" s="16" t="s">
        <v>3</v>
      </c>
      <c r="B16" s="28">
        <v>96.45</v>
      </c>
      <c r="C16" s="29">
        <v>-42.45</v>
      </c>
      <c r="D16" s="30">
        <v>60.25</v>
      </c>
      <c r="E16" s="31">
        <v>-0.2122</v>
      </c>
      <c r="F16" s="32"/>
      <c r="G16" s="32"/>
      <c r="H16" s="33"/>
    </row>
    <row r="17" spans="1:8" x14ac:dyDescent="0.25">
      <c r="A17" s="16" t="s">
        <v>4</v>
      </c>
      <c r="B17" s="28">
        <v>67.81</v>
      </c>
      <c r="C17" s="29">
        <v>-20.216666666666665</v>
      </c>
      <c r="D17" s="30">
        <v>0</v>
      </c>
      <c r="E17" s="31">
        <v>-0.15666666666666659</v>
      </c>
      <c r="F17" s="32"/>
      <c r="G17" s="32"/>
      <c r="H17" s="33"/>
    </row>
    <row r="18" spans="1:8" ht="15.75" thickBot="1" x14ac:dyDescent="0.3">
      <c r="A18" s="16"/>
      <c r="B18" s="28"/>
      <c r="C18" s="59"/>
      <c r="D18" s="60"/>
      <c r="E18" s="61"/>
      <c r="F18" s="32"/>
      <c r="G18" s="32"/>
      <c r="H18" s="33"/>
    </row>
    <row r="19" spans="1:8" ht="15.75" thickBot="1" x14ac:dyDescent="0.3">
      <c r="A19" s="21" t="s">
        <v>33</v>
      </c>
      <c r="B19" s="34">
        <v>6269.81</v>
      </c>
      <c r="C19" s="35">
        <v>-23.726447721701295</v>
      </c>
      <c r="D19" s="36">
        <v>0</v>
      </c>
      <c r="E19" s="37">
        <v>-0.49104200924748914</v>
      </c>
      <c r="F19" s="38">
        <v>3.0977856600061244</v>
      </c>
      <c r="G19" s="38">
        <v>0.5278392103037457</v>
      </c>
      <c r="H19" s="39">
        <v>3.3146271438643926</v>
      </c>
    </row>
    <row r="20" spans="1:8" ht="15.75" thickBot="1" x14ac:dyDescent="0.3">
      <c r="B20" s="57"/>
    </row>
    <row r="21" spans="1:8" ht="15.75" thickBot="1" x14ac:dyDescent="0.3">
      <c r="A21" s="9" t="s">
        <v>33</v>
      </c>
      <c r="B21" s="43">
        <f>B19/1000*2.20462</f>
        <v>13.8225485222</v>
      </c>
      <c r="F21" s="40">
        <f>F19*$K$6</f>
        <v>10585.666104047748</v>
      </c>
      <c r="G21" s="41">
        <f>G19*$K$6</f>
        <v>1803.7173162227903</v>
      </c>
      <c r="H21" s="42">
        <f>H19*$K$6</f>
        <v>11326.650729054163</v>
      </c>
    </row>
    <row r="22" spans="1:8" x14ac:dyDescent="0.25">
      <c r="B22" t="s">
        <v>9</v>
      </c>
      <c r="F22" t="s">
        <v>8</v>
      </c>
      <c r="G22" t="s">
        <v>8</v>
      </c>
      <c r="H22" t="s">
        <v>8</v>
      </c>
    </row>
    <row r="24" spans="1:8" ht="15.75" thickBot="1" x14ac:dyDescent="0.3">
      <c r="A24" s="58" t="s">
        <v>53</v>
      </c>
    </row>
    <row r="25" spans="1:8" ht="15.75" thickBot="1" x14ac:dyDescent="0.3">
      <c r="A25" s="13" t="s">
        <v>10</v>
      </c>
      <c r="B25" s="2"/>
      <c r="C25" s="67" t="s">
        <v>38</v>
      </c>
      <c r="D25" s="68"/>
      <c r="E25" s="69"/>
      <c r="F25" s="67" t="s">
        <v>39</v>
      </c>
      <c r="G25" s="68"/>
      <c r="H25" s="69"/>
    </row>
    <row r="26" spans="1:8" ht="15.75" thickBot="1" x14ac:dyDescent="0.3">
      <c r="A26" s="15"/>
      <c r="B26" s="11" t="s">
        <v>37</v>
      </c>
      <c r="C26" s="49" t="s">
        <v>27</v>
      </c>
      <c r="D26" s="50" t="s">
        <v>28</v>
      </c>
      <c r="E26" s="51" t="s">
        <v>29</v>
      </c>
      <c r="F26" s="49" t="s">
        <v>30</v>
      </c>
      <c r="G26" s="50" t="s">
        <v>31</v>
      </c>
      <c r="H26" s="51" t="s">
        <v>32</v>
      </c>
    </row>
    <row r="27" spans="1:8" x14ac:dyDescent="0.25">
      <c r="A27" s="17" t="s">
        <v>7</v>
      </c>
      <c r="B27" s="55">
        <v>3529.28</v>
      </c>
      <c r="C27" s="24">
        <f>C6</f>
        <v>-18.523510031077947</v>
      </c>
      <c r="D27" s="24">
        <f t="shared" ref="D27:E27" si="0">D6</f>
        <v>0</v>
      </c>
      <c r="E27" s="25">
        <f t="shared" si="0"/>
        <v>-0.42442166874378823</v>
      </c>
      <c r="F27" s="26"/>
      <c r="G27" s="26"/>
      <c r="H27" s="27"/>
    </row>
    <row r="28" spans="1:8" x14ac:dyDescent="0.25">
      <c r="A28" s="16" t="s">
        <v>60</v>
      </c>
      <c r="B28" s="56" t="s">
        <v>62</v>
      </c>
      <c r="C28" s="30">
        <f t="shared" ref="C28:E38" si="1">C7</f>
        <v>-9.0909999999999993</v>
      </c>
      <c r="D28" s="30">
        <f t="shared" si="1"/>
        <v>0</v>
      </c>
      <c r="E28" s="31">
        <f t="shared" si="1"/>
        <v>-1.9730000000000001</v>
      </c>
      <c r="F28" s="53">
        <v>1.7896479999999999E-4</v>
      </c>
      <c r="G28" s="53">
        <v>3.3355800000000002E-4</v>
      </c>
      <c r="H28" s="54">
        <v>4.939454E-4</v>
      </c>
    </row>
    <row r="29" spans="1:8" x14ac:dyDescent="0.25">
      <c r="A29" s="16" t="s">
        <v>5</v>
      </c>
      <c r="B29" s="56" t="s">
        <v>45</v>
      </c>
      <c r="C29" s="30">
        <f t="shared" si="1"/>
        <v>-4.62</v>
      </c>
      <c r="D29" s="30">
        <f t="shared" si="1"/>
        <v>0</v>
      </c>
      <c r="E29" s="31">
        <f t="shared" si="1"/>
        <v>-0.9</v>
      </c>
      <c r="F29" s="53"/>
      <c r="G29" s="53"/>
      <c r="H29" s="54"/>
    </row>
    <row r="30" spans="1:8" x14ac:dyDescent="0.25">
      <c r="A30" s="16" t="s">
        <v>46</v>
      </c>
      <c r="B30" s="28" t="s">
        <v>49</v>
      </c>
      <c r="C30" s="30">
        <f t="shared" si="1"/>
        <v>-4.62</v>
      </c>
      <c r="D30" s="30">
        <f t="shared" si="1"/>
        <v>0</v>
      </c>
      <c r="E30" s="31">
        <f t="shared" si="1"/>
        <v>-0.9</v>
      </c>
      <c r="F30" s="53"/>
      <c r="G30" s="53"/>
      <c r="H30" s="54"/>
    </row>
    <row r="31" spans="1:8" x14ac:dyDescent="0.25">
      <c r="A31" s="16" t="s">
        <v>47</v>
      </c>
      <c r="B31" s="28" t="s">
        <v>50</v>
      </c>
      <c r="C31" s="30">
        <f t="shared" si="1"/>
        <v>-19.28</v>
      </c>
      <c r="D31" s="30">
        <f t="shared" si="1"/>
        <v>0</v>
      </c>
      <c r="E31" s="31">
        <f t="shared" si="1"/>
        <v>-0.85099999999999998</v>
      </c>
      <c r="F31" s="53"/>
      <c r="G31" s="53"/>
      <c r="H31" s="54"/>
    </row>
    <row r="32" spans="1:8" x14ac:dyDescent="0.25">
      <c r="A32" s="16" t="s">
        <v>40</v>
      </c>
      <c r="B32" s="28" t="s">
        <v>42</v>
      </c>
      <c r="C32" s="30">
        <f t="shared" si="1"/>
        <v>-28.06</v>
      </c>
      <c r="D32" s="30">
        <f t="shared" si="1"/>
        <v>-7.5209999999999999</v>
      </c>
      <c r="E32" s="31">
        <f t="shared" si="1"/>
        <v>0.14099999999999999</v>
      </c>
      <c r="F32" s="53"/>
      <c r="G32" s="53"/>
      <c r="H32" s="54"/>
    </row>
    <row r="33" spans="1:13" x14ac:dyDescent="0.25">
      <c r="A33" s="16" t="s">
        <v>41</v>
      </c>
      <c r="B33" s="28" t="s">
        <v>43</v>
      </c>
      <c r="C33" s="30">
        <f t="shared" si="1"/>
        <v>-28.06</v>
      </c>
      <c r="D33" s="30">
        <f t="shared" si="1"/>
        <v>7.5209999999999999</v>
      </c>
      <c r="E33" s="31">
        <f t="shared" si="1"/>
        <v>0.14099999999999999</v>
      </c>
      <c r="F33" s="53"/>
      <c r="G33" s="53"/>
      <c r="H33" s="54"/>
    </row>
    <row r="34" spans="1:13" x14ac:dyDescent="0.25">
      <c r="A34" s="16" t="s">
        <v>0</v>
      </c>
      <c r="B34" s="56">
        <v>1442.64</v>
      </c>
      <c r="C34" s="30">
        <f t="shared" si="1"/>
        <v>-28.265099212856772</v>
      </c>
      <c r="D34" s="30">
        <f t="shared" si="1"/>
        <v>-31.416080260883309</v>
      </c>
      <c r="E34" s="31" t="str">
        <f t="shared" ref="E34" si="2">E13</f>
        <v xml:space="preserve"> </v>
      </c>
      <c r="F34" s="32"/>
      <c r="G34" s="32"/>
      <c r="H34" s="33"/>
      <c r="M34" s="57"/>
    </row>
    <row r="35" spans="1:13" x14ac:dyDescent="0.25">
      <c r="A35" s="16" t="s">
        <v>1</v>
      </c>
      <c r="B35" s="56">
        <v>1452.83</v>
      </c>
      <c r="C35" s="30">
        <f t="shared" si="1"/>
        <v>-28.405576685387736</v>
      </c>
      <c r="D35" s="30">
        <f t="shared" si="1"/>
        <v>31.763774206345854</v>
      </c>
      <c r="E35" s="31" t="str">
        <f t="shared" ref="E35" si="3">E14</f>
        <v xml:space="preserve"> </v>
      </c>
      <c r="F35" s="32"/>
      <c r="G35" s="32"/>
      <c r="H35" s="33"/>
      <c r="M35" s="57"/>
    </row>
    <row r="36" spans="1:13" x14ac:dyDescent="0.25">
      <c r="A36" s="16" t="s">
        <v>2</v>
      </c>
      <c r="B36" s="28">
        <v>95.85</v>
      </c>
      <c r="C36" s="30">
        <f t="shared" si="1"/>
        <v>-42.45</v>
      </c>
      <c r="D36" s="30">
        <f t="shared" si="1"/>
        <v>-60.25</v>
      </c>
      <c r="E36" s="31">
        <f t="shared" ref="E36" si="4">E15</f>
        <v>-0.2122</v>
      </c>
      <c r="F36" s="32"/>
      <c r="G36" s="32"/>
      <c r="H36" s="33"/>
    </row>
    <row r="37" spans="1:13" x14ac:dyDescent="0.25">
      <c r="A37" s="16" t="s">
        <v>3</v>
      </c>
      <c r="B37" s="28">
        <v>96.45</v>
      </c>
      <c r="C37" s="30">
        <f t="shared" si="1"/>
        <v>-42.45</v>
      </c>
      <c r="D37" s="30">
        <f t="shared" si="1"/>
        <v>60.25</v>
      </c>
      <c r="E37" s="31">
        <f t="shared" si="1"/>
        <v>-0.2122</v>
      </c>
      <c r="F37" s="32"/>
      <c r="G37" s="32"/>
      <c r="H37" s="33"/>
    </row>
    <row r="38" spans="1:13" x14ac:dyDescent="0.25">
      <c r="A38" s="16" t="s">
        <v>4</v>
      </c>
      <c r="B38" s="28">
        <v>67.81</v>
      </c>
      <c r="C38" s="30">
        <f t="shared" si="1"/>
        <v>-20.216666666666665</v>
      </c>
      <c r="D38" s="30">
        <f t="shared" si="1"/>
        <v>0</v>
      </c>
      <c r="E38" s="31">
        <f t="shared" si="1"/>
        <v>-0.15666666666666659</v>
      </c>
      <c r="F38" s="32"/>
      <c r="G38" s="32"/>
      <c r="H38" s="33"/>
    </row>
    <row r="39" spans="1:13" ht="15.75" thickBot="1" x14ac:dyDescent="0.3">
      <c r="A39" s="16"/>
      <c r="B39" s="28"/>
      <c r="C39" s="32"/>
      <c r="D39" s="32"/>
      <c r="E39" s="33"/>
      <c r="F39" s="32"/>
      <c r="G39" s="32"/>
      <c r="H39" s="33"/>
    </row>
    <row r="40" spans="1:13" ht="15.75" thickBot="1" x14ac:dyDescent="0.3">
      <c r="A40" s="21" t="s">
        <v>33</v>
      </c>
      <c r="B40" s="34">
        <f>SUM(B27:B39)</f>
        <v>6684.8600000000006</v>
      </c>
      <c r="C40" s="35"/>
      <c r="D40" s="36"/>
      <c r="E40" s="37"/>
      <c r="F40" s="38"/>
      <c r="G40" s="38"/>
      <c r="H40" s="39"/>
    </row>
    <row r="41" spans="1:13" ht="15.75" thickBot="1" x14ac:dyDescent="0.3"/>
    <row r="42" spans="1:13" ht="15.75" thickBot="1" x14ac:dyDescent="0.3">
      <c r="A42" s="9" t="s">
        <v>33</v>
      </c>
      <c r="B42" s="43">
        <f>B40/1000*2.20462</f>
        <v>14.7375760532</v>
      </c>
      <c r="C42" t="s">
        <v>9</v>
      </c>
    </row>
  </sheetData>
  <mergeCells count="4">
    <mergeCell ref="C4:E4"/>
    <mergeCell ref="F4:H4"/>
    <mergeCell ref="C25:E25"/>
    <mergeCell ref="F25:H25"/>
  </mergeCells>
  <phoneticPr fontId="2" type="noConversion"/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pane ySplit="2" topLeftCell="A3" activePane="bottomLeft" state="frozen"/>
      <selection pane="bottomLeft" activeCell="K15" sqref="K15"/>
    </sheetView>
  </sheetViews>
  <sheetFormatPr defaultColWidth="8.85546875" defaultRowHeight="15" x14ac:dyDescent="0.25"/>
  <cols>
    <col min="1" max="1" width="10.42578125" bestFit="1" customWidth="1"/>
    <col min="2" max="2" width="33.42578125" bestFit="1" customWidth="1"/>
    <col min="3" max="9" width="10.85546875" customWidth="1"/>
    <col min="10" max="10" width="27.28515625" customWidth="1"/>
  </cols>
  <sheetData>
    <row r="1" spans="1:10" ht="15.75" thickBot="1" x14ac:dyDescent="0.3">
      <c r="C1" s="2"/>
      <c r="D1" s="67" t="s">
        <v>38</v>
      </c>
      <c r="E1" s="68"/>
      <c r="F1" s="69"/>
      <c r="G1" s="67" t="s">
        <v>39</v>
      </c>
      <c r="H1" s="68"/>
      <c r="I1" s="69"/>
    </row>
    <row r="2" spans="1:10" ht="15.75" thickBot="1" x14ac:dyDescent="0.3">
      <c r="C2" s="11" t="s">
        <v>37</v>
      </c>
      <c r="D2" s="49" t="s">
        <v>27</v>
      </c>
      <c r="E2" s="50" t="s">
        <v>28</v>
      </c>
      <c r="F2" s="51" t="s">
        <v>29</v>
      </c>
      <c r="G2" s="49" t="s">
        <v>30</v>
      </c>
      <c r="H2" s="50" t="s">
        <v>31</v>
      </c>
      <c r="I2" s="51" t="s">
        <v>32</v>
      </c>
      <c r="J2" s="6" t="s">
        <v>12</v>
      </c>
    </row>
    <row r="3" spans="1:10" x14ac:dyDescent="0.25">
      <c r="A3" s="44">
        <v>42248</v>
      </c>
      <c r="B3" t="s">
        <v>68</v>
      </c>
      <c r="C3">
        <f>'Hati - Test Summary'!B19</f>
        <v>6353.43</v>
      </c>
      <c r="D3" s="45">
        <f>'Hati - Test Summary'!C19</f>
        <v>-23.701232316402319</v>
      </c>
      <c r="E3" s="45">
        <f>'Hati - Test Summary'!D19</f>
        <v>0</v>
      </c>
      <c r="F3" s="45">
        <f>'Hati - Test Summary'!E19</f>
        <v>-0.4910901535076328</v>
      </c>
      <c r="G3" s="46">
        <f>'Hati - Test Summary'!F19</f>
        <v>2.7858559094921902</v>
      </c>
      <c r="H3" s="46">
        <f>'Hati - Test Summary'!G19</f>
        <v>0.48103970797577666</v>
      </c>
      <c r="I3" s="46">
        <f>'Hati - Test Summary'!H19</f>
        <v>3.063409536761633</v>
      </c>
      <c r="J3" t="s">
        <v>13</v>
      </c>
    </row>
    <row r="5" spans="1:10" x14ac:dyDescent="0.25">
      <c r="A5" s="44">
        <v>42248</v>
      </c>
      <c r="B5" t="s">
        <v>69</v>
      </c>
      <c r="C5">
        <v>0</v>
      </c>
      <c r="D5" s="45">
        <v>0</v>
      </c>
      <c r="E5" s="45">
        <f>'Hati - Test Summary'!D8</f>
        <v>0</v>
      </c>
      <c r="F5" s="45">
        <v>0</v>
      </c>
      <c r="G5" s="48">
        <v>0</v>
      </c>
      <c r="H5" s="48">
        <v>0</v>
      </c>
      <c r="I5" s="48">
        <v>0</v>
      </c>
    </row>
    <row r="6" spans="1:10" x14ac:dyDescent="0.25">
      <c r="A6" s="44"/>
      <c r="B6" t="s">
        <v>15</v>
      </c>
      <c r="C6">
        <f>C3+C5</f>
        <v>6353.43</v>
      </c>
      <c r="D6" s="45">
        <f>(D3*$C3 + D5*$C5)/$C6</f>
        <v>-23.701232316402319</v>
      </c>
      <c r="E6" s="45">
        <f t="shared" ref="E6:F6" si="0">(E3*$C3 + E5*$C5)/$C6</f>
        <v>0</v>
      </c>
      <c r="F6" s="45">
        <f t="shared" si="0"/>
        <v>-0.4910901535076328</v>
      </c>
      <c r="G6" s="46">
        <f>(G3+($C3/1000)*(($E3*in2m-$E6*in2m)^2+($F3*in2m-$F6*in2m)^2)) + SIGN($C5)*((G5)+ABS($C5/1000)*(($E5*in2m-$E6*in2m)^2+($F5*in2m-$F6*in2m)^2))</f>
        <v>2.7858559094921902</v>
      </c>
      <c r="H6" s="46">
        <f>(H3+($C3/1000)*(($D3*in2m-$D6*in2m)^2+($F3*in2m-$F6*in2m)^2)) + SIGN($C5)*((H5)+ABS($C5/1000)*(($D5*in2m-$D6*in2m)^2+($F5*in2m-$F6*in2m)^2))</f>
        <v>0.48103970797577666</v>
      </c>
      <c r="I6" s="46">
        <f>(I3+($C3/1000)*(($D3*in2m-$D6*in2m)^2+($E3*in2m-$E6*in2m)^2)) + SIGN($C5)*((I5)+ABS($C5/1000)*(($D5*in2m-$D6*in2m)^2+($E5*in2m-$E6*in2m)^2))</f>
        <v>3.063409536761633</v>
      </c>
    </row>
    <row r="7" spans="1:10" x14ac:dyDescent="0.25">
      <c r="A7" s="44"/>
      <c r="D7" s="45"/>
      <c r="E7" s="45"/>
      <c r="F7" s="45"/>
      <c r="G7" s="46"/>
      <c r="H7" s="46"/>
      <c r="I7" s="46"/>
    </row>
    <row r="9" spans="1:10" x14ac:dyDescent="0.25">
      <c r="C9" s="62">
        <f>C6/1000*2.20462</f>
        <v>14.0068988466</v>
      </c>
      <c r="D9" t="s">
        <v>9</v>
      </c>
    </row>
  </sheetData>
  <mergeCells count="2">
    <mergeCell ref="D1:F1"/>
    <mergeCell ref="G1:I1"/>
  </mergeCells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2"/>
  <sheetViews>
    <sheetView topLeftCell="A7" workbookViewId="0">
      <selection activeCell="C21" sqref="C21"/>
    </sheetView>
  </sheetViews>
  <sheetFormatPr defaultColWidth="8.85546875" defaultRowHeight="15" x14ac:dyDescent="0.25"/>
  <cols>
    <col min="1" max="1" width="17.85546875" customWidth="1"/>
    <col min="2" max="8" width="12" customWidth="1"/>
  </cols>
  <sheetData>
    <row r="3" spans="1:11" ht="15.75" thickBot="1" x14ac:dyDescent="0.3">
      <c r="A3" s="58" t="s">
        <v>44</v>
      </c>
    </row>
    <row r="4" spans="1:11" ht="15.75" thickBot="1" x14ac:dyDescent="0.3">
      <c r="A4" s="13" t="s">
        <v>10</v>
      </c>
      <c r="B4" s="2"/>
      <c r="C4" s="67" t="s">
        <v>38</v>
      </c>
      <c r="D4" s="68"/>
      <c r="E4" s="69"/>
      <c r="F4" s="67" t="s">
        <v>39</v>
      </c>
      <c r="G4" s="68"/>
      <c r="H4" s="69"/>
      <c r="I4" s="67" t="s">
        <v>64</v>
      </c>
      <c r="J4" s="68"/>
      <c r="K4" s="69"/>
    </row>
    <row r="5" spans="1:11" ht="15.75" thickBot="1" x14ac:dyDescent="0.3">
      <c r="A5" s="15"/>
      <c r="B5" s="11" t="s">
        <v>37</v>
      </c>
      <c r="C5" s="49" t="s">
        <v>27</v>
      </c>
      <c r="D5" s="50" t="s">
        <v>28</v>
      </c>
      <c r="E5" s="51" t="s">
        <v>29</v>
      </c>
      <c r="F5" s="49" t="s">
        <v>30</v>
      </c>
      <c r="G5" s="50" t="s">
        <v>31</v>
      </c>
      <c r="H5" s="51" t="s">
        <v>32</v>
      </c>
      <c r="I5" s="49" t="s">
        <v>30</v>
      </c>
      <c r="J5" s="50" t="s">
        <v>31</v>
      </c>
      <c r="K5" s="51" t="s">
        <v>32</v>
      </c>
    </row>
    <row r="6" spans="1:11" x14ac:dyDescent="0.25">
      <c r="A6" s="17" t="s">
        <v>7</v>
      </c>
      <c r="B6" s="22">
        <v>3362.34</v>
      </c>
      <c r="C6" s="23">
        <v>-19.029243837922397</v>
      </c>
      <c r="D6" s="24">
        <v>0</v>
      </c>
      <c r="E6" s="25">
        <v>-0.48787888524063588</v>
      </c>
      <c r="F6" s="26"/>
      <c r="G6" s="26"/>
      <c r="H6" s="27"/>
      <c r="I6" s="63"/>
      <c r="J6" s="63"/>
      <c r="K6" s="27"/>
    </row>
    <row r="7" spans="1:11" x14ac:dyDescent="0.25">
      <c r="A7" s="16" t="s">
        <v>60</v>
      </c>
      <c r="B7" s="28" t="s">
        <v>62</v>
      </c>
      <c r="C7" s="29">
        <v>-9.0624380999999996</v>
      </c>
      <c r="D7" s="30">
        <v>0</v>
      </c>
      <c r="E7" s="31">
        <v>-2.0267940000000002</v>
      </c>
      <c r="F7" s="53"/>
      <c r="G7" s="53"/>
      <c r="H7" s="54"/>
      <c r="I7" s="64"/>
      <c r="J7" s="64"/>
      <c r="K7" s="54"/>
    </row>
    <row r="8" spans="1:11" x14ac:dyDescent="0.25">
      <c r="A8" s="16" t="s">
        <v>5</v>
      </c>
      <c r="B8" s="28" t="s">
        <v>65</v>
      </c>
      <c r="C8" s="29">
        <v>-4.62</v>
      </c>
      <c r="D8" s="30">
        <v>0</v>
      </c>
      <c r="E8" s="31">
        <v>-0.61350000000000005</v>
      </c>
      <c r="F8" s="53"/>
      <c r="G8" s="53"/>
      <c r="H8" s="54"/>
      <c r="I8" s="53"/>
      <c r="J8" s="53"/>
      <c r="K8" s="54"/>
    </row>
    <row r="9" spans="1:11" x14ac:dyDescent="0.25">
      <c r="A9" s="16" t="s">
        <v>46</v>
      </c>
      <c r="B9" s="28" t="s">
        <v>49</v>
      </c>
      <c r="C9" s="29">
        <v>-4.62</v>
      </c>
      <c r="D9" s="30">
        <v>0</v>
      </c>
      <c r="E9" s="31">
        <v>-0.35220000000000001</v>
      </c>
      <c r="F9" s="53"/>
      <c r="G9" s="53"/>
      <c r="H9" s="54"/>
      <c r="I9" s="53"/>
      <c r="J9" s="53"/>
      <c r="K9" s="54"/>
    </row>
    <row r="10" spans="1:11" x14ac:dyDescent="0.25">
      <c r="A10" s="16" t="s">
        <v>47</v>
      </c>
      <c r="B10" s="28" t="s">
        <v>50</v>
      </c>
      <c r="C10" s="29">
        <v>-19.28</v>
      </c>
      <c r="D10" s="30">
        <v>0</v>
      </c>
      <c r="E10" s="31">
        <v>-0.85099999999999998</v>
      </c>
      <c r="F10" s="53"/>
      <c r="G10" s="53"/>
      <c r="H10" s="54"/>
      <c r="I10" s="53"/>
      <c r="J10" s="53"/>
      <c r="K10" s="54"/>
    </row>
    <row r="11" spans="1:11" x14ac:dyDescent="0.25">
      <c r="A11" s="16" t="s">
        <v>40</v>
      </c>
      <c r="B11" s="28" t="s">
        <v>66</v>
      </c>
      <c r="C11" s="29">
        <v>-28.06</v>
      </c>
      <c r="D11" s="30">
        <v>-7.5209999999999999</v>
      </c>
      <c r="E11" s="31">
        <v>0.14099999999999999</v>
      </c>
      <c r="F11" s="53"/>
      <c r="G11" s="53"/>
      <c r="H11" s="54"/>
      <c r="I11" s="53"/>
      <c r="J11" s="53"/>
      <c r="K11" s="54"/>
    </row>
    <row r="12" spans="1:11" x14ac:dyDescent="0.25">
      <c r="A12" s="16" t="s">
        <v>41</v>
      </c>
      <c r="B12" s="28" t="s">
        <v>67</v>
      </c>
      <c r="C12" s="29">
        <v>-28.06</v>
      </c>
      <c r="D12" s="30">
        <v>7.5209999999999999</v>
      </c>
      <c r="E12" s="31">
        <v>0.14099999999999999</v>
      </c>
      <c r="F12" s="53"/>
      <c r="G12" s="53"/>
      <c r="H12" s="54"/>
      <c r="I12" s="53"/>
      <c r="J12" s="53"/>
      <c r="K12" s="54"/>
    </row>
    <row r="13" spans="1:11" x14ac:dyDescent="0.25">
      <c r="A13" s="16" t="s">
        <v>0</v>
      </c>
      <c r="B13" s="28">
        <v>1413.04</v>
      </c>
      <c r="C13" s="29">
        <v>-28.927117339446426</v>
      </c>
      <c r="D13" s="30">
        <v>-32.557770333736727</v>
      </c>
      <c r="E13" s="31"/>
      <c r="F13" s="32"/>
      <c r="G13" s="32"/>
      <c r="H13" s="33"/>
      <c r="I13" s="32"/>
      <c r="J13" s="32"/>
      <c r="K13" s="33"/>
    </row>
    <row r="14" spans="1:11" x14ac:dyDescent="0.25">
      <c r="A14" s="16" t="s">
        <v>1</v>
      </c>
      <c r="B14" s="28">
        <v>1429.75</v>
      </c>
      <c r="C14" s="29">
        <v>-28.787806445537079</v>
      </c>
      <c r="D14" s="30">
        <v>32.5466471670033</v>
      </c>
      <c r="E14" s="31"/>
      <c r="F14" s="32"/>
      <c r="G14" s="32"/>
      <c r="H14" s="33"/>
      <c r="I14" s="32"/>
      <c r="J14" s="32"/>
      <c r="K14" s="33"/>
    </row>
    <row r="15" spans="1:11" x14ac:dyDescent="0.25">
      <c r="A15" s="16" t="s">
        <v>2</v>
      </c>
      <c r="B15" s="28">
        <v>42.2</v>
      </c>
      <c r="C15" s="29">
        <v>-42.448678000000001</v>
      </c>
      <c r="D15" s="30">
        <v>-60.25</v>
      </c>
      <c r="E15" s="31">
        <v>-0.2122</v>
      </c>
      <c r="F15" s="32"/>
      <c r="G15" s="32"/>
      <c r="H15" s="33"/>
      <c r="I15" s="32"/>
      <c r="J15" s="32"/>
      <c r="K15" s="33"/>
    </row>
    <row r="16" spans="1:11" x14ac:dyDescent="0.25">
      <c r="A16" s="16" t="s">
        <v>3</v>
      </c>
      <c r="B16" s="28">
        <v>38.29</v>
      </c>
      <c r="C16" s="29">
        <v>-42.448678000000001</v>
      </c>
      <c r="D16" s="30">
        <v>60.25</v>
      </c>
      <c r="E16" s="31">
        <v>-0.2122</v>
      </c>
      <c r="F16" s="32"/>
      <c r="G16" s="32"/>
      <c r="H16" s="33"/>
      <c r="I16" s="32"/>
      <c r="J16" s="32"/>
      <c r="K16" s="33"/>
    </row>
    <row r="17" spans="1:11" x14ac:dyDescent="0.25">
      <c r="A17" s="16" t="s">
        <v>4</v>
      </c>
      <c r="B17" s="28">
        <v>67.81</v>
      </c>
      <c r="C17" s="29">
        <v>-20.216666666666665</v>
      </c>
      <c r="D17" s="30">
        <v>0</v>
      </c>
      <c r="E17" s="31">
        <v>-0.15666666666666659</v>
      </c>
      <c r="F17" s="32"/>
      <c r="G17" s="32"/>
      <c r="H17" s="33"/>
      <c r="I17" s="32"/>
      <c r="J17" s="32"/>
      <c r="K17" s="33"/>
    </row>
    <row r="18" spans="1:11" ht="15.75" thickBot="1" x14ac:dyDescent="0.3">
      <c r="A18" s="16"/>
      <c r="B18" s="28"/>
      <c r="C18" s="59"/>
      <c r="D18" s="60"/>
      <c r="E18" s="61"/>
      <c r="F18" s="32"/>
      <c r="G18" s="32"/>
      <c r="H18" s="33"/>
      <c r="I18" s="32"/>
      <c r="J18" s="32"/>
      <c r="K18" s="33"/>
    </row>
    <row r="19" spans="1:11" ht="15.75" thickBot="1" x14ac:dyDescent="0.3">
      <c r="A19" s="21" t="s">
        <v>33</v>
      </c>
      <c r="B19" s="34">
        <v>6353.43</v>
      </c>
      <c r="C19" s="35">
        <v>-23.701232316402319</v>
      </c>
      <c r="D19" s="36">
        <v>0</v>
      </c>
      <c r="E19" s="37">
        <v>-0.4910901535076328</v>
      </c>
      <c r="F19" s="38">
        <v>2.7858559094921902</v>
      </c>
      <c r="G19" s="38">
        <v>0.48103970797577666</v>
      </c>
      <c r="H19" s="39">
        <v>3.063409536761633</v>
      </c>
      <c r="I19" s="65">
        <v>3.2435285669276975E-2</v>
      </c>
      <c r="J19" s="65">
        <v>3.0177379598048133E-2</v>
      </c>
      <c r="K19" s="66">
        <v>1.5725484307849608E-2</v>
      </c>
    </row>
    <row r="20" spans="1:11" ht="15.75" thickBot="1" x14ac:dyDescent="0.3">
      <c r="B20" s="57"/>
    </row>
    <row r="21" spans="1:11" ht="15.75" thickBot="1" x14ac:dyDescent="0.3">
      <c r="A21" s="9" t="s">
        <v>33</v>
      </c>
      <c r="B21" s="43">
        <f>B19/1000*2.20462</f>
        <v>14.0068988466</v>
      </c>
      <c r="F21" s="40">
        <f>F19*'Skoll - Test Summary'!$K$6</f>
        <v>9519.7485263761882</v>
      </c>
      <c r="G21" s="41">
        <f>G19*'Skoll - Test Summary'!$K$6</f>
        <v>1643.7953720174878</v>
      </c>
      <c r="H21" s="42">
        <f>H19*'Skoll - Test Summary'!$K$6</f>
        <v>10468.196981727304</v>
      </c>
    </row>
    <row r="22" spans="1:11" x14ac:dyDescent="0.25">
      <c r="B22" t="s">
        <v>9</v>
      </c>
      <c r="F22" t="s">
        <v>8</v>
      </c>
      <c r="G22" t="s">
        <v>8</v>
      </c>
      <c r="H22" t="s">
        <v>8</v>
      </c>
    </row>
  </sheetData>
  <mergeCells count="3">
    <mergeCell ref="C4:E4"/>
    <mergeCell ref="F4:H4"/>
    <mergeCell ref="I4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Skoll - Tracking</vt:lpstr>
      <vt:lpstr>Skoll - Test Summary</vt:lpstr>
      <vt:lpstr>Hati - Tracking</vt:lpstr>
      <vt:lpstr>Hati - Test Summary</vt:lpstr>
      <vt:lpstr>g</vt:lpstr>
      <vt:lpstr>in2m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2015-09-03T20:33:39Z</dcterms:modified>
</cp:coreProperties>
</file>