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OLINA\Documents\uni\universidad\2021-II\APM\"/>
    </mc:Choice>
  </mc:AlternateContent>
  <bookViews>
    <workbookView xWindow="0" yWindow="0" windowWidth="20490" windowHeight="7650" activeTab="4"/>
  </bookViews>
  <sheets>
    <sheet name="Hoja1" sheetId="1" r:id="rId1"/>
    <sheet name="Hoja2" sheetId="2" r:id="rId2"/>
    <sheet name="Hoja3" sheetId="3" r:id="rId3"/>
    <sheet name="credito" sheetId="5" r:id="rId4"/>
    <sheet name="Hoja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4" l="1"/>
  <c r="G3" i="3"/>
  <c r="E7" i="3"/>
  <c r="F7" i="3" s="1"/>
  <c r="E13" i="3"/>
  <c r="G18" i="3"/>
  <c r="E15" i="3"/>
  <c r="H10" i="4"/>
  <c r="G11" i="3"/>
  <c r="E11" i="3"/>
  <c r="H6" i="3"/>
  <c r="G6" i="3"/>
  <c r="E5" i="3"/>
  <c r="G5" i="3"/>
  <c r="K115" i="2"/>
  <c r="G118" i="2"/>
  <c r="G117" i="2"/>
  <c r="G113" i="2"/>
  <c r="H112" i="2"/>
  <c r="G112" i="2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C12" i="4"/>
  <c r="G115" i="2"/>
  <c r="E14" i="3"/>
  <c r="E8" i="3"/>
  <c r="O10" i="4" l="1"/>
  <c r="G10" i="4"/>
  <c r="W10" i="4"/>
  <c r="E10" i="4"/>
  <c r="N10" i="4"/>
  <c r="M10" i="4"/>
  <c r="L10" i="4"/>
  <c r="C10" i="4"/>
  <c r="S10" i="4"/>
  <c r="K10" i="4"/>
  <c r="F10" i="4"/>
  <c r="U10" i="4"/>
  <c r="T10" i="4"/>
  <c r="Z10" i="4"/>
  <c r="R10" i="4"/>
  <c r="J10" i="4"/>
  <c r="V10" i="4"/>
  <c r="G13" i="3"/>
  <c r="Y10" i="4"/>
  <c r="Q10" i="4"/>
  <c r="I10" i="4"/>
  <c r="D10" i="4"/>
  <c r="X10" i="4"/>
  <c r="P10" i="4"/>
  <c r="H116" i="2" l="1"/>
  <c r="H115" i="2"/>
  <c r="E16" i="3"/>
  <c r="E19" i="3" s="1"/>
  <c r="E12" i="3"/>
  <c r="E9" i="3"/>
  <c r="E10" i="3"/>
  <c r="E18" i="3"/>
  <c r="I112" i="2"/>
  <c r="H111" i="2"/>
  <c r="I111" i="2" s="1"/>
  <c r="G111" i="2"/>
  <c r="H59" i="2"/>
  <c r="H60" i="2"/>
  <c r="H113" i="2" l="1"/>
  <c r="I113" i="2" s="1"/>
  <c r="I116" i="2"/>
  <c r="H7" i="4"/>
  <c r="P7" i="4"/>
  <c r="X7" i="4"/>
  <c r="K7" i="4"/>
  <c r="V7" i="4"/>
  <c r="W7" i="4"/>
  <c r="I7" i="4"/>
  <c r="Q7" i="4"/>
  <c r="Y7" i="4"/>
  <c r="C7" i="4"/>
  <c r="F7" i="4"/>
  <c r="O7" i="4"/>
  <c r="J7" i="4"/>
  <c r="R7" i="4"/>
  <c r="Z7" i="4"/>
  <c r="S7" i="4"/>
  <c r="G7" i="4"/>
  <c r="D7" i="4"/>
  <c r="L7" i="4"/>
  <c r="T7" i="4"/>
  <c r="E7" i="4"/>
  <c r="M7" i="4"/>
  <c r="U7" i="4"/>
  <c r="N7" i="4"/>
  <c r="I115" i="2"/>
  <c r="H117" i="2"/>
  <c r="H118" i="2" s="1"/>
  <c r="B3" i="3"/>
  <c r="C8" i="4" s="1"/>
  <c r="G57" i="2"/>
  <c r="G56" i="2"/>
  <c r="F57" i="2"/>
  <c r="F56" i="2"/>
  <c r="B17" i="1"/>
  <c r="M8" i="4" l="1"/>
  <c r="M9" i="4" s="1"/>
  <c r="M13" i="4" s="1"/>
  <c r="M26" i="4" s="1"/>
  <c r="P8" i="4"/>
  <c r="U8" i="4"/>
  <c r="S8" i="4"/>
  <c r="Z8" i="4"/>
  <c r="Z9" i="4" s="1"/>
  <c r="Z13" i="4" s="1"/>
  <c r="Z26" i="4" s="1"/>
  <c r="X8" i="4"/>
  <c r="X9" i="4" s="1"/>
  <c r="X13" i="4" s="1"/>
  <c r="X26" i="4" s="1"/>
  <c r="Q8" i="4"/>
  <c r="Q9" i="4" s="1"/>
  <c r="Q13" i="4" s="1"/>
  <c r="H8" i="4"/>
  <c r="H9" i="4" s="1"/>
  <c r="H13" i="4" s="1"/>
  <c r="H26" i="4" s="1"/>
  <c r="N8" i="4"/>
  <c r="N9" i="4" s="1"/>
  <c r="N13" i="4" s="1"/>
  <c r="N26" i="4" s="1"/>
  <c r="G8" i="4"/>
  <c r="G9" i="4" s="1"/>
  <c r="G13" i="4" s="1"/>
  <c r="G26" i="4" s="1"/>
  <c r="T8" i="4"/>
  <c r="E8" i="4"/>
  <c r="E9" i="4" s="1"/>
  <c r="E13" i="4" s="1"/>
  <c r="E26" i="4" s="1"/>
  <c r="O8" i="4"/>
  <c r="O9" i="4" s="1"/>
  <c r="O13" i="4" s="1"/>
  <c r="O26" i="4" s="1"/>
  <c r="Y8" i="4"/>
  <c r="Y9" i="4" s="1"/>
  <c r="Y13" i="4" s="1"/>
  <c r="Y26" i="4" s="1"/>
  <c r="L8" i="4"/>
  <c r="L9" i="4" s="1"/>
  <c r="L13" i="4" s="1"/>
  <c r="L26" i="4" s="1"/>
  <c r="V8" i="4"/>
  <c r="V9" i="4" s="1"/>
  <c r="V13" i="4" s="1"/>
  <c r="V26" i="4" s="1"/>
  <c r="W8" i="4"/>
  <c r="W9" i="4" s="1"/>
  <c r="W13" i="4" s="1"/>
  <c r="W26" i="4" s="1"/>
  <c r="R8" i="4"/>
  <c r="R9" i="4" s="1"/>
  <c r="R13" i="4" s="1"/>
  <c r="R26" i="4" s="1"/>
  <c r="K8" i="4"/>
  <c r="J8" i="4"/>
  <c r="J9" i="4" s="1"/>
  <c r="J13" i="4" s="1"/>
  <c r="J26" i="4" s="1"/>
  <c r="I8" i="4"/>
  <c r="I9" i="4" s="1"/>
  <c r="I13" i="4" s="1"/>
  <c r="I26" i="4" s="1"/>
  <c r="F8" i="4"/>
  <c r="F9" i="4" s="1"/>
  <c r="F13" i="4" s="1"/>
  <c r="F26" i="4" s="1"/>
  <c r="D8" i="4"/>
  <c r="D9" i="4" s="1"/>
  <c r="D13" i="4" s="1"/>
  <c r="D26" i="4" s="1"/>
  <c r="S9" i="4"/>
  <c r="S13" i="4" s="1"/>
  <c r="S26" i="4" s="1"/>
  <c r="T9" i="4"/>
  <c r="T13" i="4" s="1"/>
  <c r="T26" i="4" s="1"/>
  <c r="U9" i="4"/>
  <c r="U13" i="4" s="1"/>
  <c r="U26" i="4" s="1"/>
  <c r="K9" i="4"/>
  <c r="K13" i="4" s="1"/>
  <c r="K26" i="4" s="1"/>
  <c r="C9" i="4"/>
  <c r="P9" i="4"/>
  <c r="P13" i="4" s="1"/>
  <c r="P26" i="4" s="1"/>
  <c r="I117" i="2"/>
  <c r="I118" i="2" s="1"/>
  <c r="F20" i="3"/>
  <c r="E20" i="3"/>
  <c r="B11" i="4" s="1"/>
  <c r="B19" i="4" l="1"/>
  <c r="B13" i="4"/>
  <c r="B26" i="4" s="1"/>
  <c r="B28" i="4" s="1"/>
  <c r="C13" i="4"/>
  <c r="B21" i="4"/>
  <c r="Q26" i="4"/>
  <c r="B20" i="4" l="1"/>
  <c r="B22" i="4" s="1"/>
  <c r="C14" i="4"/>
  <c r="D14" i="4" s="1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C26" i="4"/>
  <c r="B27" i="4" l="1"/>
  <c r="B32" i="4"/>
  <c r="B30" i="4"/>
</calcChain>
</file>

<file path=xl/sharedStrings.xml><?xml version="1.0" encoding="utf-8"?>
<sst xmlns="http://schemas.openxmlformats.org/spreadsheetml/2006/main" count="588" uniqueCount="217">
  <si>
    <t>Diacol Capiro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</si>
  <si>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</si>
  <si>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</si>
  <si>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</si>
  <si>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</si>
  <si>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</si>
  <si>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</si>
  <si>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</si>
  <si>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</si>
  <si>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</si>
  <si>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</si>
  <si>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</si>
  <si>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concepto</t>
  </si>
  <si>
    <t>semilla</t>
  </si>
  <si>
    <t>6.44</t>
  </si>
  <si>
    <t>Enmiendas, abonos y fertilizantes</t>
  </si>
  <si>
    <t>17.68</t>
  </si>
  <si>
    <t>Plaguicidas y coadyuvantes</t>
  </si>
  <si>
    <t>19.87</t>
  </si>
  <si>
    <t>Empaques</t>
  </si>
  <si>
    <t>3.08</t>
  </si>
  <si>
    <t>Maquinaria y equipos</t>
  </si>
  <si>
    <t>3.22</t>
  </si>
  <si>
    <t>Mano de Obra</t>
  </si>
  <si>
    <t>24.52</t>
  </si>
  <si>
    <t>Transporte</t>
  </si>
  <si>
    <t>9.15</t>
  </si>
  <si>
    <t>Subtotal Costos directos</t>
  </si>
  <si>
    <t>83.97</t>
  </si>
  <si>
    <t>costos indirectos</t>
  </si>
  <si>
    <t>16.03</t>
  </si>
  <si>
    <t>Valor total</t>
  </si>
  <si>
    <t>Porcentaje</t>
  </si>
  <si>
    <t xml:space="preserve">Toneladas por hectarea </t>
  </si>
  <si>
    <t>Costos por kilo</t>
  </si>
  <si>
    <t>Costos Produccion de papa por hectarea Diacol Capiro 2018, FEDEPAPA</t>
  </si>
  <si>
    <t>Precio de papa al productor 2018, Antioquia, FEDEPAPA</t>
  </si>
  <si>
    <t>Antioquia</t>
  </si>
  <si>
    <t>Diacol Capiro Limpia</t>
  </si>
  <si>
    <t>diciembre</t>
  </si>
  <si>
    <t>Precio</t>
  </si>
  <si>
    <t>Costo</t>
  </si>
  <si>
    <t>Boyaca</t>
  </si>
  <si>
    <t>Precio de papa al productor 2018, Boyacá, FEDEPAPA</t>
  </si>
  <si>
    <t>Duracion</t>
  </si>
  <si>
    <t>Dólar</t>
  </si>
  <si>
    <t>Software</t>
  </si>
  <si>
    <t>Item</t>
  </si>
  <si>
    <t>Valor</t>
  </si>
  <si>
    <t>Hardware</t>
  </si>
  <si>
    <t>Nomina</t>
  </si>
  <si>
    <t>Motor para bandas (x7)</t>
  </si>
  <si>
    <t>Lavadora</t>
  </si>
  <si>
    <t>Enmalladora peso(x6)</t>
  </si>
  <si>
    <t>Sensores</t>
  </si>
  <si>
    <t>PLC</t>
  </si>
  <si>
    <t>Studio 5000</t>
  </si>
  <si>
    <t>Siemenx NX</t>
  </si>
  <si>
    <t>MES</t>
  </si>
  <si>
    <t>Subtotal</t>
  </si>
  <si>
    <t>Mensual</t>
  </si>
  <si>
    <t>otros</t>
  </si>
  <si>
    <t>Total</t>
  </si>
  <si>
    <t>Bomba de Agua, sistema limpieza por aspersores</t>
  </si>
  <si>
    <t>Bandas(x13)</t>
  </si>
  <si>
    <t>Anual</t>
  </si>
  <si>
    <t>Papa Diacol Capiro</t>
  </si>
  <si>
    <t>Tomate Larga vida</t>
  </si>
  <si>
    <t>Período</t>
  </si>
  <si>
    <t>Fecha</t>
  </si>
  <si>
    <t>Abono a Capital</t>
  </si>
  <si>
    <t>Intereses</t>
  </si>
  <si>
    <t>Cuota con Seguro de Vida</t>
  </si>
  <si>
    <t>Saldo de Capital</t>
  </si>
  <si>
    <t>Cuota con Seguros Adicionales</t>
  </si>
  <si>
    <t>$854,531,373.00</t>
  </si>
  <si>
    <t>$16,726,583.00</t>
  </si>
  <si>
    <t>$0.00</t>
  </si>
  <si>
    <t>$63,866,296.00</t>
  </si>
  <si>
    <t>$81,134,652.00</t>
  </si>
  <si>
    <t>$790,665,077.00</t>
  </si>
  <si>
    <t>$80,592,879.00</t>
  </si>
  <si>
    <t>$65,116,414.00</t>
  </si>
  <si>
    <t>$15,476,465.00</t>
  </si>
  <si>
    <t>$725,548,663.00</t>
  </si>
  <si>
    <t>$66,391,002.00</t>
  </si>
  <si>
    <t>$14,201,878.00</t>
  </si>
  <si>
    <t>$659,157,661.00</t>
  </si>
  <si>
    <t>$67,690,538.00</t>
  </si>
  <si>
    <t>$12,902,341.00</t>
  </si>
  <si>
    <t>$591,467,123.00</t>
  </si>
  <si>
    <t>$69,015,512.00</t>
  </si>
  <si>
    <t>$11,577,368.00</t>
  </si>
  <si>
    <t>$522,451,611.00</t>
  </si>
  <si>
    <t>$70,366,420.00</t>
  </si>
  <si>
    <t>$10,226,459.00</t>
  </si>
  <si>
    <t>$452,085,191.00</t>
  </si>
  <si>
    <t>$71,743,771.00</t>
  </si>
  <si>
    <t>$8,849,108.00</t>
  </si>
  <si>
    <t>$380,341,420.00</t>
  </si>
  <si>
    <t>$73,148,083.00</t>
  </si>
  <si>
    <t>$7,444,797.00</t>
  </si>
  <si>
    <t>$307,193,338.00</t>
  </si>
  <si>
    <t>$74,579,882.00</t>
  </si>
  <si>
    <t>$6,012,997.00</t>
  </si>
  <si>
    <t>$232,613,456.00</t>
  </si>
  <si>
    <t>$76,039,707.00</t>
  </si>
  <si>
    <t>$4,553,172.00</t>
  </si>
  <si>
    <t>$156,573,748.00</t>
  </si>
  <si>
    <t>$77,528,107.00</t>
  </si>
  <si>
    <t>$3,064,772.00</t>
  </si>
  <si>
    <t>$79,045,641.00</t>
  </si>
  <si>
    <t>$1,547,238.00</t>
  </si>
  <si>
    <t>Mes</t>
  </si>
  <si>
    <t>Ganancias netas</t>
  </si>
  <si>
    <t>Flujo neto</t>
  </si>
  <si>
    <t>$28,235,685.00</t>
  </si>
  <si>
    <t>$45,504,041.00</t>
  </si>
  <si>
    <t>$826,295,688.00</t>
  </si>
  <si>
    <t>$44,962,268.00</t>
  </si>
  <si>
    <t>$28,788,370.00</t>
  </si>
  <si>
    <t>$16,173,898.00</t>
  </si>
  <si>
    <t>$797,507,318.00</t>
  </si>
  <si>
    <t>$29,351,873.00</t>
  </si>
  <si>
    <t>$15,610,395.00</t>
  </si>
  <si>
    <t>$768,155,445.00</t>
  </si>
  <si>
    <t>$29,926,406.00</t>
  </si>
  <si>
    <t>$15,035,862.00</t>
  </si>
  <si>
    <t>$738,229,039.00</t>
  </si>
  <si>
    <t>$30,512,185.00</t>
  </si>
  <si>
    <t>$14,450,083.00</t>
  </si>
  <si>
    <t>$707,716,854.00</t>
  </si>
  <si>
    <t>$31,109,430.00</t>
  </si>
  <si>
    <t>$13,852,838.00</t>
  </si>
  <si>
    <t>$676,607,423.00</t>
  </si>
  <si>
    <t>$31,718,366.00</t>
  </si>
  <si>
    <t>$13,243,903.00</t>
  </si>
  <si>
    <t>$644,889,058.00</t>
  </si>
  <si>
    <t>$32,339,220.00</t>
  </si>
  <si>
    <t>$12,623,048.00</t>
  </si>
  <si>
    <t>$612,549,837.00</t>
  </si>
  <si>
    <t>$32,972,228.00</t>
  </si>
  <si>
    <t>$11,990,040.00</t>
  </si>
  <si>
    <t>$579,577,610.00</t>
  </si>
  <si>
    <t>$33,617,626.00</t>
  </si>
  <si>
    <t>$11,344,643.00</t>
  </si>
  <si>
    <t>$545,959,984.00</t>
  </si>
  <si>
    <t>$34,275,656.00</t>
  </si>
  <si>
    <t>$10,686,612.00</t>
  </si>
  <si>
    <t>$511,684,328.00</t>
  </si>
  <si>
    <t>$34,946,568.00</t>
  </si>
  <si>
    <t>$10,015,701.00</t>
  </si>
  <si>
    <t>$476,737,760.00</t>
  </si>
  <si>
    <t>$35,630,611.00</t>
  </si>
  <si>
    <t>$9,331,657.00</t>
  </si>
  <si>
    <t>$441,107,149.00</t>
  </si>
  <si>
    <t>$36,328,044.00</t>
  </si>
  <si>
    <t>$8,634,224.00</t>
  </si>
  <si>
    <t>$404,779,105.00</t>
  </si>
  <si>
    <t>$37,039,129.00</t>
  </si>
  <si>
    <t>$7,923,140.00</t>
  </si>
  <si>
    <t>$367,739,976.00</t>
  </si>
  <si>
    <t>$37,764,132.00</t>
  </si>
  <si>
    <t>$7,198,136.00</t>
  </si>
  <si>
    <t>$329,975,844.00</t>
  </si>
  <si>
    <t>$38,503,326.00</t>
  </si>
  <si>
    <t>$6,458,942.00</t>
  </si>
  <si>
    <t>$291,472,518.00</t>
  </si>
  <si>
    <t>$39,256,990.00</t>
  </si>
  <si>
    <t>$5,705,278.00</t>
  </si>
  <si>
    <t>$252,215,528.00</t>
  </si>
  <si>
    <t>$40,025,406.00</t>
  </si>
  <si>
    <t>$4,936,863.00</t>
  </si>
  <si>
    <t>$212,190,123.00</t>
  </si>
  <si>
    <t>$40,808,862.00</t>
  </si>
  <si>
    <t>$4,153,406.00</t>
  </si>
  <si>
    <t>$171,381,260.00</t>
  </si>
  <si>
    <t>$41,607,654.00</t>
  </si>
  <si>
    <t>$3,354,614.00</t>
  </si>
  <si>
    <t>$129,773,606.00</t>
  </si>
  <si>
    <t>$42,422,082.00</t>
  </si>
  <si>
    <t>$2,540,186.00</t>
  </si>
  <si>
    <t>$87,351,524.00</t>
  </si>
  <si>
    <t>$43,252,451.00</t>
  </si>
  <si>
    <t>$1,709,817.00</t>
  </si>
  <si>
    <t>$44,099,074.00</t>
  </si>
  <si>
    <t>$863,195.00</t>
  </si>
  <si>
    <t>Flujo de caja</t>
  </si>
  <si>
    <t>Ingresos Operacionales</t>
  </si>
  <si>
    <t>Costos de produccion</t>
  </si>
  <si>
    <t>Depreciacion</t>
  </si>
  <si>
    <t>Costos de Inversion</t>
  </si>
  <si>
    <t>Credito</t>
  </si>
  <si>
    <t>Flujo Acumulado</t>
  </si>
  <si>
    <t>PRI</t>
  </si>
  <si>
    <t>Inversion inicial</t>
  </si>
  <si>
    <t>Mes inmediato anterior en que se recupera la inversión.</t>
  </si>
  <si>
    <t>Flujo Acumulado mes anterior</t>
  </si>
  <si>
    <t>Flujo neto mes que recupera la inversion</t>
  </si>
  <si>
    <t>Meses</t>
  </si>
  <si>
    <t>VPN</t>
  </si>
  <si>
    <t>VP</t>
  </si>
  <si>
    <t xml:space="preserve">Tasa de recuperación </t>
  </si>
  <si>
    <t>VNA</t>
  </si>
  <si>
    <t>TIR</t>
  </si>
  <si>
    <t>Kilo</t>
  </si>
  <si>
    <t xml:space="preserve">Compra </t>
  </si>
  <si>
    <t>Venta</t>
  </si>
  <si>
    <t>Ganancia</t>
  </si>
  <si>
    <t>Total ganancia</t>
  </si>
  <si>
    <t>Operarios(x6)</t>
  </si>
  <si>
    <t>Ingenieros(x3)</t>
  </si>
  <si>
    <t>PRI (en meses)</t>
  </si>
  <si>
    <t>Indice de Rentabilidad</t>
  </si>
  <si>
    <t>IR</t>
  </si>
  <si>
    <t>Robot (x2)</t>
  </si>
  <si>
    <t>Ignition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</si>
</sst>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[$$-409]* #,##0.00_ ;_-[$$-409]* \-#,##0.00\ ;_-[$$-409]* &quot;-&quot;??_ ;_-@_ "/>
    <numFmt numFmtId="172" formatCode="_-&quot;$&quot;\ * #,##0.00_-;\-&quot;$&quot;\ * #,##0.00_-;_-&quot;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20212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172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64" fontId="0" fillId="0" borderId="0" xfId="1" applyNumberFormat="1" applyFont="1"/>
    <xf numFmtId="0" fontId="2" fillId="0" borderId="1" xfId="0" applyFont="1" applyBorder="1" applyAlignment="1">
      <alignment vertical="center" wrapText="1"/>
    </xf>
    <xf numFmtId="3" fontId="0" fillId="0" borderId="0" xfId="0" applyNumberFormat="1"/>
    <xf numFmtId="9" fontId="2" fillId="0" borderId="1" xfId="2" applyNumberFormat="1" applyFont="1" applyBorder="1" applyAlignment="1">
      <alignment vertical="center" wrapText="1"/>
    </xf>
    <xf numFmtId="164" fontId="2" fillId="0" borderId="1" xfId="1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64" fontId="0" fillId="0" borderId="0" xfId="0" applyNumberFormat="1"/>
    <xf numFmtId="0" fontId="0" fillId="0" borderId="2" xfId="0" applyBorder="1" applyAlignment="1">
      <alignment vertical="center" wrapText="1"/>
    </xf>
    <xf numFmtId="3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164" fontId="0" fillId="0" borderId="2" xfId="0" applyNumberFormat="1" applyBorder="1"/>
    <xf numFmtId="164" fontId="0" fillId="0" borderId="2" xfId="1" applyNumberFormat="1" applyFont="1" applyBorder="1"/>
    <xf numFmtId="0" fontId="0" fillId="0" borderId="2" xfId="0" applyFont="1" applyBorder="1"/>
    <xf numFmtId="164" fontId="0" fillId="0" borderId="2" xfId="0" applyNumberFormat="1" applyFont="1" applyBorder="1"/>
    <xf numFmtId="0" fontId="0" fillId="0" borderId="2" xfId="0" applyFont="1" applyBorder="1" applyAlignment="1">
      <alignment horizontal="left"/>
    </xf>
    <xf numFmtId="164" fontId="6" fillId="0" borderId="2" xfId="1" applyNumberFormat="1" applyFont="1" applyBorder="1"/>
    <xf numFmtId="0" fontId="1" fillId="0" borderId="2" xfId="4" applyFont="1" applyBorder="1" applyAlignment="1">
      <alignment horizontal="left"/>
    </xf>
    <xf numFmtId="0" fontId="4" fillId="0" borderId="2" xfId="0" applyFont="1" applyBorder="1"/>
    <xf numFmtId="164" fontId="4" fillId="0" borderId="2" xfId="0" applyNumberFormat="1" applyFont="1" applyBorder="1"/>
    <xf numFmtId="0" fontId="4" fillId="0" borderId="0" xfId="0" applyFont="1"/>
    <xf numFmtId="164" fontId="7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0" xfId="0" applyAlignment="1"/>
    <xf numFmtId="0" fontId="4" fillId="0" borderId="2" xfId="0" applyFont="1" applyBorder="1" applyAlignment="1">
      <alignment horizontal="center" vertical="center" wrapText="1"/>
    </xf>
    <xf numFmtId="17" fontId="0" fillId="0" borderId="2" xfId="0" applyNumberFormat="1" applyBorder="1" applyAlignment="1">
      <alignment vertical="center" wrapText="1"/>
    </xf>
    <xf numFmtId="0" fontId="4" fillId="3" borderId="0" xfId="0" applyFont="1" applyFill="1"/>
    <xf numFmtId="164" fontId="8" fillId="0" borderId="0" xfId="0" applyNumberFormat="1" applyFont="1"/>
    <xf numFmtId="164" fontId="3" fillId="0" borderId="0" xfId="0" applyNumberFormat="1" applyFont="1"/>
    <xf numFmtId="1" fontId="0" fillId="0" borderId="0" xfId="3" applyNumberFormat="1" applyFont="1"/>
    <xf numFmtId="164" fontId="0" fillId="0" borderId="2" xfId="2" applyNumberFormat="1" applyFont="1" applyBorder="1"/>
    <xf numFmtId="0" fontId="0" fillId="3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43" fontId="0" fillId="0" borderId="2" xfId="3" applyFont="1" applyBorder="1"/>
    <xf numFmtId="9" fontId="0" fillId="0" borderId="2" xfId="2" applyFont="1" applyBorder="1"/>
    <xf numFmtId="1" fontId="0" fillId="0" borderId="2" xfId="3" applyNumberFormat="1" applyFont="1" applyBorder="1"/>
    <xf numFmtId="9" fontId="0" fillId="0" borderId="2" xfId="0" applyNumberFormat="1" applyBorder="1"/>
    <xf numFmtId="2" fontId="0" fillId="0" borderId="2" xfId="0" applyNumberFormat="1" applyBorder="1"/>
    <xf numFmtId="0" fontId="4" fillId="2" borderId="0" xfId="0" applyFont="1" applyFill="1" applyAlignment="1">
      <alignment horizontal="left"/>
    </xf>
  </cellXfs>
  <cellStyles count="7">
    <cellStyle name="Millares" xfId="3" builtinId="3"/>
    <cellStyle name="Moneda" xfId="1" builtinId="4"/>
    <cellStyle name="Moneda 2" xfId="5"/>
    <cellStyle name="Normal" xfId="0" builtinId="0"/>
    <cellStyle name="Normal 2" xfId="4"/>
    <cellStyle name="Porcentaje" xfId="2" builtinId="5"/>
    <cellStyle name="Porcentaje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PAPA R12 limpia,2018,</a:t>
            </a:r>
            <a:r>
              <a:rPr lang="en-US" baseline="0"/>
              <a:t> Antioquia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Hoja2!$E$2:$E$53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Hoja2!$F$2:$F$53</c:f>
              <c:numCache>
                <c:formatCode>#,##0</c:formatCode>
                <c:ptCount val="52"/>
                <c:pt idx="0">
                  <c:v>1372</c:v>
                </c:pt>
                <c:pt idx="1">
                  <c:v>1467</c:v>
                </c:pt>
                <c:pt idx="2">
                  <c:v>1248</c:v>
                </c:pt>
                <c:pt idx="3">
                  <c:v>1363</c:v>
                </c:pt>
                <c:pt idx="4">
                  <c:v>1401</c:v>
                </c:pt>
                <c:pt idx="5">
                  <c:v>1391</c:v>
                </c:pt>
                <c:pt idx="6">
                  <c:v>1490</c:v>
                </c:pt>
                <c:pt idx="7">
                  <c:v>1455</c:v>
                </c:pt>
                <c:pt idx="8">
                  <c:v>1362</c:v>
                </c:pt>
                <c:pt idx="9">
                  <c:v>1330</c:v>
                </c:pt>
                <c:pt idx="10">
                  <c:v>1293</c:v>
                </c:pt>
                <c:pt idx="11">
                  <c:v>1282</c:v>
                </c:pt>
                <c:pt idx="12">
                  <c:v>1268</c:v>
                </c:pt>
                <c:pt idx="13">
                  <c:v>1332</c:v>
                </c:pt>
                <c:pt idx="14">
                  <c:v>1209</c:v>
                </c:pt>
                <c:pt idx="15">
                  <c:v>1062</c:v>
                </c:pt>
                <c:pt idx="16" formatCode="General">
                  <c:v>945</c:v>
                </c:pt>
                <c:pt idx="17" formatCode="General">
                  <c:v>900</c:v>
                </c:pt>
                <c:pt idx="18" formatCode="General">
                  <c:v>963</c:v>
                </c:pt>
                <c:pt idx="19" formatCode="General">
                  <c:v>962</c:v>
                </c:pt>
                <c:pt idx="20" formatCode="General">
                  <c:v>770</c:v>
                </c:pt>
                <c:pt idx="21" formatCode="General">
                  <c:v>884</c:v>
                </c:pt>
                <c:pt idx="22" formatCode="General">
                  <c:v>858</c:v>
                </c:pt>
                <c:pt idx="23" formatCode="General">
                  <c:v>822</c:v>
                </c:pt>
                <c:pt idx="24" formatCode="General">
                  <c:v>754</c:v>
                </c:pt>
                <c:pt idx="25" formatCode="General">
                  <c:v>747</c:v>
                </c:pt>
                <c:pt idx="26" formatCode="General">
                  <c:v>750</c:v>
                </c:pt>
                <c:pt idx="27" formatCode="General">
                  <c:v>779</c:v>
                </c:pt>
                <c:pt idx="28" formatCode="General">
                  <c:v>722</c:v>
                </c:pt>
                <c:pt idx="29" formatCode="General">
                  <c:v>715</c:v>
                </c:pt>
                <c:pt idx="30" formatCode="General">
                  <c:v>718</c:v>
                </c:pt>
                <c:pt idx="31" formatCode="General">
                  <c:v>779</c:v>
                </c:pt>
                <c:pt idx="32" formatCode="General">
                  <c:v>735</c:v>
                </c:pt>
                <c:pt idx="33" formatCode="General">
                  <c:v>720</c:v>
                </c:pt>
                <c:pt idx="34" formatCode="General">
                  <c:v>756</c:v>
                </c:pt>
                <c:pt idx="35" formatCode="General">
                  <c:v>810</c:v>
                </c:pt>
                <c:pt idx="36" formatCode="General">
                  <c:v>882</c:v>
                </c:pt>
                <c:pt idx="37" formatCode="General">
                  <c:v>860</c:v>
                </c:pt>
                <c:pt idx="38" formatCode="General">
                  <c:v>868</c:v>
                </c:pt>
                <c:pt idx="39" formatCode="General">
                  <c:v>904</c:v>
                </c:pt>
                <c:pt idx="40" formatCode="General">
                  <c:v>953</c:v>
                </c:pt>
                <c:pt idx="41">
                  <c:v>1080</c:v>
                </c:pt>
                <c:pt idx="42">
                  <c:v>1005</c:v>
                </c:pt>
                <c:pt idx="43" formatCode="General">
                  <c:v>946</c:v>
                </c:pt>
                <c:pt idx="44">
                  <c:v>1060</c:v>
                </c:pt>
                <c:pt idx="45">
                  <c:v>1090</c:v>
                </c:pt>
                <c:pt idx="46" formatCode="General">
                  <c:v>995</c:v>
                </c:pt>
                <c:pt idx="47" formatCode="General">
                  <c:v>975</c:v>
                </c:pt>
                <c:pt idx="48">
                  <c:v>1078</c:v>
                </c:pt>
                <c:pt idx="49">
                  <c:v>1023</c:v>
                </c:pt>
                <c:pt idx="50" formatCode="General">
                  <c:v>960</c:v>
                </c:pt>
                <c:pt idx="51" formatCode="General">
                  <c:v>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F-4AB6-B38E-66B2F52D3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97752"/>
        <c:axId val="669193816"/>
      </c:scatterChart>
      <c:valAx>
        <c:axId val="66919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93816"/>
        <c:crosses val="autoZero"/>
        <c:crossBetween val="midCat"/>
      </c:valAx>
      <c:valAx>
        <c:axId val="66919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9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PAPA R12 sucia,2018,Boyacá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Hoja2!$E$60:$E$107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</c:numCache>
            </c:numRef>
          </c:xVal>
          <c:yVal>
            <c:numRef>
              <c:f>Hoja2!$F$60:$F$107</c:f>
              <c:numCache>
                <c:formatCode>_-[$$-409]* #,##0.00_ ;_-[$$-409]* \-#,##0.00\ ;_-[$$-409]* "-"??_ ;_-@_ </c:formatCode>
                <c:ptCount val="48"/>
                <c:pt idx="0">
                  <c:v>779</c:v>
                </c:pt>
                <c:pt idx="1">
                  <c:v>853</c:v>
                </c:pt>
                <c:pt idx="2">
                  <c:v>482</c:v>
                </c:pt>
                <c:pt idx="3">
                  <c:v>610</c:v>
                </c:pt>
                <c:pt idx="4">
                  <c:v>513</c:v>
                </c:pt>
                <c:pt idx="5">
                  <c:v>642</c:v>
                </c:pt>
                <c:pt idx="6">
                  <c:v>708</c:v>
                </c:pt>
                <c:pt idx="7">
                  <c:v>665</c:v>
                </c:pt>
                <c:pt idx="8">
                  <c:v>784</c:v>
                </c:pt>
                <c:pt idx="9">
                  <c:v>772</c:v>
                </c:pt>
                <c:pt idx="10">
                  <c:v>759</c:v>
                </c:pt>
                <c:pt idx="11">
                  <c:v>754</c:v>
                </c:pt>
                <c:pt idx="12">
                  <c:v>1070</c:v>
                </c:pt>
                <c:pt idx="13">
                  <c:v>998</c:v>
                </c:pt>
                <c:pt idx="14">
                  <c:v>824</c:v>
                </c:pt>
                <c:pt idx="15">
                  <c:v>635</c:v>
                </c:pt>
                <c:pt idx="16">
                  <c:v>523</c:v>
                </c:pt>
                <c:pt idx="17">
                  <c:v>535</c:v>
                </c:pt>
                <c:pt idx="18">
                  <c:v>475</c:v>
                </c:pt>
                <c:pt idx="19">
                  <c:v>488</c:v>
                </c:pt>
                <c:pt idx="20">
                  <c:v>385</c:v>
                </c:pt>
                <c:pt idx="21">
                  <c:v>247</c:v>
                </c:pt>
                <c:pt idx="22">
                  <c:v>296</c:v>
                </c:pt>
                <c:pt idx="23">
                  <c:v>285</c:v>
                </c:pt>
                <c:pt idx="24">
                  <c:v>308</c:v>
                </c:pt>
                <c:pt idx="25">
                  <c:v>302</c:v>
                </c:pt>
                <c:pt idx="26">
                  <c:v>322</c:v>
                </c:pt>
                <c:pt idx="27">
                  <c:v>344</c:v>
                </c:pt>
                <c:pt idx="28">
                  <c:v>322</c:v>
                </c:pt>
                <c:pt idx="29">
                  <c:v>372</c:v>
                </c:pt>
                <c:pt idx="30">
                  <c:v>331</c:v>
                </c:pt>
                <c:pt idx="31">
                  <c:v>383</c:v>
                </c:pt>
                <c:pt idx="32">
                  <c:v>397</c:v>
                </c:pt>
                <c:pt idx="33">
                  <c:v>326</c:v>
                </c:pt>
                <c:pt idx="34">
                  <c:v>400</c:v>
                </c:pt>
                <c:pt idx="35">
                  <c:v>353</c:v>
                </c:pt>
                <c:pt idx="36">
                  <c:v>396</c:v>
                </c:pt>
                <c:pt idx="37">
                  <c:v>390</c:v>
                </c:pt>
                <c:pt idx="38">
                  <c:v>542</c:v>
                </c:pt>
                <c:pt idx="39">
                  <c:v>539</c:v>
                </c:pt>
                <c:pt idx="40">
                  <c:v>560</c:v>
                </c:pt>
                <c:pt idx="41">
                  <c:v>541</c:v>
                </c:pt>
                <c:pt idx="42">
                  <c:v>378</c:v>
                </c:pt>
                <c:pt idx="43">
                  <c:v>401</c:v>
                </c:pt>
                <c:pt idx="44">
                  <c:v>541</c:v>
                </c:pt>
                <c:pt idx="45">
                  <c:v>540</c:v>
                </c:pt>
                <c:pt idx="46">
                  <c:v>505</c:v>
                </c:pt>
                <c:pt idx="47">
                  <c:v>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5-45E6-9EFD-211B11198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69184"/>
        <c:axId val="670330800"/>
      </c:scatterChart>
      <c:valAx>
        <c:axId val="7594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30800"/>
        <c:crosses val="autoZero"/>
        <c:crossBetween val="midCat"/>
      </c:valAx>
      <c:valAx>
        <c:axId val="6703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6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171450</xdr:rowOff>
    </xdr:from>
    <xdr:to>
      <xdr:col>12</xdr:col>
      <xdr:colOff>238125</xdr:colOff>
      <xdr:row>16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17</xdr:row>
      <xdr:rowOff>76200</xdr:rowOff>
    </xdr:from>
    <xdr:to>
      <xdr:col>12</xdr:col>
      <xdr:colOff>276225</xdr:colOff>
      <xdr:row>31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6</xdr:col>
      <xdr:colOff>761760</xdr:colOff>
      <xdr:row>0</xdr:row>
      <xdr:rowOff>866775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6057660" cy="819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6</xdr:col>
      <xdr:colOff>820019</xdr:colOff>
      <xdr:row>23</xdr:row>
      <xdr:rowOff>28685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14875"/>
          <a:ext cx="6230219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9" sqref="C9"/>
    </sheetView>
  </sheetViews>
  <sheetFormatPr baseColWidth="10" defaultRowHeight="15" x14ac:dyDescent="0.25"/>
  <cols>
    <col min="1" max="1" width="28.85546875" customWidth="1"/>
    <col min="2" max="2" width="18.85546875" customWidth="1"/>
  </cols>
  <sheetData>
    <row r="1" spans="1:2" ht="15.75" thickBot="1" x14ac:dyDescent="0.3">
      <c r="A1" s="14" t="s">
        <v>35</v>
      </c>
      <c r="B1" s="15"/>
    </row>
    <row r="2" spans="1:2" ht="15.75" thickBot="1" x14ac:dyDescent="0.3">
      <c r="A2" s="9" t="s">
        <v>12</v>
      </c>
      <c r="B2" s="9" t="s">
        <v>32</v>
      </c>
    </row>
    <row r="3" spans="1:2" ht="15.75" thickBot="1" x14ac:dyDescent="0.3">
      <c r="A3" s="5" t="s">
        <v>13</v>
      </c>
      <c r="B3" s="7" t="s">
        <v>14</v>
      </c>
    </row>
    <row r="4" spans="1:2" ht="30.75" thickBot="1" x14ac:dyDescent="0.3">
      <c r="A4" s="5" t="s">
        <v>15</v>
      </c>
      <c r="B4" s="7" t="s">
        <v>16</v>
      </c>
    </row>
    <row r="5" spans="1:2" ht="30.75" thickBot="1" x14ac:dyDescent="0.3">
      <c r="A5" s="5" t="s">
        <v>17</v>
      </c>
      <c r="B5" s="7" t="s">
        <v>18</v>
      </c>
    </row>
    <row r="6" spans="1:2" ht="15.75" thickBot="1" x14ac:dyDescent="0.3">
      <c r="A6" s="5" t="s">
        <v>19</v>
      </c>
      <c r="B6" s="7" t="s">
        <v>20</v>
      </c>
    </row>
    <row r="7" spans="1:2" ht="15.75" thickBot="1" x14ac:dyDescent="0.3">
      <c r="A7" s="5" t="s">
        <v>21</v>
      </c>
      <c r="B7" s="7" t="s">
        <v>22</v>
      </c>
    </row>
    <row r="8" spans="1:2" ht="15.75" thickBot="1" x14ac:dyDescent="0.3">
      <c r="A8" s="5" t="s">
        <v>23</v>
      </c>
      <c r="B8" s="7" t="s">
        <v>24</v>
      </c>
    </row>
    <row r="9" spans="1:2" ht="15.75" thickBot="1" x14ac:dyDescent="0.3">
      <c r="A9" s="5" t="s">
        <v>25</v>
      </c>
      <c r="B9" s="7" t="s">
        <v>26</v>
      </c>
    </row>
    <row r="10" spans="1:2" ht="15.75" thickBot="1" x14ac:dyDescent="0.3">
      <c r="A10" s="5" t="s">
        <v>27</v>
      </c>
      <c r="B10" s="7" t="s">
        <v>28</v>
      </c>
    </row>
    <row r="11" spans="1:2" ht="15.75" thickBot="1" x14ac:dyDescent="0.3">
      <c r="A11" s="5" t="s">
        <v>29</v>
      </c>
      <c r="B11" s="7" t="s">
        <v>30</v>
      </c>
    </row>
    <row r="12" spans="1:2" ht="15.75" thickBot="1" x14ac:dyDescent="0.3">
      <c r="A12" s="5" t="s">
        <v>31</v>
      </c>
      <c r="B12" s="8">
        <v>17643931</v>
      </c>
    </row>
    <row r="15" spans="1:2" x14ac:dyDescent="0.25">
      <c r="A15" s="10" t="s">
        <v>33</v>
      </c>
      <c r="B15">
        <v>21.5</v>
      </c>
    </row>
    <row r="17" spans="1:2" x14ac:dyDescent="0.25">
      <c r="A17" t="s">
        <v>34</v>
      </c>
      <c r="B17" s="11">
        <f>B12/B15*0.001</f>
        <v>820.6479534883722</v>
      </c>
    </row>
  </sheetData>
  <mergeCells count="1">
    <mergeCell ref="A1:B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opLeftCell="B100" workbookViewId="0">
      <selection activeCell="I118" sqref="I118"/>
    </sheetView>
  </sheetViews>
  <sheetFormatPr baseColWidth="10" defaultRowHeight="15" x14ac:dyDescent="0.25"/>
  <cols>
    <col min="1" max="1" width="14.85546875" customWidth="1"/>
    <col min="2" max="2" width="19.5703125" customWidth="1"/>
    <col min="6" max="6" width="13.140625" style="4" customWidth="1"/>
    <col min="8" max="8" width="15.85546875" bestFit="1" customWidth="1"/>
    <col min="9" max="9" width="17.28515625" customWidth="1"/>
    <col min="11" max="11" width="15.5703125" bestFit="1" customWidth="1"/>
  </cols>
  <sheetData>
    <row r="1" spans="1:6" x14ac:dyDescent="0.25">
      <c r="A1" s="16" t="s">
        <v>36</v>
      </c>
      <c r="B1" s="17"/>
      <c r="C1" s="17"/>
      <c r="D1" s="17"/>
      <c r="E1" s="17"/>
      <c r="F1" s="18"/>
    </row>
    <row r="2" spans="1:6" x14ac:dyDescent="0.25">
      <c r="A2" s="12" t="s">
        <v>37</v>
      </c>
      <c r="B2" s="12" t="s">
        <v>38</v>
      </c>
      <c r="C2" s="13">
        <v>2018</v>
      </c>
      <c r="D2" s="12" t="s">
        <v>1</v>
      </c>
      <c r="E2" s="12">
        <v>1</v>
      </c>
      <c r="F2" s="13">
        <v>1372</v>
      </c>
    </row>
    <row r="3" spans="1:6" x14ac:dyDescent="0.25">
      <c r="A3" s="12" t="s">
        <v>37</v>
      </c>
      <c r="B3" s="12" t="s">
        <v>38</v>
      </c>
      <c r="C3" s="13">
        <v>2018</v>
      </c>
      <c r="D3" s="12" t="s">
        <v>1</v>
      </c>
      <c r="E3" s="12">
        <v>2</v>
      </c>
      <c r="F3" s="13">
        <v>1467</v>
      </c>
    </row>
    <row r="4" spans="1:6" x14ac:dyDescent="0.25">
      <c r="A4" s="12" t="s">
        <v>37</v>
      </c>
      <c r="B4" s="12" t="s">
        <v>38</v>
      </c>
      <c r="C4" s="13">
        <v>2018</v>
      </c>
      <c r="D4" s="12" t="s">
        <v>1</v>
      </c>
      <c r="E4" s="12">
        <v>3</v>
      </c>
      <c r="F4" s="13">
        <v>1248</v>
      </c>
    </row>
    <row r="5" spans="1:6" x14ac:dyDescent="0.25">
      <c r="A5" s="12" t="s">
        <v>37</v>
      </c>
      <c r="B5" s="12" t="s">
        <v>38</v>
      </c>
      <c r="C5" s="13">
        <v>2018</v>
      </c>
      <c r="D5" s="12" t="s">
        <v>1</v>
      </c>
      <c r="E5" s="12">
        <v>4</v>
      </c>
      <c r="F5" s="13">
        <v>1363</v>
      </c>
    </row>
    <row r="6" spans="1:6" x14ac:dyDescent="0.25">
      <c r="A6" s="12" t="s">
        <v>37</v>
      </c>
      <c r="B6" s="12" t="s">
        <v>38</v>
      </c>
      <c r="C6" s="13">
        <v>2018</v>
      </c>
      <c r="D6" s="12" t="s">
        <v>1</v>
      </c>
      <c r="E6" s="12">
        <v>5</v>
      </c>
      <c r="F6" s="13">
        <v>1401</v>
      </c>
    </row>
    <row r="7" spans="1:6" x14ac:dyDescent="0.25">
      <c r="A7" s="12" t="s">
        <v>37</v>
      </c>
      <c r="B7" s="12" t="s">
        <v>38</v>
      </c>
      <c r="C7" s="13">
        <v>2018</v>
      </c>
      <c r="D7" s="12" t="s">
        <v>2</v>
      </c>
      <c r="E7" s="12">
        <v>6</v>
      </c>
      <c r="F7" s="13">
        <v>1391</v>
      </c>
    </row>
    <row r="8" spans="1:6" x14ac:dyDescent="0.25">
      <c r="A8" s="12" t="s">
        <v>37</v>
      </c>
      <c r="B8" s="12" t="s">
        <v>38</v>
      </c>
      <c r="C8" s="13">
        <v>2018</v>
      </c>
      <c r="D8" s="12" t="s">
        <v>2</v>
      </c>
      <c r="E8" s="12">
        <v>7</v>
      </c>
      <c r="F8" s="13">
        <v>1490</v>
      </c>
    </row>
    <row r="9" spans="1:6" x14ac:dyDescent="0.25">
      <c r="A9" s="12" t="s">
        <v>37</v>
      </c>
      <c r="B9" s="12" t="s">
        <v>38</v>
      </c>
      <c r="C9" s="13">
        <v>2018</v>
      </c>
      <c r="D9" s="12" t="s">
        <v>2</v>
      </c>
      <c r="E9" s="12">
        <v>8</v>
      </c>
      <c r="F9" s="13">
        <v>1455</v>
      </c>
    </row>
    <row r="10" spans="1:6" x14ac:dyDescent="0.25">
      <c r="A10" s="12" t="s">
        <v>37</v>
      </c>
      <c r="B10" s="12" t="s">
        <v>38</v>
      </c>
      <c r="C10" s="13">
        <v>2018</v>
      </c>
      <c r="D10" s="12" t="s">
        <v>2</v>
      </c>
      <c r="E10" s="12">
        <v>9</v>
      </c>
      <c r="F10" s="13">
        <v>1362</v>
      </c>
    </row>
    <row r="11" spans="1:6" x14ac:dyDescent="0.25">
      <c r="A11" s="12" t="s">
        <v>37</v>
      </c>
      <c r="B11" s="12" t="s">
        <v>38</v>
      </c>
      <c r="C11" s="13">
        <v>2018</v>
      </c>
      <c r="D11" s="12" t="s">
        <v>3</v>
      </c>
      <c r="E11" s="12">
        <v>10</v>
      </c>
      <c r="F11" s="13">
        <v>1330</v>
      </c>
    </row>
    <row r="12" spans="1:6" x14ac:dyDescent="0.25">
      <c r="A12" s="12" t="s">
        <v>37</v>
      </c>
      <c r="B12" s="12" t="s">
        <v>38</v>
      </c>
      <c r="C12" s="13">
        <v>2018</v>
      </c>
      <c r="D12" s="12" t="s">
        <v>3</v>
      </c>
      <c r="E12" s="12">
        <v>11</v>
      </c>
      <c r="F12" s="13">
        <v>1293</v>
      </c>
    </row>
    <row r="13" spans="1:6" x14ac:dyDescent="0.25">
      <c r="A13" s="12" t="s">
        <v>37</v>
      </c>
      <c r="B13" s="12" t="s">
        <v>38</v>
      </c>
      <c r="C13" s="13">
        <v>2018</v>
      </c>
      <c r="D13" s="12" t="s">
        <v>3</v>
      </c>
      <c r="E13" s="12">
        <v>12</v>
      </c>
      <c r="F13" s="13">
        <v>1282</v>
      </c>
    </row>
    <row r="14" spans="1:6" x14ac:dyDescent="0.25">
      <c r="A14" s="12" t="s">
        <v>37</v>
      </c>
      <c r="B14" s="12" t="s">
        <v>38</v>
      </c>
      <c r="C14" s="13">
        <v>2018</v>
      </c>
      <c r="D14" s="12" t="s">
        <v>3</v>
      </c>
      <c r="E14" s="12">
        <v>13</v>
      </c>
      <c r="F14" s="13">
        <v>1268</v>
      </c>
    </row>
    <row r="15" spans="1:6" x14ac:dyDescent="0.25">
      <c r="A15" s="12" t="s">
        <v>37</v>
      </c>
      <c r="B15" s="12" t="s">
        <v>38</v>
      </c>
      <c r="C15" s="13">
        <v>2018</v>
      </c>
      <c r="D15" s="12" t="s">
        <v>4</v>
      </c>
      <c r="E15" s="12">
        <v>14</v>
      </c>
      <c r="F15" s="13">
        <v>1332</v>
      </c>
    </row>
    <row r="16" spans="1:6" x14ac:dyDescent="0.25">
      <c r="A16" s="12" t="s">
        <v>37</v>
      </c>
      <c r="B16" s="12" t="s">
        <v>38</v>
      </c>
      <c r="C16" s="13">
        <v>2018</v>
      </c>
      <c r="D16" s="12" t="s">
        <v>4</v>
      </c>
      <c r="E16" s="12">
        <v>15</v>
      </c>
      <c r="F16" s="13">
        <v>1209</v>
      </c>
    </row>
    <row r="17" spans="1:6" x14ac:dyDescent="0.25">
      <c r="A17" s="12" t="s">
        <v>37</v>
      </c>
      <c r="B17" s="12" t="s">
        <v>38</v>
      </c>
      <c r="C17" s="13">
        <v>2018</v>
      </c>
      <c r="D17" s="12" t="s">
        <v>4</v>
      </c>
      <c r="E17" s="12">
        <v>16</v>
      </c>
      <c r="F17" s="13">
        <v>1062</v>
      </c>
    </row>
    <row r="18" spans="1:6" x14ac:dyDescent="0.25">
      <c r="A18" s="12" t="s">
        <v>37</v>
      </c>
      <c r="B18" s="12" t="s">
        <v>38</v>
      </c>
      <c r="C18" s="13">
        <v>2018</v>
      </c>
      <c r="D18" s="12" t="s">
        <v>4</v>
      </c>
      <c r="E18" s="12">
        <v>17</v>
      </c>
      <c r="F18" s="12">
        <v>945</v>
      </c>
    </row>
    <row r="19" spans="1:6" x14ac:dyDescent="0.25">
      <c r="A19" s="12" t="s">
        <v>37</v>
      </c>
      <c r="B19" s="12" t="s">
        <v>38</v>
      </c>
      <c r="C19" s="13">
        <v>2018</v>
      </c>
      <c r="D19" s="12" t="s">
        <v>4</v>
      </c>
      <c r="E19" s="12">
        <v>18</v>
      </c>
      <c r="F19" s="12">
        <v>900</v>
      </c>
    </row>
    <row r="20" spans="1:6" x14ac:dyDescent="0.25">
      <c r="A20" s="12" t="s">
        <v>37</v>
      </c>
      <c r="B20" s="12" t="s">
        <v>38</v>
      </c>
      <c r="C20" s="13">
        <v>2018</v>
      </c>
      <c r="D20" s="12" t="s">
        <v>5</v>
      </c>
      <c r="E20" s="12">
        <v>19</v>
      </c>
      <c r="F20" s="12">
        <v>963</v>
      </c>
    </row>
    <row r="21" spans="1:6" x14ac:dyDescent="0.25">
      <c r="A21" s="12" t="s">
        <v>37</v>
      </c>
      <c r="B21" s="12" t="s">
        <v>38</v>
      </c>
      <c r="C21" s="13">
        <v>2018</v>
      </c>
      <c r="D21" s="12" t="s">
        <v>5</v>
      </c>
      <c r="E21" s="12">
        <v>20</v>
      </c>
      <c r="F21" s="12">
        <v>962</v>
      </c>
    </row>
    <row r="22" spans="1:6" x14ac:dyDescent="0.25">
      <c r="A22" s="12" t="s">
        <v>37</v>
      </c>
      <c r="B22" s="12" t="s">
        <v>38</v>
      </c>
      <c r="C22" s="13">
        <v>2018</v>
      </c>
      <c r="D22" s="12" t="s">
        <v>5</v>
      </c>
      <c r="E22" s="12">
        <v>21</v>
      </c>
      <c r="F22" s="12">
        <v>770</v>
      </c>
    </row>
    <row r="23" spans="1:6" x14ac:dyDescent="0.25">
      <c r="A23" s="12" t="s">
        <v>37</v>
      </c>
      <c r="B23" s="12" t="s">
        <v>38</v>
      </c>
      <c r="C23" s="13">
        <v>2018</v>
      </c>
      <c r="D23" s="12" t="s">
        <v>5</v>
      </c>
      <c r="E23" s="12">
        <v>22</v>
      </c>
      <c r="F23" s="12">
        <v>884</v>
      </c>
    </row>
    <row r="24" spans="1:6" x14ac:dyDescent="0.25">
      <c r="A24" s="12" t="s">
        <v>37</v>
      </c>
      <c r="B24" s="12" t="s">
        <v>38</v>
      </c>
      <c r="C24" s="13">
        <v>2018</v>
      </c>
      <c r="D24" s="12" t="s">
        <v>6</v>
      </c>
      <c r="E24" s="12">
        <v>23</v>
      </c>
      <c r="F24" s="12">
        <v>858</v>
      </c>
    </row>
    <row r="25" spans="1:6" x14ac:dyDescent="0.25">
      <c r="A25" s="12" t="s">
        <v>37</v>
      </c>
      <c r="B25" s="12" t="s">
        <v>38</v>
      </c>
      <c r="C25" s="13">
        <v>2018</v>
      </c>
      <c r="D25" s="12" t="s">
        <v>6</v>
      </c>
      <c r="E25" s="12">
        <v>24</v>
      </c>
      <c r="F25" s="12">
        <v>822</v>
      </c>
    </row>
    <row r="26" spans="1:6" x14ac:dyDescent="0.25">
      <c r="A26" s="12" t="s">
        <v>37</v>
      </c>
      <c r="B26" s="12" t="s">
        <v>38</v>
      </c>
      <c r="C26" s="13">
        <v>2018</v>
      </c>
      <c r="D26" s="12" t="s">
        <v>6</v>
      </c>
      <c r="E26" s="12">
        <v>25</v>
      </c>
      <c r="F26" s="12">
        <v>754</v>
      </c>
    </row>
    <row r="27" spans="1:6" x14ac:dyDescent="0.25">
      <c r="A27" s="12" t="s">
        <v>37</v>
      </c>
      <c r="B27" s="12" t="s">
        <v>38</v>
      </c>
      <c r="C27" s="13">
        <v>2018</v>
      </c>
      <c r="D27" s="12" t="s">
        <v>6</v>
      </c>
      <c r="E27" s="12">
        <v>26</v>
      </c>
      <c r="F27" s="12">
        <v>747</v>
      </c>
    </row>
    <row r="28" spans="1:6" x14ac:dyDescent="0.25">
      <c r="A28" s="12" t="s">
        <v>37</v>
      </c>
      <c r="B28" s="12" t="s">
        <v>38</v>
      </c>
      <c r="C28" s="13">
        <v>2018</v>
      </c>
      <c r="D28" s="12" t="s">
        <v>7</v>
      </c>
      <c r="E28" s="12">
        <v>27</v>
      </c>
      <c r="F28" s="12">
        <v>750</v>
      </c>
    </row>
    <row r="29" spans="1:6" x14ac:dyDescent="0.25">
      <c r="A29" s="12" t="s">
        <v>37</v>
      </c>
      <c r="B29" s="12" t="s">
        <v>38</v>
      </c>
      <c r="C29" s="13">
        <v>2018</v>
      </c>
      <c r="D29" s="12" t="s">
        <v>7</v>
      </c>
      <c r="E29" s="12">
        <v>28</v>
      </c>
      <c r="F29" s="12">
        <v>779</v>
      </c>
    </row>
    <row r="30" spans="1:6" x14ac:dyDescent="0.25">
      <c r="A30" s="12" t="s">
        <v>37</v>
      </c>
      <c r="B30" s="12" t="s">
        <v>38</v>
      </c>
      <c r="C30" s="13">
        <v>2018</v>
      </c>
      <c r="D30" s="12" t="s">
        <v>7</v>
      </c>
      <c r="E30" s="12">
        <v>29</v>
      </c>
      <c r="F30" s="12">
        <v>722</v>
      </c>
    </row>
    <row r="31" spans="1:6" x14ac:dyDescent="0.25">
      <c r="A31" s="12" t="s">
        <v>37</v>
      </c>
      <c r="B31" s="12" t="s">
        <v>38</v>
      </c>
      <c r="C31" s="13">
        <v>2018</v>
      </c>
      <c r="D31" s="12" t="s">
        <v>7</v>
      </c>
      <c r="E31" s="12">
        <v>30</v>
      </c>
      <c r="F31" s="12">
        <v>715</v>
      </c>
    </row>
    <row r="32" spans="1:6" x14ac:dyDescent="0.25">
      <c r="A32" s="12" t="s">
        <v>37</v>
      </c>
      <c r="B32" s="12" t="s">
        <v>38</v>
      </c>
      <c r="C32" s="13">
        <v>2018</v>
      </c>
      <c r="D32" s="12" t="s">
        <v>8</v>
      </c>
      <c r="E32" s="12">
        <v>31</v>
      </c>
      <c r="F32" s="12">
        <v>718</v>
      </c>
    </row>
    <row r="33" spans="1:6" x14ac:dyDescent="0.25">
      <c r="A33" s="12" t="s">
        <v>37</v>
      </c>
      <c r="B33" s="12" t="s">
        <v>38</v>
      </c>
      <c r="C33" s="13">
        <v>2018</v>
      </c>
      <c r="D33" s="12" t="s">
        <v>8</v>
      </c>
      <c r="E33" s="12">
        <v>32</v>
      </c>
      <c r="F33" s="12">
        <v>779</v>
      </c>
    </row>
    <row r="34" spans="1:6" x14ac:dyDescent="0.25">
      <c r="A34" s="12" t="s">
        <v>37</v>
      </c>
      <c r="B34" s="12" t="s">
        <v>38</v>
      </c>
      <c r="C34" s="13">
        <v>2018</v>
      </c>
      <c r="D34" s="12" t="s">
        <v>8</v>
      </c>
      <c r="E34" s="12">
        <v>33</v>
      </c>
      <c r="F34" s="12">
        <v>735</v>
      </c>
    </row>
    <row r="35" spans="1:6" x14ac:dyDescent="0.25">
      <c r="A35" s="12" t="s">
        <v>37</v>
      </c>
      <c r="B35" s="12" t="s">
        <v>38</v>
      </c>
      <c r="C35" s="13">
        <v>2018</v>
      </c>
      <c r="D35" s="12" t="s">
        <v>8</v>
      </c>
      <c r="E35" s="12">
        <v>34</v>
      </c>
      <c r="F35" s="12">
        <v>720</v>
      </c>
    </row>
    <row r="36" spans="1:6" x14ac:dyDescent="0.25">
      <c r="A36" s="12" t="s">
        <v>37</v>
      </c>
      <c r="B36" s="12" t="s">
        <v>38</v>
      </c>
      <c r="C36" s="13">
        <v>2018</v>
      </c>
      <c r="D36" s="12" t="s">
        <v>9</v>
      </c>
      <c r="E36" s="12">
        <v>35</v>
      </c>
      <c r="F36" s="12">
        <v>756</v>
      </c>
    </row>
    <row r="37" spans="1:6" x14ac:dyDescent="0.25">
      <c r="A37" s="12" t="s">
        <v>37</v>
      </c>
      <c r="B37" s="12" t="s">
        <v>38</v>
      </c>
      <c r="C37" s="13">
        <v>2018</v>
      </c>
      <c r="D37" s="12" t="s">
        <v>9</v>
      </c>
      <c r="E37" s="12">
        <v>36</v>
      </c>
      <c r="F37" s="12">
        <v>810</v>
      </c>
    </row>
    <row r="38" spans="1:6" x14ac:dyDescent="0.25">
      <c r="A38" s="12" t="s">
        <v>37</v>
      </c>
      <c r="B38" s="12" t="s">
        <v>38</v>
      </c>
      <c r="C38" s="13">
        <v>2018</v>
      </c>
      <c r="D38" s="12" t="s">
        <v>9</v>
      </c>
      <c r="E38" s="12">
        <v>37</v>
      </c>
      <c r="F38" s="12">
        <v>882</v>
      </c>
    </row>
    <row r="39" spans="1:6" x14ac:dyDescent="0.25">
      <c r="A39" s="12" t="s">
        <v>37</v>
      </c>
      <c r="B39" s="12" t="s">
        <v>38</v>
      </c>
      <c r="C39" s="13">
        <v>2018</v>
      </c>
      <c r="D39" s="12" t="s">
        <v>9</v>
      </c>
      <c r="E39" s="12">
        <v>38</v>
      </c>
      <c r="F39" s="12">
        <v>860</v>
      </c>
    </row>
    <row r="40" spans="1:6" x14ac:dyDescent="0.25">
      <c r="A40" s="12" t="s">
        <v>37</v>
      </c>
      <c r="B40" s="12" t="s">
        <v>38</v>
      </c>
      <c r="C40" s="13">
        <v>2018</v>
      </c>
      <c r="D40" s="12" t="s">
        <v>9</v>
      </c>
      <c r="E40" s="12">
        <v>39</v>
      </c>
      <c r="F40" s="12">
        <v>868</v>
      </c>
    </row>
    <row r="41" spans="1:6" x14ac:dyDescent="0.25">
      <c r="A41" s="12" t="s">
        <v>37</v>
      </c>
      <c r="B41" s="12" t="s">
        <v>38</v>
      </c>
      <c r="C41" s="13">
        <v>2018</v>
      </c>
      <c r="D41" s="12" t="s">
        <v>10</v>
      </c>
      <c r="E41" s="12">
        <v>40</v>
      </c>
      <c r="F41" s="12">
        <v>904</v>
      </c>
    </row>
    <row r="42" spans="1:6" x14ac:dyDescent="0.25">
      <c r="A42" s="12" t="s">
        <v>37</v>
      </c>
      <c r="B42" s="12" t="s">
        <v>38</v>
      </c>
      <c r="C42" s="13">
        <v>2018</v>
      </c>
      <c r="D42" s="12" t="s">
        <v>10</v>
      </c>
      <c r="E42" s="12">
        <v>41</v>
      </c>
      <c r="F42" s="12">
        <v>953</v>
      </c>
    </row>
    <row r="43" spans="1:6" x14ac:dyDescent="0.25">
      <c r="A43" s="12" t="s">
        <v>37</v>
      </c>
      <c r="B43" s="12" t="s">
        <v>38</v>
      </c>
      <c r="C43" s="13">
        <v>2018</v>
      </c>
      <c r="D43" s="12" t="s">
        <v>10</v>
      </c>
      <c r="E43" s="12">
        <v>42</v>
      </c>
      <c r="F43" s="13">
        <v>1080</v>
      </c>
    </row>
    <row r="44" spans="1:6" x14ac:dyDescent="0.25">
      <c r="A44" s="12" t="s">
        <v>37</v>
      </c>
      <c r="B44" s="12" t="s">
        <v>38</v>
      </c>
      <c r="C44" s="13">
        <v>2018</v>
      </c>
      <c r="D44" s="12" t="s">
        <v>10</v>
      </c>
      <c r="E44" s="12">
        <v>43</v>
      </c>
      <c r="F44" s="13">
        <v>1005</v>
      </c>
    </row>
    <row r="45" spans="1:6" x14ac:dyDescent="0.25">
      <c r="A45" s="12" t="s">
        <v>37</v>
      </c>
      <c r="B45" s="12" t="s">
        <v>38</v>
      </c>
      <c r="C45" s="13">
        <v>2018</v>
      </c>
      <c r="D45" s="12" t="s">
        <v>11</v>
      </c>
      <c r="E45" s="12">
        <v>44</v>
      </c>
      <c r="F45" s="12">
        <v>946</v>
      </c>
    </row>
    <row r="46" spans="1:6" x14ac:dyDescent="0.25">
      <c r="A46" s="12" t="s">
        <v>37</v>
      </c>
      <c r="B46" s="12" t="s">
        <v>38</v>
      </c>
      <c r="C46" s="13">
        <v>2018</v>
      </c>
      <c r="D46" s="12" t="s">
        <v>11</v>
      </c>
      <c r="E46" s="12">
        <v>45</v>
      </c>
      <c r="F46" s="13">
        <v>1060</v>
      </c>
    </row>
    <row r="47" spans="1:6" x14ac:dyDescent="0.25">
      <c r="A47" s="12" t="s">
        <v>37</v>
      </c>
      <c r="B47" s="12" t="s">
        <v>38</v>
      </c>
      <c r="C47" s="13">
        <v>2018</v>
      </c>
      <c r="D47" s="12" t="s">
        <v>11</v>
      </c>
      <c r="E47" s="12">
        <v>46</v>
      </c>
      <c r="F47" s="13">
        <v>1090</v>
      </c>
    </row>
    <row r="48" spans="1:6" x14ac:dyDescent="0.25">
      <c r="A48" s="12" t="s">
        <v>37</v>
      </c>
      <c r="B48" s="12" t="s">
        <v>38</v>
      </c>
      <c r="C48" s="13">
        <v>2018</v>
      </c>
      <c r="D48" s="12" t="s">
        <v>11</v>
      </c>
      <c r="E48" s="12">
        <v>47</v>
      </c>
      <c r="F48" s="12">
        <v>995</v>
      </c>
    </row>
    <row r="49" spans="1:8" x14ac:dyDescent="0.25">
      <c r="A49" s="12" t="s">
        <v>37</v>
      </c>
      <c r="B49" s="12" t="s">
        <v>38</v>
      </c>
      <c r="C49" s="13">
        <v>2018</v>
      </c>
      <c r="D49" s="12" t="s">
        <v>39</v>
      </c>
      <c r="E49" s="12">
        <v>48</v>
      </c>
      <c r="F49" s="12">
        <v>975</v>
      </c>
    </row>
    <row r="50" spans="1:8" x14ac:dyDescent="0.25">
      <c r="A50" s="12" t="s">
        <v>37</v>
      </c>
      <c r="B50" s="12" t="s">
        <v>38</v>
      </c>
      <c r="C50" s="13">
        <v>2018</v>
      </c>
      <c r="D50" s="12" t="s">
        <v>39</v>
      </c>
      <c r="E50" s="12">
        <v>49</v>
      </c>
      <c r="F50" s="13">
        <v>1078</v>
      </c>
    </row>
    <row r="51" spans="1:8" x14ac:dyDescent="0.25">
      <c r="A51" s="12" t="s">
        <v>37</v>
      </c>
      <c r="B51" s="12" t="s">
        <v>38</v>
      </c>
      <c r="C51" s="13">
        <v>2018</v>
      </c>
      <c r="D51" s="12" t="s">
        <v>39</v>
      </c>
      <c r="E51" s="12">
        <v>50</v>
      </c>
      <c r="F51" s="13">
        <v>1023</v>
      </c>
    </row>
    <row r="52" spans="1:8" x14ac:dyDescent="0.25">
      <c r="A52" s="12" t="s">
        <v>37</v>
      </c>
      <c r="B52" s="12" t="s">
        <v>38</v>
      </c>
      <c r="C52" s="13">
        <v>2018</v>
      </c>
      <c r="D52" s="12" t="s">
        <v>39</v>
      </c>
      <c r="E52" s="12">
        <v>51</v>
      </c>
      <c r="F52" s="12">
        <v>960</v>
      </c>
    </row>
    <row r="53" spans="1:8" x14ac:dyDescent="0.25">
      <c r="A53" s="12" t="s">
        <v>37</v>
      </c>
      <c r="B53" s="12" t="s">
        <v>38</v>
      </c>
      <c r="C53" s="13">
        <v>2018</v>
      </c>
      <c r="D53" s="12" t="s">
        <v>39</v>
      </c>
      <c r="E53" s="12">
        <v>52</v>
      </c>
      <c r="F53" s="12">
        <v>961</v>
      </c>
    </row>
    <row r="56" spans="1:8" x14ac:dyDescent="0.25">
      <c r="E56" t="s">
        <v>41</v>
      </c>
      <c r="F56" s="4">
        <f>AVERAGE(F2:F53)</f>
        <v>1020.2692307692307</v>
      </c>
      <c r="G56" s="6">
        <f>MAX(F2:F53)</f>
        <v>1490</v>
      </c>
    </row>
    <row r="57" spans="1:8" x14ac:dyDescent="0.25">
      <c r="E57" t="s">
        <v>40</v>
      </c>
      <c r="F57" s="4">
        <f>F56*0.4+F56</f>
        <v>1428.376923076923</v>
      </c>
      <c r="G57" s="4">
        <f>G56*0.4+G56</f>
        <v>2086</v>
      </c>
    </row>
    <row r="58" spans="1:8" ht="15.75" thickBot="1" x14ac:dyDescent="0.3"/>
    <row r="59" spans="1:8" x14ac:dyDescent="0.25">
      <c r="A59" s="16" t="s">
        <v>43</v>
      </c>
      <c r="B59" s="17"/>
      <c r="C59" s="17"/>
      <c r="D59" s="17"/>
      <c r="E59" s="17"/>
      <c r="F59" s="18"/>
      <c r="H59" s="11">
        <f>F56*50*1000</f>
        <v>51013461.538461536</v>
      </c>
    </row>
    <row r="60" spans="1:8" x14ac:dyDescent="0.25">
      <c r="A60" s="1" t="s">
        <v>42</v>
      </c>
      <c r="B60" s="1" t="s">
        <v>0</v>
      </c>
      <c r="C60" s="2">
        <v>2018</v>
      </c>
      <c r="D60" s="1" t="s">
        <v>1</v>
      </c>
      <c r="E60" s="1">
        <v>1</v>
      </c>
      <c r="F60" s="3">
        <v>779</v>
      </c>
      <c r="H60" s="11">
        <f>F57*50*1000</f>
        <v>71418846.15384616</v>
      </c>
    </row>
    <row r="61" spans="1:8" x14ac:dyDescent="0.25">
      <c r="A61" s="1" t="s">
        <v>42</v>
      </c>
      <c r="B61" s="1" t="s">
        <v>0</v>
      </c>
      <c r="C61" s="2">
        <v>2018</v>
      </c>
      <c r="D61" s="1" t="s">
        <v>1</v>
      </c>
      <c r="E61" s="1">
        <v>2</v>
      </c>
      <c r="F61" s="3">
        <v>853</v>
      </c>
    </row>
    <row r="62" spans="1:8" x14ac:dyDescent="0.25">
      <c r="A62" s="1" t="s">
        <v>42</v>
      </c>
      <c r="B62" s="1" t="s">
        <v>0</v>
      </c>
      <c r="C62" s="2">
        <v>2018</v>
      </c>
      <c r="D62" s="1" t="s">
        <v>1</v>
      </c>
      <c r="E62" s="1">
        <v>3</v>
      </c>
      <c r="F62" s="3">
        <v>482</v>
      </c>
    </row>
    <row r="63" spans="1:8" x14ac:dyDescent="0.25">
      <c r="A63" s="1" t="s">
        <v>42</v>
      </c>
      <c r="B63" s="1" t="s">
        <v>0</v>
      </c>
      <c r="C63" s="2">
        <v>2018</v>
      </c>
      <c r="D63" s="1" t="s">
        <v>1</v>
      </c>
      <c r="E63" s="1">
        <v>4</v>
      </c>
      <c r="F63" s="3">
        <v>610</v>
      </c>
    </row>
    <row r="64" spans="1:8" x14ac:dyDescent="0.25">
      <c r="A64" s="1" t="s">
        <v>42</v>
      </c>
      <c r="B64" s="1" t="s">
        <v>0</v>
      </c>
      <c r="C64" s="2">
        <v>2018</v>
      </c>
      <c r="D64" s="1" t="s">
        <v>1</v>
      </c>
      <c r="E64" s="1">
        <v>5</v>
      </c>
      <c r="F64" s="3">
        <v>513</v>
      </c>
    </row>
    <row r="65" spans="1:6" x14ac:dyDescent="0.25">
      <c r="A65" s="1" t="s">
        <v>42</v>
      </c>
      <c r="B65" s="1" t="s">
        <v>0</v>
      </c>
      <c r="C65" s="2">
        <v>2018</v>
      </c>
      <c r="D65" s="1" t="s">
        <v>2</v>
      </c>
      <c r="E65" s="1">
        <v>6</v>
      </c>
      <c r="F65" s="3">
        <v>642</v>
      </c>
    </row>
    <row r="66" spans="1:6" x14ac:dyDescent="0.25">
      <c r="A66" s="1" t="s">
        <v>42</v>
      </c>
      <c r="B66" s="1" t="s">
        <v>0</v>
      </c>
      <c r="C66" s="2">
        <v>2018</v>
      </c>
      <c r="D66" s="1" t="s">
        <v>2</v>
      </c>
      <c r="E66" s="1">
        <v>7</v>
      </c>
      <c r="F66" s="3">
        <v>708</v>
      </c>
    </row>
    <row r="67" spans="1:6" x14ac:dyDescent="0.25">
      <c r="A67" s="1" t="s">
        <v>42</v>
      </c>
      <c r="B67" s="1" t="s">
        <v>0</v>
      </c>
      <c r="C67" s="2">
        <v>2018</v>
      </c>
      <c r="D67" s="1" t="s">
        <v>2</v>
      </c>
      <c r="E67" s="1">
        <v>8</v>
      </c>
      <c r="F67" s="3">
        <v>665</v>
      </c>
    </row>
    <row r="68" spans="1:6" x14ac:dyDescent="0.25">
      <c r="A68" s="1" t="s">
        <v>42</v>
      </c>
      <c r="B68" s="1" t="s">
        <v>0</v>
      </c>
      <c r="C68" s="2">
        <v>2018</v>
      </c>
      <c r="D68" s="1" t="s">
        <v>2</v>
      </c>
      <c r="E68" s="1">
        <v>9</v>
      </c>
      <c r="F68" s="3">
        <v>784</v>
      </c>
    </row>
    <row r="69" spans="1:6" x14ac:dyDescent="0.25">
      <c r="A69" s="1" t="s">
        <v>42</v>
      </c>
      <c r="B69" s="1" t="s">
        <v>0</v>
      </c>
      <c r="C69" s="2">
        <v>2018</v>
      </c>
      <c r="D69" s="1" t="s">
        <v>3</v>
      </c>
      <c r="E69" s="1">
        <v>10</v>
      </c>
      <c r="F69" s="3">
        <v>772</v>
      </c>
    </row>
    <row r="70" spans="1:6" x14ac:dyDescent="0.25">
      <c r="A70" s="1" t="s">
        <v>42</v>
      </c>
      <c r="B70" s="1" t="s">
        <v>0</v>
      </c>
      <c r="C70" s="2">
        <v>2018</v>
      </c>
      <c r="D70" s="1" t="s">
        <v>3</v>
      </c>
      <c r="E70" s="1">
        <v>11</v>
      </c>
      <c r="F70" s="3">
        <v>759</v>
      </c>
    </row>
    <row r="71" spans="1:6" x14ac:dyDescent="0.25">
      <c r="A71" s="1" t="s">
        <v>42</v>
      </c>
      <c r="B71" s="1" t="s">
        <v>0</v>
      </c>
      <c r="C71" s="2">
        <v>2018</v>
      </c>
      <c r="D71" s="1" t="s">
        <v>3</v>
      </c>
      <c r="E71" s="1">
        <v>12</v>
      </c>
      <c r="F71" s="3">
        <v>754</v>
      </c>
    </row>
    <row r="72" spans="1:6" x14ac:dyDescent="0.25">
      <c r="A72" s="1" t="s">
        <v>42</v>
      </c>
      <c r="B72" s="1" t="s">
        <v>0</v>
      </c>
      <c r="C72" s="2">
        <v>2018</v>
      </c>
      <c r="D72" s="1" t="s">
        <v>3</v>
      </c>
      <c r="E72" s="1">
        <v>13</v>
      </c>
      <c r="F72" s="3">
        <v>1070</v>
      </c>
    </row>
    <row r="73" spans="1:6" x14ac:dyDescent="0.25">
      <c r="A73" s="1" t="s">
        <v>42</v>
      </c>
      <c r="B73" s="1" t="s">
        <v>0</v>
      </c>
      <c r="C73" s="2">
        <v>2018</v>
      </c>
      <c r="D73" s="1" t="s">
        <v>4</v>
      </c>
      <c r="E73" s="1">
        <v>14</v>
      </c>
      <c r="F73" s="3">
        <v>998</v>
      </c>
    </row>
    <row r="74" spans="1:6" x14ac:dyDescent="0.25">
      <c r="A74" s="1" t="s">
        <v>42</v>
      </c>
      <c r="B74" s="1" t="s">
        <v>0</v>
      </c>
      <c r="C74" s="2">
        <v>2018</v>
      </c>
      <c r="D74" s="1" t="s">
        <v>4</v>
      </c>
      <c r="E74" s="1">
        <v>15</v>
      </c>
      <c r="F74" s="3">
        <v>824</v>
      </c>
    </row>
    <row r="75" spans="1:6" x14ac:dyDescent="0.25">
      <c r="A75" s="1" t="s">
        <v>42</v>
      </c>
      <c r="B75" s="1" t="s">
        <v>0</v>
      </c>
      <c r="C75" s="2">
        <v>2018</v>
      </c>
      <c r="D75" s="1" t="s">
        <v>5</v>
      </c>
      <c r="E75" s="1">
        <v>19</v>
      </c>
      <c r="F75" s="3">
        <v>635</v>
      </c>
    </row>
    <row r="76" spans="1:6" x14ac:dyDescent="0.25">
      <c r="A76" s="1" t="s">
        <v>42</v>
      </c>
      <c r="B76" s="1" t="s">
        <v>0</v>
      </c>
      <c r="C76" s="2">
        <v>2018</v>
      </c>
      <c r="D76" s="1" t="s">
        <v>5</v>
      </c>
      <c r="E76" s="1">
        <v>20</v>
      </c>
      <c r="F76" s="3">
        <v>523</v>
      </c>
    </row>
    <row r="77" spans="1:6" x14ac:dyDescent="0.25">
      <c r="A77" s="1" t="s">
        <v>42</v>
      </c>
      <c r="B77" s="1" t="s">
        <v>0</v>
      </c>
      <c r="C77" s="2">
        <v>2018</v>
      </c>
      <c r="D77" s="1" t="s">
        <v>5</v>
      </c>
      <c r="E77" s="1">
        <v>21</v>
      </c>
      <c r="F77" s="3">
        <v>535</v>
      </c>
    </row>
    <row r="78" spans="1:6" x14ac:dyDescent="0.25">
      <c r="A78" s="1" t="s">
        <v>42</v>
      </c>
      <c r="B78" s="1" t="s">
        <v>0</v>
      </c>
      <c r="C78" s="2">
        <v>2018</v>
      </c>
      <c r="D78" s="1" t="s">
        <v>5</v>
      </c>
      <c r="E78" s="1">
        <v>22</v>
      </c>
      <c r="F78" s="3">
        <v>475</v>
      </c>
    </row>
    <row r="79" spans="1:6" x14ac:dyDescent="0.25">
      <c r="A79" s="1" t="s">
        <v>42</v>
      </c>
      <c r="B79" s="1" t="s">
        <v>0</v>
      </c>
      <c r="C79" s="2">
        <v>2018</v>
      </c>
      <c r="D79" s="1" t="s">
        <v>6</v>
      </c>
      <c r="E79" s="1">
        <v>23</v>
      </c>
      <c r="F79" s="3">
        <v>488</v>
      </c>
    </row>
    <row r="80" spans="1:6" x14ac:dyDescent="0.25">
      <c r="A80" s="1" t="s">
        <v>42</v>
      </c>
      <c r="B80" s="1" t="s">
        <v>0</v>
      </c>
      <c r="C80" s="2">
        <v>2018</v>
      </c>
      <c r="D80" s="1" t="s">
        <v>6</v>
      </c>
      <c r="E80" s="1">
        <v>25</v>
      </c>
      <c r="F80" s="3">
        <v>385</v>
      </c>
    </row>
    <row r="81" spans="1:6" x14ac:dyDescent="0.25">
      <c r="A81" s="1" t="s">
        <v>42</v>
      </c>
      <c r="B81" s="1" t="s">
        <v>0</v>
      </c>
      <c r="C81" s="2">
        <v>2018</v>
      </c>
      <c r="D81" s="1" t="s">
        <v>6</v>
      </c>
      <c r="E81" s="1">
        <v>26</v>
      </c>
      <c r="F81" s="3">
        <v>247</v>
      </c>
    </row>
    <row r="82" spans="1:6" x14ac:dyDescent="0.25">
      <c r="A82" s="1" t="s">
        <v>42</v>
      </c>
      <c r="B82" s="1" t="s">
        <v>0</v>
      </c>
      <c r="C82" s="2">
        <v>2018</v>
      </c>
      <c r="D82" s="1" t="s">
        <v>7</v>
      </c>
      <c r="E82" s="1">
        <v>27</v>
      </c>
      <c r="F82" s="3">
        <v>296</v>
      </c>
    </row>
    <row r="83" spans="1:6" x14ac:dyDescent="0.25">
      <c r="A83" s="1" t="s">
        <v>42</v>
      </c>
      <c r="B83" s="1" t="s">
        <v>0</v>
      </c>
      <c r="C83" s="2">
        <v>2018</v>
      </c>
      <c r="D83" s="1" t="s">
        <v>7</v>
      </c>
      <c r="E83" s="1">
        <v>28</v>
      </c>
      <c r="F83" s="3">
        <v>285</v>
      </c>
    </row>
    <row r="84" spans="1:6" x14ac:dyDescent="0.25">
      <c r="A84" s="1" t="s">
        <v>42</v>
      </c>
      <c r="B84" s="1" t="s">
        <v>0</v>
      </c>
      <c r="C84" s="2">
        <v>2018</v>
      </c>
      <c r="D84" s="1" t="s">
        <v>7</v>
      </c>
      <c r="E84" s="1">
        <v>29</v>
      </c>
      <c r="F84" s="3">
        <v>308</v>
      </c>
    </row>
    <row r="85" spans="1:6" x14ac:dyDescent="0.25">
      <c r="A85" s="1" t="s">
        <v>42</v>
      </c>
      <c r="B85" s="1" t="s">
        <v>0</v>
      </c>
      <c r="C85" s="2">
        <v>2018</v>
      </c>
      <c r="D85" s="1" t="s">
        <v>7</v>
      </c>
      <c r="E85" s="1">
        <v>30</v>
      </c>
      <c r="F85" s="3">
        <v>302</v>
      </c>
    </row>
    <row r="86" spans="1:6" x14ac:dyDescent="0.25">
      <c r="A86" s="1" t="s">
        <v>42</v>
      </c>
      <c r="B86" s="1" t="s">
        <v>0</v>
      </c>
      <c r="C86" s="2">
        <v>2018</v>
      </c>
      <c r="D86" s="1" t="s">
        <v>8</v>
      </c>
      <c r="E86" s="1">
        <v>31</v>
      </c>
      <c r="F86" s="3">
        <v>322</v>
      </c>
    </row>
    <row r="87" spans="1:6" x14ac:dyDescent="0.25">
      <c r="A87" s="1" t="s">
        <v>42</v>
      </c>
      <c r="B87" s="1" t="s">
        <v>0</v>
      </c>
      <c r="C87" s="2">
        <v>2018</v>
      </c>
      <c r="D87" s="1" t="s">
        <v>8</v>
      </c>
      <c r="E87" s="1">
        <v>32</v>
      </c>
      <c r="F87" s="3">
        <v>344</v>
      </c>
    </row>
    <row r="88" spans="1:6" x14ac:dyDescent="0.25">
      <c r="A88" s="1" t="s">
        <v>42</v>
      </c>
      <c r="B88" s="1" t="s">
        <v>0</v>
      </c>
      <c r="C88" s="2">
        <v>2018</v>
      </c>
      <c r="D88" s="1" t="s">
        <v>8</v>
      </c>
      <c r="E88" s="1">
        <v>33</v>
      </c>
      <c r="F88" s="3">
        <v>322</v>
      </c>
    </row>
    <row r="89" spans="1:6" x14ac:dyDescent="0.25">
      <c r="A89" s="1" t="s">
        <v>42</v>
      </c>
      <c r="B89" s="1" t="s">
        <v>0</v>
      </c>
      <c r="C89" s="2">
        <v>2018</v>
      </c>
      <c r="D89" s="1" t="s">
        <v>8</v>
      </c>
      <c r="E89" s="1">
        <v>34</v>
      </c>
      <c r="F89" s="3">
        <v>372</v>
      </c>
    </row>
    <row r="90" spans="1:6" x14ac:dyDescent="0.25">
      <c r="A90" s="1" t="s">
        <v>42</v>
      </c>
      <c r="B90" s="1" t="s">
        <v>0</v>
      </c>
      <c r="C90" s="2">
        <v>2018</v>
      </c>
      <c r="D90" s="1" t="s">
        <v>9</v>
      </c>
      <c r="E90" s="1">
        <v>35</v>
      </c>
      <c r="F90" s="3">
        <v>331</v>
      </c>
    </row>
    <row r="91" spans="1:6" x14ac:dyDescent="0.25">
      <c r="A91" s="1" t="s">
        <v>42</v>
      </c>
      <c r="B91" s="1" t="s">
        <v>0</v>
      </c>
      <c r="C91" s="2">
        <v>2018</v>
      </c>
      <c r="D91" s="1" t="s">
        <v>9</v>
      </c>
      <c r="E91" s="1">
        <v>36</v>
      </c>
      <c r="F91" s="3">
        <v>383</v>
      </c>
    </row>
    <row r="92" spans="1:6" x14ac:dyDescent="0.25">
      <c r="A92" s="1" t="s">
        <v>42</v>
      </c>
      <c r="B92" s="1" t="s">
        <v>0</v>
      </c>
      <c r="C92" s="2">
        <v>2018</v>
      </c>
      <c r="D92" s="1" t="s">
        <v>9</v>
      </c>
      <c r="E92" s="1">
        <v>37</v>
      </c>
      <c r="F92" s="3">
        <v>397</v>
      </c>
    </row>
    <row r="93" spans="1:6" x14ac:dyDescent="0.25">
      <c r="A93" s="1" t="s">
        <v>42</v>
      </c>
      <c r="B93" s="1" t="s">
        <v>0</v>
      </c>
      <c r="C93" s="2">
        <v>2018</v>
      </c>
      <c r="D93" s="1" t="s">
        <v>9</v>
      </c>
      <c r="E93" s="1">
        <v>38</v>
      </c>
      <c r="F93" s="3">
        <v>326</v>
      </c>
    </row>
    <row r="94" spans="1:6" x14ac:dyDescent="0.25">
      <c r="A94" s="1" t="s">
        <v>42</v>
      </c>
      <c r="B94" s="1" t="s">
        <v>0</v>
      </c>
      <c r="C94" s="2">
        <v>2018</v>
      </c>
      <c r="D94" s="1" t="s">
        <v>9</v>
      </c>
      <c r="E94" s="1">
        <v>39</v>
      </c>
      <c r="F94" s="3">
        <v>400</v>
      </c>
    </row>
    <row r="95" spans="1:6" x14ac:dyDescent="0.25">
      <c r="A95" s="1" t="s">
        <v>42</v>
      </c>
      <c r="B95" s="1" t="s">
        <v>0</v>
      </c>
      <c r="C95" s="2">
        <v>2018</v>
      </c>
      <c r="D95" s="1" t="s">
        <v>10</v>
      </c>
      <c r="E95" s="1">
        <v>40</v>
      </c>
      <c r="F95" s="3">
        <v>353</v>
      </c>
    </row>
    <row r="96" spans="1:6" x14ac:dyDescent="0.25">
      <c r="A96" s="1" t="s">
        <v>42</v>
      </c>
      <c r="B96" s="1" t="s">
        <v>0</v>
      </c>
      <c r="C96" s="2">
        <v>2018</v>
      </c>
      <c r="D96" s="1" t="s">
        <v>10</v>
      </c>
      <c r="E96" s="1">
        <v>41</v>
      </c>
      <c r="F96" s="3">
        <v>396</v>
      </c>
    </row>
    <row r="97" spans="1:9" x14ac:dyDescent="0.25">
      <c r="A97" s="1" t="s">
        <v>42</v>
      </c>
      <c r="B97" s="1" t="s">
        <v>0</v>
      </c>
      <c r="C97" s="2">
        <v>2018</v>
      </c>
      <c r="D97" s="1" t="s">
        <v>10</v>
      </c>
      <c r="E97" s="1">
        <v>42</v>
      </c>
      <c r="F97" s="3">
        <v>390</v>
      </c>
    </row>
    <row r="98" spans="1:9" x14ac:dyDescent="0.25">
      <c r="A98" s="1" t="s">
        <v>42</v>
      </c>
      <c r="B98" s="1" t="s">
        <v>0</v>
      </c>
      <c r="C98" s="2">
        <v>2018</v>
      </c>
      <c r="D98" s="1" t="s">
        <v>10</v>
      </c>
      <c r="E98" s="1">
        <v>43</v>
      </c>
      <c r="F98" s="3">
        <v>542</v>
      </c>
    </row>
    <row r="99" spans="1:9" x14ac:dyDescent="0.25">
      <c r="A99" s="1" t="s">
        <v>42</v>
      </c>
      <c r="B99" s="1" t="s">
        <v>0</v>
      </c>
      <c r="C99" s="2">
        <v>2018</v>
      </c>
      <c r="D99" s="1" t="s">
        <v>11</v>
      </c>
      <c r="E99" s="1">
        <v>44</v>
      </c>
      <c r="F99" s="3">
        <v>539</v>
      </c>
    </row>
    <row r="100" spans="1:9" x14ac:dyDescent="0.25">
      <c r="A100" s="1" t="s">
        <v>42</v>
      </c>
      <c r="B100" s="1" t="s">
        <v>0</v>
      </c>
      <c r="C100" s="2">
        <v>2018</v>
      </c>
      <c r="D100" s="1" t="s">
        <v>11</v>
      </c>
      <c r="E100" s="1">
        <v>45</v>
      </c>
      <c r="F100" s="3">
        <v>560</v>
      </c>
    </row>
    <row r="101" spans="1:9" x14ac:dyDescent="0.25">
      <c r="A101" s="1" t="s">
        <v>42</v>
      </c>
      <c r="B101" s="1" t="s">
        <v>0</v>
      </c>
      <c r="C101" s="2">
        <v>2018</v>
      </c>
      <c r="D101" s="1" t="s">
        <v>11</v>
      </c>
      <c r="E101" s="1">
        <v>46</v>
      </c>
      <c r="F101" s="3">
        <v>541</v>
      </c>
    </row>
    <row r="102" spans="1:9" x14ac:dyDescent="0.25">
      <c r="A102" s="1" t="s">
        <v>42</v>
      </c>
      <c r="B102" s="1" t="s">
        <v>0</v>
      </c>
      <c r="C102" s="2">
        <v>2018</v>
      </c>
      <c r="D102" s="1" t="s">
        <v>11</v>
      </c>
      <c r="E102" s="1">
        <v>47</v>
      </c>
      <c r="F102" s="3">
        <v>378</v>
      </c>
    </row>
    <row r="103" spans="1:9" x14ac:dyDescent="0.25">
      <c r="A103" s="1" t="s">
        <v>42</v>
      </c>
      <c r="B103" s="1" t="s">
        <v>0</v>
      </c>
      <c r="C103" s="2">
        <v>2018</v>
      </c>
      <c r="D103" s="1" t="s">
        <v>39</v>
      </c>
      <c r="E103" s="1">
        <v>48</v>
      </c>
      <c r="F103" s="3">
        <v>401</v>
      </c>
    </row>
    <row r="104" spans="1:9" x14ac:dyDescent="0.25">
      <c r="A104" s="1" t="s">
        <v>42</v>
      </c>
      <c r="B104" s="1" t="s">
        <v>0</v>
      </c>
      <c r="C104" s="2">
        <v>2018</v>
      </c>
      <c r="D104" s="1" t="s">
        <v>39</v>
      </c>
      <c r="E104" s="1">
        <v>49</v>
      </c>
      <c r="F104" s="3">
        <v>541</v>
      </c>
    </row>
    <row r="105" spans="1:9" x14ac:dyDescent="0.25">
      <c r="A105" s="1" t="s">
        <v>42</v>
      </c>
      <c r="B105" s="1" t="s">
        <v>0</v>
      </c>
      <c r="C105" s="2">
        <v>2018</v>
      </c>
      <c r="D105" s="1" t="s">
        <v>39</v>
      </c>
      <c r="E105" s="1">
        <v>50</v>
      </c>
      <c r="F105" s="3">
        <v>540</v>
      </c>
    </row>
    <row r="106" spans="1:9" x14ac:dyDescent="0.25">
      <c r="A106" s="1" t="s">
        <v>42</v>
      </c>
      <c r="B106" s="1" t="s">
        <v>0</v>
      </c>
      <c r="C106" s="2">
        <v>2018</v>
      </c>
      <c r="D106" s="1" t="s">
        <v>39</v>
      </c>
      <c r="E106" s="1">
        <v>51</v>
      </c>
      <c r="F106" s="3">
        <v>505</v>
      </c>
    </row>
    <row r="107" spans="1:9" x14ac:dyDescent="0.25">
      <c r="A107" s="1" t="s">
        <v>42</v>
      </c>
      <c r="B107" s="1" t="s">
        <v>0</v>
      </c>
      <c r="C107" s="2">
        <v>2018</v>
      </c>
      <c r="D107" s="1" t="s">
        <v>39</v>
      </c>
      <c r="E107" s="1">
        <v>52</v>
      </c>
      <c r="F107" s="3">
        <v>579</v>
      </c>
    </row>
    <row r="109" spans="1:9" x14ac:dyDescent="0.25">
      <c r="G109" s="20" t="s">
        <v>205</v>
      </c>
      <c r="H109" s="20" t="s">
        <v>60</v>
      </c>
      <c r="I109" s="20" t="s">
        <v>65</v>
      </c>
    </row>
    <row r="110" spans="1:9" x14ac:dyDescent="0.25">
      <c r="G110" s="41" t="s">
        <v>66</v>
      </c>
      <c r="H110" s="41"/>
      <c r="I110" s="41"/>
    </row>
    <row r="111" spans="1:9" x14ac:dyDescent="0.25">
      <c r="F111" s="20" t="s">
        <v>206</v>
      </c>
      <c r="G111" s="22">
        <f>AVERAGE(F60:F107)</f>
        <v>524.04166666666663</v>
      </c>
      <c r="H111" s="21">
        <f>G111*50000</f>
        <v>26202083.333333332</v>
      </c>
      <c r="I111" s="21">
        <f>H111*12</f>
        <v>314425000</v>
      </c>
    </row>
    <row r="112" spans="1:9" x14ac:dyDescent="0.25">
      <c r="F112" s="20" t="s">
        <v>207</v>
      </c>
      <c r="G112" s="21">
        <f>G57</f>
        <v>2086</v>
      </c>
      <c r="H112" s="21">
        <f>G112*50000</f>
        <v>104300000</v>
      </c>
      <c r="I112" s="21">
        <f>H112*12</f>
        <v>1251600000</v>
      </c>
    </row>
    <row r="113" spans="6:11" x14ac:dyDescent="0.25">
      <c r="F113" s="20" t="s">
        <v>208</v>
      </c>
      <c r="G113" s="21">
        <f>G112-G111</f>
        <v>1561.9583333333335</v>
      </c>
      <c r="H113" s="21">
        <f>H112-H111</f>
        <v>78097916.666666672</v>
      </c>
      <c r="I113" s="21">
        <f>H113*12</f>
        <v>937175000</v>
      </c>
    </row>
    <row r="114" spans="6:11" x14ac:dyDescent="0.25">
      <c r="G114" s="41" t="s">
        <v>67</v>
      </c>
      <c r="H114" s="41"/>
      <c r="I114" s="41"/>
    </row>
    <row r="115" spans="6:11" x14ac:dyDescent="0.25">
      <c r="F115" s="20" t="s">
        <v>206</v>
      </c>
      <c r="G115" s="22">
        <f>ABS(G116*0.4-G116)</f>
        <v>1221</v>
      </c>
      <c r="H115" s="21">
        <f>G115*50000</f>
        <v>61050000</v>
      </c>
      <c r="I115" s="21">
        <f>H115*12</f>
        <v>732600000</v>
      </c>
      <c r="K115" s="11">
        <f>H111+H115</f>
        <v>87252083.333333328</v>
      </c>
    </row>
    <row r="116" spans="6:11" x14ac:dyDescent="0.25">
      <c r="F116" s="20" t="s">
        <v>207</v>
      </c>
      <c r="G116" s="40">
        <v>2035</v>
      </c>
      <c r="H116" s="21">
        <f>G116*50000</f>
        <v>101750000</v>
      </c>
      <c r="I116" s="21">
        <f>H116*12</f>
        <v>1221000000</v>
      </c>
    </row>
    <row r="117" spans="6:11" x14ac:dyDescent="0.25">
      <c r="F117" s="20" t="s">
        <v>208</v>
      </c>
      <c r="G117" s="21">
        <f>G116-G115</f>
        <v>814</v>
      </c>
      <c r="H117" s="21">
        <f>H116-H115</f>
        <v>40700000</v>
      </c>
      <c r="I117" s="21">
        <f>I116-I115</f>
        <v>488400000</v>
      </c>
    </row>
    <row r="118" spans="6:11" x14ac:dyDescent="0.25">
      <c r="F118" s="28" t="s">
        <v>209</v>
      </c>
      <c r="G118" s="29">
        <f>G117+G113</f>
        <v>2375.9583333333335</v>
      </c>
      <c r="H118" s="29">
        <f>H113+H117</f>
        <v>118797916.66666667</v>
      </c>
      <c r="I118" s="29">
        <f>I113+I117</f>
        <v>1425575000</v>
      </c>
    </row>
  </sheetData>
  <mergeCells count="4">
    <mergeCell ref="A1:F1"/>
    <mergeCell ref="A59:F59"/>
    <mergeCell ref="G110:I110"/>
    <mergeCell ref="G114:I11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7" workbookViewId="0">
      <selection activeCell="D1" sqref="D1:E20"/>
    </sheetView>
  </sheetViews>
  <sheetFormatPr baseColWidth="10" defaultRowHeight="15" x14ac:dyDescent="0.25"/>
  <cols>
    <col min="2" max="2" width="15.85546875" bestFit="1" customWidth="1"/>
    <col min="4" max="4" width="21.5703125" bestFit="1" customWidth="1"/>
    <col min="5" max="5" width="18.28515625" customWidth="1"/>
    <col min="6" max="6" width="13.85546875" bestFit="1" customWidth="1"/>
    <col min="7" max="7" width="15.85546875" bestFit="1" customWidth="1"/>
    <col min="8" max="8" width="15.7109375" customWidth="1"/>
  </cols>
  <sheetData>
    <row r="1" spans="1:8" x14ac:dyDescent="0.25">
      <c r="A1" t="s">
        <v>44</v>
      </c>
      <c r="B1">
        <v>12</v>
      </c>
      <c r="D1" s="32" t="s">
        <v>47</v>
      </c>
      <c r="E1" s="32" t="s">
        <v>48</v>
      </c>
    </row>
    <row r="2" spans="1:8" x14ac:dyDescent="0.25">
      <c r="A2" t="s">
        <v>45</v>
      </c>
      <c r="B2" s="11">
        <v>3886</v>
      </c>
      <c r="D2" s="42" t="s">
        <v>46</v>
      </c>
      <c r="E2" s="42"/>
    </row>
    <row r="3" spans="1:8" x14ac:dyDescent="0.25">
      <c r="A3" t="s">
        <v>60</v>
      </c>
      <c r="B3" s="11">
        <f>(E18+E19)/B1</f>
        <v>20561223.722270954</v>
      </c>
      <c r="D3" s="27" t="s">
        <v>56</v>
      </c>
      <c r="E3" s="31">
        <v>7141552.9800000004</v>
      </c>
      <c r="G3" s="11">
        <f>SUM(E3:E5)</f>
        <v>40106663.980000004</v>
      </c>
    </row>
    <row r="4" spans="1:8" x14ac:dyDescent="0.25">
      <c r="D4" s="27" t="s">
        <v>57</v>
      </c>
      <c r="E4" s="31">
        <v>23250111</v>
      </c>
    </row>
    <row r="5" spans="1:8" x14ac:dyDescent="0.25">
      <c r="D5" s="25" t="s">
        <v>216</v>
      </c>
      <c r="E5" s="24">
        <f>B2*2500</f>
        <v>9715000</v>
      </c>
      <c r="G5" s="24">
        <f>B2*B1*500</f>
        <v>23316000</v>
      </c>
    </row>
    <row r="6" spans="1:8" x14ac:dyDescent="0.25">
      <c r="D6" s="42" t="s">
        <v>49</v>
      </c>
      <c r="E6" s="42"/>
      <c r="G6" s="11">
        <f>G5-E5</f>
        <v>13601000</v>
      </c>
      <c r="H6">
        <f>G6/B2</f>
        <v>3500</v>
      </c>
    </row>
    <row r="7" spans="1:8" x14ac:dyDescent="0.25">
      <c r="D7" s="23" t="s">
        <v>215</v>
      </c>
      <c r="E7" s="22">
        <f>B2*(25600+4700+G18)</f>
        <v>176369824.35538</v>
      </c>
      <c r="F7" s="11">
        <f>E7/(2*B2)</f>
        <v>22692.977914999999</v>
      </c>
    </row>
    <row r="8" spans="1:8" x14ac:dyDescent="0.25">
      <c r="D8" s="23" t="s">
        <v>51</v>
      </c>
      <c r="E8" s="22">
        <f>B2*7*3500</f>
        <v>95207000</v>
      </c>
    </row>
    <row r="9" spans="1:8" x14ac:dyDescent="0.25">
      <c r="D9" s="23" t="s">
        <v>64</v>
      </c>
      <c r="E9" s="22">
        <f>1700*B2*13</f>
        <v>85880600</v>
      </c>
    </row>
    <row r="10" spans="1:8" x14ac:dyDescent="0.25">
      <c r="D10" s="23" t="s">
        <v>52</v>
      </c>
      <c r="E10" s="22">
        <f>B2*3500</f>
        <v>13601000</v>
      </c>
    </row>
    <row r="11" spans="1:8" x14ac:dyDescent="0.25">
      <c r="D11" s="23" t="s">
        <v>63</v>
      </c>
      <c r="E11" s="22">
        <f>B2*900</f>
        <v>3497400</v>
      </c>
      <c r="G11">
        <f>1100-900</f>
        <v>200</v>
      </c>
    </row>
    <row r="12" spans="1:8" x14ac:dyDescent="0.25">
      <c r="D12" s="23" t="s">
        <v>54</v>
      </c>
      <c r="E12" s="22">
        <f>B2*2700</f>
        <v>10492200</v>
      </c>
    </row>
    <row r="13" spans="1:8" x14ac:dyDescent="0.25">
      <c r="D13" s="23" t="s">
        <v>55</v>
      </c>
      <c r="E13" s="22">
        <f>B2*19000</f>
        <v>73834000</v>
      </c>
      <c r="G13" s="11">
        <f>SUM(E7:E15)</f>
        <v>567690024.35538006</v>
      </c>
    </row>
    <row r="14" spans="1:8" x14ac:dyDescent="0.25">
      <c r="D14" s="23" t="s">
        <v>53</v>
      </c>
      <c r="E14" s="24">
        <f>B2*3500*6</f>
        <v>81606000</v>
      </c>
      <c r="G14" s="12" t="s">
        <v>75</v>
      </c>
    </row>
    <row r="15" spans="1:8" x14ac:dyDescent="0.25">
      <c r="D15" s="23" t="s">
        <v>61</v>
      </c>
      <c r="E15" s="24">
        <f>B2*7000</f>
        <v>27202000</v>
      </c>
    </row>
    <row r="16" spans="1:8" x14ac:dyDescent="0.25">
      <c r="D16" s="28" t="s">
        <v>59</v>
      </c>
      <c r="E16" s="29">
        <f>SUM(E7:E15)+SUM(E3:E5)</f>
        <v>607796688.33538008</v>
      </c>
    </row>
    <row r="17" spans="4:7" x14ac:dyDescent="0.25">
      <c r="D17" s="42" t="s">
        <v>50</v>
      </c>
      <c r="E17" s="42"/>
      <c r="G17">
        <v>22085.955829999999</v>
      </c>
    </row>
    <row r="18" spans="4:7" x14ac:dyDescent="0.25">
      <c r="D18" s="23" t="s">
        <v>210</v>
      </c>
      <c r="E18" s="26">
        <f>(908526+106453)*B1*6</f>
        <v>73078488</v>
      </c>
      <c r="G18">
        <f>G17-7000</f>
        <v>15085.955829999999</v>
      </c>
    </row>
    <row r="19" spans="4:7" x14ac:dyDescent="0.25">
      <c r="D19" s="23" t="s">
        <v>211</v>
      </c>
      <c r="E19" s="22">
        <f>(E16/3.5)</f>
        <v>173656196.66725144</v>
      </c>
    </row>
    <row r="20" spans="4:7" x14ac:dyDescent="0.25">
      <c r="D20" s="28" t="s">
        <v>62</v>
      </c>
      <c r="E20" s="29">
        <f>E16+SUM(E18:E19)</f>
        <v>854531373.00263155</v>
      </c>
      <c r="F20" s="11">
        <f>E19/(3*12)</f>
        <v>4823783.2407569848</v>
      </c>
    </row>
  </sheetData>
  <mergeCells count="3">
    <mergeCell ref="D2:E2"/>
    <mergeCell ref="D17:E17"/>
    <mergeCell ref="D6:E6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49" workbookViewId="0">
      <selection activeCell="K26" sqref="K26"/>
    </sheetView>
  </sheetViews>
  <sheetFormatPr baseColWidth="10" defaultRowHeight="15" x14ac:dyDescent="0.25"/>
  <cols>
    <col min="3" max="3" width="14.7109375" customWidth="1"/>
    <col min="4" max="5" width="14.28515625" customWidth="1"/>
    <col min="6" max="6" width="15" customWidth="1"/>
    <col min="7" max="7" width="13.7109375" customWidth="1"/>
  </cols>
  <sheetData>
    <row r="1" spans="1:7" ht="71.25" customHeight="1" x14ac:dyDescent="0.25">
      <c r="A1" s="19"/>
      <c r="B1" s="19"/>
      <c r="C1" s="19"/>
      <c r="D1" s="19"/>
      <c r="E1" s="19"/>
      <c r="F1" s="19"/>
      <c r="G1" s="19"/>
    </row>
    <row r="4" spans="1:7" ht="45" x14ac:dyDescent="0.25">
      <c r="A4" s="34" t="s">
        <v>68</v>
      </c>
      <c r="B4" s="34" t="s">
        <v>69</v>
      </c>
      <c r="C4" s="34" t="s">
        <v>70</v>
      </c>
      <c r="D4" s="34" t="s">
        <v>71</v>
      </c>
      <c r="E4" s="34" t="s">
        <v>72</v>
      </c>
      <c r="F4" s="34" t="s">
        <v>73</v>
      </c>
      <c r="G4" s="34" t="s">
        <v>74</v>
      </c>
    </row>
    <row r="5" spans="1:7" x14ac:dyDescent="0.25">
      <c r="A5" s="12">
        <v>0</v>
      </c>
      <c r="B5" s="35">
        <v>44531</v>
      </c>
      <c r="C5" s="12"/>
      <c r="D5" s="12"/>
      <c r="E5" s="12"/>
      <c r="F5" s="12" t="s">
        <v>75</v>
      </c>
      <c r="G5" s="12"/>
    </row>
    <row r="6" spans="1:7" x14ac:dyDescent="0.25">
      <c r="A6" s="12">
        <v>1</v>
      </c>
      <c r="B6" s="35">
        <v>44562</v>
      </c>
      <c r="C6" s="12" t="s">
        <v>78</v>
      </c>
      <c r="D6" s="12" t="s">
        <v>76</v>
      </c>
      <c r="E6" s="12" t="s">
        <v>79</v>
      </c>
      <c r="F6" s="12" t="s">
        <v>80</v>
      </c>
      <c r="G6" s="12" t="s">
        <v>81</v>
      </c>
    </row>
    <row r="7" spans="1:7" x14ac:dyDescent="0.25">
      <c r="A7" s="12">
        <v>2</v>
      </c>
      <c r="B7" s="35">
        <v>44593</v>
      </c>
      <c r="C7" s="12" t="s">
        <v>82</v>
      </c>
      <c r="D7" s="12" t="s">
        <v>83</v>
      </c>
      <c r="E7" s="12" t="s">
        <v>79</v>
      </c>
      <c r="F7" s="12" t="s">
        <v>84</v>
      </c>
      <c r="G7" s="12" t="s">
        <v>81</v>
      </c>
    </row>
    <row r="8" spans="1:7" x14ac:dyDescent="0.25">
      <c r="A8" s="12">
        <v>3</v>
      </c>
      <c r="B8" s="35">
        <v>44621</v>
      </c>
      <c r="C8" s="12" t="s">
        <v>85</v>
      </c>
      <c r="D8" s="12" t="s">
        <v>86</v>
      </c>
      <c r="E8" s="12" t="s">
        <v>79</v>
      </c>
      <c r="F8" s="12" t="s">
        <v>87</v>
      </c>
      <c r="G8" s="12" t="s">
        <v>81</v>
      </c>
    </row>
    <row r="9" spans="1:7" x14ac:dyDescent="0.25">
      <c r="A9" s="12">
        <v>4</v>
      </c>
      <c r="B9" s="35">
        <v>44652</v>
      </c>
      <c r="C9" s="12" t="s">
        <v>88</v>
      </c>
      <c r="D9" s="12" t="s">
        <v>89</v>
      </c>
      <c r="E9" s="12" t="s">
        <v>79</v>
      </c>
      <c r="F9" s="12" t="s">
        <v>90</v>
      </c>
      <c r="G9" s="12" t="s">
        <v>81</v>
      </c>
    </row>
    <row r="10" spans="1:7" x14ac:dyDescent="0.25">
      <c r="A10" s="12">
        <v>5</v>
      </c>
      <c r="B10" s="35">
        <v>44682</v>
      </c>
      <c r="C10" s="12" t="s">
        <v>91</v>
      </c>
      <c r="D10" s="12" t="s">
        <v>92</v>
      </c>
      <c r="E10" s="12" t="s">
        <v>79</v>
      </c>
      <c r="F10" s="12" t="s">
        <v>93</v>
      </c>
      <c r="G10" s="12" t="s">
        <v>81</v>
      </c>
    </row>
    <row r="11" spans="1:7" x14ac:dyDescent="0.25">
      <c r="A11" s="12">
        <v>6</v>
      </c>
      <c r="B11" s="35">
        <v>44713</v>
      </c>
      <c r="C11" s="12" t="s">
        <v>94</v>
      </c>
      <c r="D11" s="12" t="s">
        <v>95</v>
      </c>
      <c r="E11" s="12" t="s">
        <v>79</v>
      </c>
      <c r="F11" s="12" t="s">
        <v>96</v>
      </c>
      <c r="G11" s="12" t="s">
        <v>81</v>
      </c>
    </row>
    <row r="12" spans="1:7" x14ac:dyDescent="0.25">
      <c r="A12" s="12">
        <v>7</v>
      </c>
      <c r="B12" s="35">
        <v>44743</v>
      </c>
      <c r="C12" s="12" t="s">
        <v>97</v>
      </c>
      <c r="D12" s="12" t="s">
        <v>98</v>
      </c>
      <c r="E12" s="12" t="s">
        <v>79</v>
      </c>
      <c r="F12" s="12" t="s">
        <v>99</v>
      </c>
      <c r="G12" s="12" t="s">
        <v>81</v>
      </c>
    </row>
    <row r="13" spans="1:7" x14ac:dyDescent="0.25">
      <c r="A13" s="12">
        <v>8</v>
      </c>
      <c r="B13" s="35">
        <v>44774</v>
      </c>
      <c r="C13" s="12" t="s">
        <v>100</v>
      </c>
      <c r="D13" s="12" t="s">
        <v>101</v>
      </c>
      <c r="E13" s="12" t="s">
        <v>79</v>
      </c>
      <c r="F13" s="12" t="s">
        <v>102</v>
      </c>
      <c r="G13" s="12" t="s">
        <v>81</v>
      </c>
    </row>
    <row r="14" spans="1:7" x14ac:dyDescent="0.25">
      <c r="A14" s="12">
        <v>9</v>
      </c>
      <c r="B14" s="35">
        <v>44805</v>
      </c>
      <c r="C14" s="12" t="s">
        <v>103</v>
      </c>
      <c r="D14" s="12" t="s">
        <v>104</v>
      </c>
      <c r="E14" s="12" t="s">
        <v>79</v>
      </c>
      <c r="F14" s="12" t="s">
        <v>105</v>
      </c>
      <c r="G14" s="12" t="s">
        <v>81</v>
      </c>
    </row>
    <row r="15" spans="1:7" x14ac:dyDescent="0.25">
      <c r="A15" s="12">
        <v>10</v>
      </c>
      <c r="B15" s="35">
        <v>44835</v>
      </c>
      <c r="C15" s="12" t="s">
        <v>106</v>
      </c>
      <c r="D15" s="12" t="s">
        <v>107</v>
      </c>
      <c r="E15" s="12" t="s">
        <v>79</v>
      </c>
      <c r="F15" s="12" t="s">
        <v>108</v>
      </c>
      <c r="G15" s="12" t="s">
        <v>81</v>
      </c>
    </row>
    <row r="16" spans="1:7" x14ac:dyDescent="0.25">
      <c r="A16" s="12">
        <v>11</v>
      </c>
      <c r="B16" s="35">
        <v>44866</v>
      </c>
      <c r="C16" s="12" t="s">
        <v>109</v>
      </c>
      <c r="D16" s="12" t="s">
        <v>110</v>
      </c>
      <c r="E16" s="12" t="s">
        <v>79</v>
      </c>
      <c r="F16" s="12" t="s">
        <v>111</v>
      </c>
      <c r="G16" s="12" t="s">
        <v>81</v>
      </c>
    </row>
    <row r="17" spans="1:7" x14ac:dyDescent="0.25">
      <c r="A17" s="12">
        <v>12</v>
      </c>
      <c r="B17" s="35">
        <v>44896</v>
      </c>
      <c r="C17" s="12" t="s">
        <v>111</v>
      </c>
      <c r="D17" s="12" t="s">
        <v>112</v>
      </c>
      <c r="E17" s="12" t="s">
        <v>79</v>
      </c>
      <c r="F17" s="12" t="s">
        <v>77</v>
      </c>
      <c r="G17" s="12" t="s">
        <v>81</v>
      </c>
    </row>
    <row r="20" spans="1:7" x14ac:dyDescent="0.25">
      <c r="A20" s="19"/>
      <c r="B20" s="19"/>
      <c r="C20" s="19"/>
      <c r="D20" s="19"/>
      <c r="E20" s="19"/>
      <c r="F20" s="19"/>
      <c r="G20" s="19"/>
    </row>
    <row r="21" spans="1:7" x14ac:dyDescent="0.25">
      <c r="A21" s="19"/>
      <c r="B21" s="19"/>
      <c r="C21" s="19"/>
      <c r="D21" s="19"/>
      <c r="E21" s="19"/>
      <c r="F21" s="19"/>
      <c r="G21" s="19"/>
    </row>
    <row r="22" spans="1:7" x14ac:dyDescent="0.25">
      <c r="A22" s="19"/>
      <c r="B22" s="19"/>
      <c r="C22" s="19"/>
      <c r="D22" s="19"/>
      <c r="E22" s="19"/>
      <c r="F22" s="19"/>
      <c r="G22" s="19"/>
    </row>
    <row r="23" spans="1:7" x14ac:dyDescent="0.25">
      <c r="A23" s="19"/>
      <c r="B23" s="19"/>
      <c r="C23" s="19"/>
      <c r="D23" s="19"/>
      <c r="E23" s="19"/>
      <c r="F23" s="19"/>
      <c r="G23" s="19"/>
    </row>
    <row r="24" spans="1:7" x14ac:dyDescent="0.25">
      <c r="A24" s="19"/>
      <c r="B24" s="19"/>
      <c r="C24" s="19"/>
      <c r="D24" s="19"/>
      <c r="E24" s="19"/>
      <c r="F24" s="19"/>
      <c r="G24" s="19"/>
    </row>
    <row r="26" spans="1:7" ht="45" x14ac:dyDescent="0.25">
      <c r="A26" s="34" t="s">
        <v>68</v>
      </c>
      <c r="B26" s="34" t="s">
        <v>69</v>
      </c>
      <c r="C26" s="34" t="s">
        <v>70</v>
      </c>
      <c r="D26" s="34" t="s">
        <v>71</v>
      </c>
      <c r="E26" s="34" t="s">
        <v>72</v>
      </c>
      <c r="F26" s="34" t="s">
        <v>73</v>
      </c>
      <c r="G26" s="34" t="s">
        <v>74</v>
      </c>
    </row>
    <row r="27" spans="1:7" x14ac:dyDescent="0.25">
      <c r="A27" s="12">
        <v>0</v>
      </c>
      <c r="B27" s="35">
        <v>44531</v>
      </c>
      <c r="C27" s="12"/>
      <c r="D27" s="12"/>
      <c r="E27" s="12"/>
      <c r="F27" s="12" t="s">
        <v>75</v>
      </c>
      <c r="G27" s="12"/>
    </row>
    <row r="28" spans="1:7" x14ac:dyDescent="0.25">
      <c r="A28" s="12">
        <v>1</v>
      </c>
      <c r="B28" s="35">
        <v>44562</v>
      </c>
      <c r="C28" s="12" t="s">
        <v>116</v>
      </c>
      <c r="D28" s="12" t="s">
        <v>76</v>
      </c>
      <c r="E28" s="12" t="s">
        <v>117</v>
      </c>
      <c r="F28" s="12" t="s">
        <v>118</v>
      </c>
      <c r="G28" s="12" t="s">
        <v>119</v>
      </c>
    </row>
    <row r="29" spans="1:7" x14ac:dyDescent="0.25">
      <c r="A29" s="12">
        <v>2</v>
      </c>
      <c r="B29" s="35">
        <v>44593</v>
      </c>
      <c r="C29" s="12" t="s">
        <v>120</v>
      </c>
      <c r="D29" s="12" t="s">
        <v>121</v>
      </c>
      <c r="E29" s="12" t="s">
        <v>117</v>
      </c>
      <c r="F29" s="12" t="s">
        <v>122</v>
      </c>
      <c r="G29" s="12" t="s">
        <v>119</v>
      </c>
    </row>
    <row r="30" spans="1:7" x14ac:dyDescent="0.25">
      <c r="A30" s="12">
        <v>3</v>
      </c>
      <c r="B30" s="35">
        <v>44621</v>
      </c>
      <c r="C30" s="12" t="s">
        <v>123</v>
      </c>
      <c r="D30" s="12" t="s">
        <v>124</v>
      </c>
      <c r="E30" s="12" t="s">
        <v>117</v>
      </c>
      <c r="F30" s="12" t="s">
        <v>125</v>
      </c>
      <c r="G30" s="12" t="s">
        <v>119</v>
      </c>
    </row>
    <row r="31" spans="1:7" x14ac:dyDescent="0.25">
      <c r="A31" s="12">
        <v>4</v>
      </c>
      <c r="B31" s="35">
        <v>44652</v>
      </c>
      <c r="C31" s="12" t="s">
        <v>126</v>
      </c>
      <c r="D31" s="12" t="s">
        <v>127</v>
      </c>
      <c r="E31" s="12" t="s">
        <v>117</v>
      </c>
      <c r="F31" s="12" t="s">
        <v>128</v>
      </c>
      <c r="G31" s="12" t="s">
        <v>119</v>
      </c>
    </row>
    <row r="32" spans="1:7" x14ac:dyDescent="0.25">
      <c r="A32" s="12">
        <v>5</v>
      </c>
      <c r="B32" s="35">
        <v>44682</v>
      </c>
      <c r="C32" s="12" t="s">
        <v>129</v>
      </c>
      <c r="D32" s="12" t="s">
        <v>130</v>
      </c>
      <c r="E32" s="12" t="s">
        <v>117</v>
      </c>
      <c r="F32" s="12" t="s">
        <v>131</v>
      </c>
      <c r="G32" s="12" t="s">
        <v>119</v>
      </c>
    </row>
    <row r="33" spans="1:7" x14ac:dyDescent="0.25">
      <c r="A33" s="12">
        <v>6</v>
      </c>
      <c r="B33" s="35">
        <v>44713</v>
      </c>
      <c r="C33" s="12" t="s">
        <v>132</v>
      </c>
      <c r="D33" s="12" t="s">
        <v>133</v>
      </c>
      <c r="E33" s="12" t="s">
        <v>117</v>
      </c>
      <c r="F33" s="12" t="s">
        <v>134</v>
      </c>
      <c r="G33" s="12" t="s">
        <v>119</v>
      </c>
    </row>
    <row r="34" spans="1:7" x14ac:dyDescent="0.25">
      <c r="A34" s="12">
        <v>7</v>
      </c>
      <c r="B34" s="35">
        <v>44743</v>
      </c>
      <c r="C34" s="12" t="s">
        <v>135</v>
      </c>
      <c r="D34" s="12" t="s">
        <v>136</v>
      </c>
      <c r="E34" s="12" t="s">
        <v>117</v>
      </c>
      <c r="F34" s="12" t="s">
        <v>137</v>
      </c>
      <c r="G34" s="12" t="s">
        <v>119</v>
      </c>
    </row>
    <row r="35" spans="1:7" x14ac:dyDescent="0.25">
      <c r="A35" s="12">
        <v>8</v>
      </c>
      <c r="B35" s="35">
        <v>44774</v>
      </c>
      <c r="C35" s="12" t="s">
        <v>138</v>
      </c>
      <c r="D35" s="12" t="s">
        <v>139</v>
      </c>
      <c r="E35" s="12" t="s">
        <v>117</v>
      </c>
      <c r="F35" s="12" t="s">
        <v>140</v>
      </c>
      <c r="G35" s="12" t="s">
        <v>119</v>
      </c>
    </row>
    <row r="36" spans="1:7" x14ac:dyDescent="0.25">
      <c r="A36" s="12">
        <v>9</v>
      </c>
      <c r="B36" s="35">
        <v>44805</v>
      </c>
      <c r="C36" s="12" t="s">
        <v>141</v>
      </c>
      <c r="D36" s="12" t="s">
        <v>142</v>
      </c>
      <c r="E36" s="12" t="s">
        <v>117</v>
      </c>
      <c r="F36" s="12" t="s">
        <v>143</v>
      </c>
      <c r="G36" s="12" t="s">
        <v>119</v>
      </c>
    </row>
    <row r="37" spans="1:7" x14ac:dyDescent="0.25">
      <c r="A37" s="12">
        <v>10</v>
      </c>
      <c r="B37" s="35">
        <v>44835</v>
      </c>
      <c r="C37" s="12" t="s">
        <v>144</v>
      </c>
      <c r="D37" s="12" t="s">
        <v>145</v>
      </c>
      <c r="E37" s="12" t="s">
        <v>117</v>
      </c>
      <c r="F37" s="12" t="s">
        <v>146</v>
      </c>
      <c r="G37" s="12" t="s">
        <v>119</v>
      </c>
    </row>
    <row r="38" spans="1:7" x14ac:dyDescent="0.25">
      <c r="A38" s="12">
        <v>11</v>
      </c>
      <c r="B38" s="35">
        <v>44866</v>
      </c>
      <c r="C38" s="12" t="s">
        <v>147</v>
      </c>
      <c r="D38" s="12" t="s">
        <v>148</v>
      </c>
      <c r="E38" s="12" t="s">
        <v>117</v>
      </c>
      <c r="F38" s="12" t="s">
        <v>149</v>
      </c>
      <c r="G38" s="12" t="s">
        <v>119</v>
      </c>
    </row>
    <row r="39" spans="1:7" x14ac:dyDescent="0.25">
      <c r="A39" s="12">
        <v>12</v>
      </c>
      <c r="B39" s="35">
        <v>44896</v>
      </c>
      <c r="C39" s="12" t="s">
        <v>150</v>
      </c>
      <c r="D39" s="12" t="s">
        <v>151</v>
      </c>
      <c r="E39" s="12" t="s">
        <v>117</v>
      </c>
      <c r="F39" s="12" t="s">
        <v>152</v>
      </c>
      <c r="G39" s="12" t="s">
        <v>119</v>
      </c>
    </row>
    <row r="40" spans="1:7" x14ac:dyDescent="0.25">
      <c r="A40" s="12">
        <v>13</v>
      </c>
      <c r="B40" s="35">
        <v>44927</v>
      </c>
      <c r="C40" s="12" t="s">
        <v>153</v>
      </c>
      <c r="D40" s="12" t="s">
        <v>154</v>
      </c>
      <c r="E40" s="12" t="s">
        <v>117</v>
      </c>
      <c r="F40" s="12" t="s">
        <v>155</v>
      </c>
      <c r="G40" s="12" t="s">
        <v>119</v>
      </c>
    </row>
    <row r="41" spans="1:7" x14ac:dyDescent="0.25">
      <c r="A41" s="12">
        <v>14</v>
      </c>
      <c r="B41" s="35">
        <v>44958</v>
      </c>
      <c r="C41" s="12" t="s">
        <v>156</v>
      </c>
      <c r="D41" s="12" t="s">
        <v>157</v>
      </c>
      <c r="E41" s="12" t="s">
        <v>117</v>
      </c>
      <c r="F41" s="12" t="s">
        <v>158</v>
      </c>
      <c r="G41" s="12" t="s">
        <v>119</v>
      </c>
    </row>
    <row r="42" spans="1:7" x14ac:dyDescent="0.25">
      <c r="A42" s="12">
        <v>15</v>
      </c>
      <c r="B42" s="35">
        <v>44986</v>
      </c>
      <c r="C42" s="12" t="s">
        <v>159</v>
      </c>
      <c r="D42" s="12" t="s">
        <v>160</v>
      </c>
      <c r="E42" s="12" t="s">
        <v>117</v>
      </c>
      <c r="F42" s="12" t="s">
        <v>161</v>
      </c>
      <c r="G42" s="12" t="s">
        <v>119</v>
      </c>
    </row>
    <row r="43" spans="1:7" x14ac:dyDescent="0.25">
      <c r="A43" s="12">
        <v>16</v>
      </c>
      <c r="B43" s="35">
        <v>45017</v>
      </c>
      <c r="C43" s="12" t="s">
        <v>162</v>
      </c>
      <c r="D43" s="12" t="s">
        <v>163</v>
      </c>
      <c r="E43" s="12" t="s">
        <v>117</v>
      </c>
      <c r="F43" s="12" t="s">
        <v>164</v>
      </c>
      <c r="G43" s="12" t="s">
        <v>119</v>
      </c>
    </row>
    <row r="44" spans="1:7" x14ac:dyDescent="0.25">
      <c r="A44" s="12">
        <v>17</v>
      </c>
      <c r="B44" s="35">
        <v>45047</v>
      </c>
      <c r="C44" s="12" t="s">
        <v>165</v>
      </c>
      <c r="D44" s="12" t="s">
        <v>166</v>
      </c>
      <c r="E44" s="12" t="s">
        <v>117</v>
      </c>
      <c r="F44" s="12" t="s">
        <v>167</v>
      </c>
      <c r="G44" s="12" t="s">
        <v>119</v>
      </c>
    </row>
    <row r="45" spans="1:7" x14ac:dyDescent="0.25">
      <c r="A45" s="12">
        <v>18</v>
      </c>
      <c r="B45" s="35">
        <v>45078</v>
      </c>
      <c r="C45" s="12" t="s">
        <v>168</v>
      </c>
      <c r="D45" s="12" t="s">
        <v>169</v>
      </c>
      <c r="E45" s="12" t="s">
        <v>117</v>
      </c>
      <c r="F45" s="12" t="s">
        <v>170</v>
      </c>
      <c r="G45" s="12" t="s">
        <v>119</v>
      </c>
    </row>
    <row r="46" spans="1:7" x14ac:dyDescent="0.25">
      <c r="A46" s="12">
        <v>19</v>
      </c>
      <c r="B46" s="35">
        <v>45108</v>
      </c>
      <c r="C46" s="12" t="s">
        <v>171</v>
      </c>
      <c r="D46" s="12" t="s">
        <v>172</v>
      </c>
      <c r="E46" s="12" t="s">
        <v>117</v>
      </c>
      <c r="F46" s="12" t="s">
        <v>173</v>
      </c>
      <c r="G46" s="12" t="s">
        <v>119</v>
      </c>
    </row>
    <row r="47" spans="1:7" x14ac:dyDescent="0.25">
      <c r="A47" s="12">
        <v>20</v>
      </c>
      <c r="B47" s="35">
        <v>45139</v>
      </c>
      <c r="C47" s="12" t="s">
        <v>174</v>
      </c>
      <c r="D47" s="12" t="s">
        <v>175</v>
      </c>
      <c r="E47" s="12" t="s">
        <v>117</v>
      </c>
      <c r="F47" s="12" t="s">
        <v>176</v>
      </c>
      <c r="G47" s="12" t="s">
        <v>119</v>
      </c>
    </row>
    <row r="48" spans="1:7" x14ac:dyDescent="0.25">
      <c r="A48" s="12">
        <v>21</v>
      </c>
      <c r="B48" s="35">
        <v>45170</v>
      </c>
      <c r="C48" s="12" t="s">
        <v>177</v>
      </c>
      <c r="D48" s="12" t="s">
        <v>178</v>
      </c>
      <c r="E48" s="12" t="s">
        <v>117</v>
      </c>
      <c r="F48" s="12" t="s">
        <v>179</v>
      </c>
      <c r="G48" s="12" t="s">
        <v>119</v>
      </c>
    </row>
    <row r="49" spans="1:7" x14ac:dyDescent="0.25">
      <c r="A49" s="12">
        <v>22</v>
      </c>
      <c r="B49" s="35">
        <v>45200</v>
      </c>
      <c r="C49" s="12" t="s">
        <v>180</v>
      </c>
      <c r="D49" s="12" t="s">
        <v>181</v>
      </c>
      <c r="E49" s="12" t="s">
        <v>117</v>
      </c>
      <c r="F49" s="12" t="s">
        <v>182</v>
      </c>
      <c r="G49" s="12" t="s">
        <v>119</v>
      </c>
    </row>
    <row r="50" spans="1:7" x14ac:dyDescent="0.25">
      <c r="A50" s="12">
        <v>23</v>
      </c>
      <c r="B50" s="35">
        <v>45231</v>
      </c>
      <c r="C50" s="12" t="s">
        <v>183</v>
      </c>
      <c r="D50" s="12" t="s">
        <v>184</v>
      </c>
      <c r="E50" s="12" t="s">
        <v>117</v>
      </c>
      <c r="F50" s="12" t="s">
        <v>185</v>
      </c>
      <c r="G50" s="12" t="s">
        <v>119</v>
      </c>
    </row>
    <row r="51" spans="1:7" x14ac:dyDescent="0.25">
      <c r="A51" s="12">
        <v>24</v>
      </c>
      <c r="B51" s="35">
        <v>45261</v>
      </c>
      <c r="C51" s="12" t="s">
        <v>185</v>
      </c>
      <c r="D51" s="12" t="s">
        <v>186</v>
      </c>
      <c r="E51" s="12" t="s">
        <v>117</v>
      </c>
      <c r="F51" s="12" t="s">
        <v>77</v>
      </c>
      <c r="G51" s="12" t="s">
        <v>119</v>
      </c>
    </row>
  </sheetData>
  <mergeCells count="2">
    <mergeCell ref="A1:G1"/>
    <mergeCell ref="A20:G2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33"/>
  <sheetViews>
    <sheetView tabSelected="1" topLeftCell="A13" workbookViewId="0">
      <selection activeCell="D20" sqref="D20"/>
    </sheetView>
  </sheetViews>
  <sheetFormatPr baseColWidth="10" defaultRowHeight="15" x14ac:dyDescent="0.25"/>
  <cols>
    <col min="1" max="1" width="22.85546875" customWidth="1"/>
    <col min="2" max="2" width="18.5703125" bestFit="1" customWidth="1"/>
    <col min="3" max="4" width="16.7109375" bestFit="1" customWidth="1"/>
    <col min="5" max="5" width="18.28515625" bestFit="1" customWidth="1"/>
    <col min="6" max="8" width="16.7109375" bestFit="1" customWidth="1"/>
    <col min="9" max="10" width="17.5703125" bestFit="1" customWidth="1"/>
    <col min="11" max="11" width="16.7109375" bestFit="1" customWidth="1"/>
    <col min="12" max="12" width="17.5703125" bestFit="1" customWidth="1"/>
    <col min="13" max="13" width="16.7109375" bestFit="1" customWidth="1"/>
    <col min="14" max="26" width="17.5703125" bestFit="1" customWidth="1"/>
  </cols>
  <sheetData>
    <row r="3" spans="1:26" x14ac:dyDescent="0.25">
      <c r="A3" s="33"/>
      <c r="B3" s="33"/>
    </row>
    <row r="4" spans="1:26" x14ac:dyDescent="0.25">
      <c r="A4" s="33"/>
      <c r="B4" s="33"/>
    </row>
    <row r="5" spans="1:26" x14ac:dyDescent="0.25">
      <c r="A5" s="48" t="s">
        <v>187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x14ac:dyDescent="0.25">
      <c r="A6" s="36" t="s">
        <v>113</v>
      </c>
      <c r="B6" s="36">
        <v>0</v>
      </c>
      <c r="C6" s="36">
        <v>1</v>
      </c>
      <c r="D6" s="36">
        <v>2</v>
      </c>
      <c r="E6" s="36">
        <v>3</v>
      </c>
      <c r="F6" s="36">
        <v>4</v>
      </c>
      <c r="G6" s="36">
        <v>5</v>
      </c>
      <c r="H6" s="36">
        <v>6</v>
      </c>
      <c r="I6" s="36">
        <v>7</v>
      </c>
      <c r="J6" s="36">
        <v>8</v>
      </c>
      <c r="K6" s="36">
        <v>9</v>
      </c>
      <c r="L6" s="36">
        <v>10</v>
      </c>
      <c r="M6" s="36">
        <v>11</v>
      </c>
      <c r="N6" s="36">
        <v>12</v>
      </c>
      <c r="O6" s="36">
        <v>13</v>
      </c>
      <c r="P6" s="36">
        <v>14</v>
      </c>
      <c r="Q6" s="36">
        <v>15</v>
      </c>
      <c r="R6" s="36">
        <v>16</v>
      </c>
      <c r="S6" s="36">
        <v>17</v>
      </c>
      <c r="T6" s="36">
        <v>18</v>
      </c>
      <c r="U6" s="36">
        <v>19</v>
      </c>
      <c r="V6" s="36">
        <v>20</v>
      </c>
      <c r="W6" s="36">
        <v>21</v>
      </c>
      <c r="X6" s="36">
        <v>22</v>
      </c>
      <c r="Y6" s="36">
        <v>23</v>
      </c>
      <c r="Z6" s="36">
        <v>24</v>
      </c>
    </row>
    <row r="7" spans="1:26" x14ac:dyDescent="0.25">
      <c r="A7" t="s">
        <v>188</v>
      </c>
      <c r="B7">
        <v>0</v>
      </c>
      <c r="C7" s="11">
        <f>Hoja2!$H$112+Hoja2!$H$116</f>
        <v>206050000</v>
      </c>
      <c r="D7" s="11">
        <f>Hoja2!$H$112+Hoja2!$H$116</f>
        <v>206050000</v>
      </c>
      <c r="E7" s="11">
        <f>Hoja2!$H$112+Hoja2!$H$116</f>
        <v>206050000</v>
      </c>
      <c r="F7" s="11">
        <f>Hoja2!$H$112+Hoja2!$H$116</f>
        <v>206050000</v>
      </c>
      <c r="G7" s="11">
        <f>Hoja2!$H$112+Hoja2!$H$116</f>
        <v>206050000</v>
      </c>
      <c r="H7" s="11">
        <f>Hoja2!$H$112+Hoja2!$H$116</f>
        <v>206050000</v>
      </c>
      <c r="I7" s="11">
        <f>Hoja2!$H$112+Hoja2!$H$116</f>
        <v>206050000</v>
      </c>
      <c r="J7" s="11">
        <f>Hoja2!$H$112+Hoja2!$H$116</f>
        <v>206050000</v>
      </c>
      <c r="K7" s="11">
        <f>Hoja2!$H$112+Hoja2!$H$116</f>
        <v>206050000</v>
      </c>
      <c r="L7" s="11">
        <f>Hoja2!$H$112+Hoja2!$H$116</f>
        <v>206050000</v>
      </c>
      <c r="M7" s="11">
        <f>Hoja2!$H$112+Hoja2!$H$116</f>
        <v>206050000</v>
      </c>
      <c r="N7" s="11">
        <f>Hoja2!$H$112+Hoja2!$H$116</f>
        <v>206050000</v>
      </c>
      <c r="O7" s="11">
        <f>Hoja2!$H$112+Hoja2!$H$116</f>
        <v>206050000</v>
      </c>
      <c r="P7" s="11">
        <f>Hoja2!$H$112+Hoja2!$H$116</f>
        <v>206050000</v>
      </c>
      <c r="Q7" s="11">
        <f>Hoja2!$H$112+Hoja2!$H$116</f>
        <v>206050000</v>
      </c>
      <c r="R7" s="11">
        <f>Hoja2!$H$112+Hoja2!$H$116</f>
        <v>206050000</v>
      </c>
      <c r="S7" s="11">
        <f>Hoja2!$H$112+Hoja2!$H$116</f>
        <v>206050000</v>
      </c>
      <c r="T7" s="11">
        <f>Hoja2!$H$112+Hoja2!$H$116</f>
        <v>206050000</v>
      </c>
      <c r="U7" s="11">
        <f>Hoja2!$H$112+Hoja2!$H$116</f>
        <v>206050000</v>
      </c>
      <c r="V7" s="11">
        <f>Hoja2!$H$112+Hoja2!$H$116</f>
        <v>206050000</v>
      </c>
      <c r="W7" s="11">
        <f>Hoja2!$H$112+Hoja2!$H$116</f>
        <v>206050000</v>
      </c>
      <c r="X7" s="11">
        <f>Hoja2!$H$112+Hoja2!$H$116</f>
        <v>206050000</v>
      </c>
      <c r="Y7" s="11">
        <f>Hoja2!$H$112+Hoja2!$H$116</f>
        <v>206050000</v>
      </c>
      <c r="Z7" s="11">
        <f>Hoja2!$H$112+Hoja2!$H$116</f>
        <v>206050000</v>
      </c>
    </row>
    <row r="8" spans="1:26" x14ac:dyDescent="0.25">
      <c r="A8" t="s">
        <v>189</v>
      </c>
      <c r="B8">
        <v>0</v>
      </c>
      <c r="C8" s="11">
        <f>Hoja3!$B$3+Hoja2!$H$115+Hoja2!$H$111+250000</f>
        <v>108063307.05560428</v>
      </c>
      <c r="D8" s="11">
        <f>Hoja3!$B$3+Hoja2!$H$115+Hoja2!$H$111+250000</f>
        <v>108063307.05560428</v>
      </c>
      <c r="E8" s="11">
        <f>Hoja3!$B$3+Hoja2!$H$115+Hoja2!$H$111+250000</f>
        <v>108063307.05560428</v>
      </c>
      <c r="F8" s="11">
        <f>Hoja3!$B$3+Hoja2!$H$115+Hoja2!$H$111+250000</f>
        <v>108063307.05560428</v>
      </c>
      <c r="G8" s="11">
        <f>Hoja3!$B$3+Hoja2!$H$115+Hoja2!$H$111+250000</f>
        <v>108063307.05560428</v>
      </c>
      <c r="H8" s="11">
        <f>Hoja3!$B$3+Hoja2!$H$115+Hoja2!$H$111+250000</f>
        <v>108063307.05560428</v>
      </c>
      <c r="I8" s="11">
        <f>Hoja3!$B$3+Hoja2!$H$115+Hoja2!$H$111+250000</f>
        <v>108063307.05560428</v>
      </c>
      <c r="J8" s="11">
        <f>Hoja3!$B$3+Hoja2!$H$115+Hoja2!$H$111+250000</f>
        <v>108063307.05560428</v>
      </c>
      <c r="K8" s="11">
        <f>Hoja3!$B$3+Hoja2!$H$115+Hoja2!$H$111+250000</f>
        <v>108063307.05560428</v>
      </c>
      <c r="L8" s="11">
        <f>Hoja3!$B$3+Hoja2!$H$115+Hoja2!$H$111+250000</f>
        <v>108063307.05560428</v>
      </c>
      <c r="M8" s="11">
        <f>Hoja3!$B$3+Hoja2!$H$115+Hoja2!$H$111+250000</f>
        <v>108063307.05560428</v>
      </c>
      <c r="N8" s="11">
        <f>Hoja3!$B$3+Hoja2!$H$115+Hoja2!$H$111+250000</f>
        <v>108063307.05560428</v>
      </c>
      <c r="O8" s="11">
        <f>Hoja3!$B$3+Hoja2!$H$115+Hoja2!$H$111+250000</f>
        <v>108063307.05560428</v>
      </c>
      <c r="P8" s="11">
        <f>Hoja3!$B$3+Hoja2!$H$115+Hoja2!$H$111+250000</f>
        <v>108063307.05560428</v>
      </c>
      <c r="Q8" s="11">
        <f>Hoja3!$B$3+Hoja2!$H$115+Hoja2!$H$111+250000</f>
        <v>108063307.05560428</v>
      </c>
      <c r="R8" s="11">
        <f>Hoja3!$B$3+Hoja2!$H$115+Hoja2!$H$111+250000</f>
        <v>108063307.05560428</v>
      </c>
      <c r="S8" s="11">
        <f>Hoja3!$B$3+Hoja2!$H$115+Hoja2!$H$111+250000</f>
        <v>108063307.05560428</v>
      </c>
      <c r="T8" s="11">
        <f>Hoja3!$B$3+Hoja2!$H$115+Hoja2!$H$111+250000</f>
        <v>108063307.05560428</v>
      </c>
      <c r="U8" s="11">
        <f>Hoja3!$B$3+Hoja2!$H$115+Hoja2!$H$111+250000</f>
        <v>108063307.05560428</v>
      </c>
      <c r="V8" s="11">
        <f>Hoja3!$B$3+Hoja2!$H$115+Hoja2!$H$111+250000</f>
        <v>108063307.05560428</v>
      </c>
      <c r="W8" s="11">
        <f>Hoja3!$B$3+Hoja2!$H$115+Hoja2!$H$111+250000</f>
        <v>108063307.05560428</v>
      </c>
      <c r="X8" s="11">
        <f>Hoja3!$B$3+Hoja2!$H$115+Hoja2!$H$111+250000</f>
        <v>108063307.05560428</v>
      </c>
      <c r="Y8" s="11">
        <f>Hoja3!$B$3+Hoja2!$H$115+Hoja2!$H$111+250000</f>
        <v>108063307.05560428</v>
      </c>
      <c r="Z8" s="11">
        <f>Hoja3!$B$3+Hoja2!$H$115+Hoja2!$H$111+250000</f>
        <v>108063307.05560428</v>
      </c>
    </row>
    <row r="9" spans="1:26" x14ac:dyDescent="0.25">
      <c r="A9" s="30" t="s">
        <v>114</v>
      </c>
      <c r="B9">
        <v>0</v>
      </c>
      <c r="C9" s="11">
        <f>C7-C8</f>
        <v>97986692.944395721</v>
      </c>
      <c r="D9" s="11">
        <f t="shared" ref="D9:Z9" si="0">D7-D8</f>
        <v>97986692.944395721</v>
      </c>
      <c r="E9" s="11">
        <f t="shared" si="0"/>
        <v>97986692.944395721</v>
      </c>
      <c r="F9" s="11">
        <f t="shared" si="0"/>
        <v>97986692.944395721</v>
      </c>
      <c r="G9" s="11">
        <f t="shared" si="0"/>
        <v>97986692.944395721</v>
      </c>
      <c r="H9" s="11">
        <f t="shared" si="0"/>
        <v>97986692.944395721</v>
      </c>
      <c r="I9" s="11">
        <f t="shared" si="0"/>
        <v>97986692.944395721</v>
      </c>
      <c r="J9" s="11">
        <f t="shared" si="0"/>
        <v>97986692.944395721</v>
      </c>
      <c r="K9" s="11">
        <f t="shared" si="0"/>
        <v>97986692.944395721</v>
      </c>
      <c r="L9" s="11">
        <f t="shared" si="0"/>
        <v>97986692.944395721</v>
      </c>
      <c r="M9" s="11">
        <f t="shared" si="0"/>
        <v>97986692.944395721</v>
      </c>
      <c r="N9" s="11">
        <f t="shared" si="0"/>
        <v>97986692.944395721</v>
      </c>
      <c r="O9" s="11">
        <f t="shared" si="0"/>
        <v>97986692.944395721</v>
      </c>
      <c r="P9" s="11">
        <f t="shared" si="0"/>
        <v>97986692.944395721</v>
      </c>
      <c r="Q9" s="11">
        <f t="shared" si="0"/>
        <v>97986692.944395721</v>
      </c>
      <c r="R9" s="11">
        <f t="shared" si="0"/>
        <v>97986692.944395721</v>
      </c>
      <c r="S9" s="11">
        <f t="shared" si="0"/>
        <v>97986692.944395721</v>
      </c>
      <c r="T9" s="11">
        <f t="shared" si="0"/>
        <v>97986692.944395721</v>
      </c>
      <c r="U9" s="11">
        <f t="shared" si="0"/>
        <v>97986692.944395721</v>
      </c>
      <c r="V9" s="11">
        <f t="shared" si="0"/>
        <v>97986692.944395721</v>
      </c>
      <c r="W9" s="11">
        <f t="shared" si="0"/>
        <v>97986692.944395721</v>
      </c>
      <c r="X9" s="11">
        <f t="shared" si="0"/>
        <v>97986692.944395721</v>
      </c>
      <c r="Y9" s="11">
        <f t="shared" si="0"/>
        <v>97986692.944395721</v>
      </c>
      <c r="Z9" s="11">
        <f t="shared" si="0"/>
        <v>97986692.944395721</v>
      </c>
    </row>
    <row r="10" spans="1:26" x14ac:dyDescent="0.25">
      <c r="A10" t="s">
        <v>190</v>
      </c>
      <c r="B10">
        <v>0</v>
      </c>
      <c r="C10" s="38">
        <f>-SUM(Hoja3!$E$7:$E$15)*0.2/12</f>
        <v>-9461500.4059230015</v>
      </c>
      <c r="D10" s="38">
        <f>-SUM(Hoja3!$E$7:$E$15)*0.2/12</f>
        <v>-9461500.4059230015</v>
      </c>
      <c r="E10" s="38">
        <f>-SUM(Hoja3!$E$7:$E$15)*0.2/12</f>
        <v>-9461500.4059230015</v>
      </c>
      <c r="F10" s="38">
        <f>-SUM(Hoja3!$E$7:$E$15)*0.2/12</f>
        <v>-9461500.4059230015</v>
      </c>
      <c r="G10" s="38">
        <f>-SUM(Hoja3!$E$7:$E$15)*0.2/12</f>
        <v>-9461500.4059230015</v>
      </c>
      <c r="H10" s="38">
        <f>-SUM(Hoja3!$E$7:$E$15)*0.2/12</f>
        <v>-9461500.4059230015</v>
      </c>
      <c r="I10" s="38">
        <f>-SUM(Hoja3!$E$7:$E$15)*0.2/12</f>
        <v>-9461500.4059230015</v>
      </c>
      <c r="J10" s="38">
        <f>-SUM(Hoja3!$E$7:$E$15)*0.2/12</f>
        <v>-9461500.4059230015</v>
      </c>
      <c r="K10" s="38">
        <f>-SUM(Hoja3!$E$7:$E$15)*0.2/12</f>
        <v>-9461500.4059230015</v>
      </c>
      <c r="L10" s="38">
        <f>-SUM(Hoja3!$E$7:$E$15)*0.2/12</f>
        <v>-9461500.4059230015</v>
      </c>
      <c r="M10" s="38">
        <f>-SUM(Hoja3!$E$7:$E$15)*0.2/12</f>
        <v>-9461500.4059230015</v>
      </c>
      <c r="N10" s="38">
        <f>-SUM(Hoja3!$E$7:$E$15)*0.2/12</f>
        <v>-9461500.4059230015</v>
      </c>
      <c r="O10" s="38">
        <f>-SUM(Hoja3!$E$7:$E$15)*0.2/12</f>
        <v>-9461500.4059230015</v>
      </c>
      <c r="P10" s="38">
        <f>-SUM(Hoja3!$E$7:$E$15)*0.2/12</f>
        <v>-9461500.4059230015</v>
      </c>
      <c r="Q10" s="38">
        <f>-SUM(Hoja3!$E$7:$E$15)*0.2/12</f>
        <v>-9461500.4059230015</v>
      </c>
      <c r="R10" s="38">
        <f>-SUM(Hoja3!$E$7:$E$15)*0.2/12</f>
        <v>-9461500.4059230015</v>
      </c>
      <c r="S10" s="38">
        <f>-SUM(Hoja3!$E$7:$E$15)*0.2/12</f>
        <v>-9461500.4059230015</v>
      </c>
      <c r="T10" s="38">
        <f>-SUM(Hoja3!$E$7:$E$15)*0.2/12</f>
        <v>-9461500.4059230015</v>
      </c>
      <c r="U10" s="38">
        <f>-SUM(Hoja3!$E$7:$E$15)*0.2/12</f>
        <v>-9461500.4059230015</v>
      </c>
      <c r="V10" s="38">
        <f>-SUM(Hoja3!$E$7:$E$15)*0.2/12</f>
        <v>-9461500.4059230015</v>
      </c>
      <c r="W10" s="38">
        <f>-SUM(Hoja3!$E$7:$E$15)*0.2/12</f>
        <v>-9461500.4059230015</v>
      </c>
      <c r="X10" s="38">
        <f>-SUM(Hoja3!$E$7:$E$15)*0.2/12</f>
        <v>-9461500.4059230015</v>
      </c>
      <c r="Y10" s="38">
        <f>-SUM(Hoja3!$E$7:$E$15)*0.2/12</f>
        <v>-9461500.4059230015</v>
      </c>
      <c r="Z10" s="38">
        <f>-SUM(Hoja3!$E$7:$E$15)*0.2/12</f>
        <v>-9461500.4059230015</v>
      </c>
    </row>
    <row r="11" spans="1:26" x14ac:dyDescent="0.25">
      <c r="A11" t="s">
        <v>191</v>
      </c>
      <c r="B11" s="38">
        <f>-Hoja3!E20</f>
        <v>-854531373.00263155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38">
        <f>-Hoja3!G3</f>
        <v>-40106663.980000004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192</v>
      </c>
      <c r="B12">
        <v>0</v>
      </c>
      <c r="C12" s="38">
        <f>-45504041</f>
        <v>-45504041</v>
      </c>
      <c r="D12" s="38">
        <f t="shared" ref="D12:Z12" si="1">-45504041</f>
        <v>-45504041</v>
      </c>
      <c r="E12" s="38">
        <f t="shared" si="1"/>
        <v>-45504041</v>
      </c>
      <c r="F12" s="38">
        <f t="shared" si="1"/>
        <v>-45504041</v>
      </c>
      <c r="G12" s="38">
        <f t="shared" si="1"/>
        <v>-45504041</v>
      </c>
      <c r="H12" s="38">
        <f t="shared" si="1"/>
        <v>-45504041</v>
      </c>
      <c r="I12" s="38">
        <f t="shared" si="1"/>
        <v>-45504041</v>
      </c>
      <c r="J12" s="38">
        <f t="shared" si="1"/>
        <v>-45504041</v>
      </c>
      <c r="K12" s="38">
        <f t="shared" si="1"/>
        <v>-45504041</v>
      </c>
      <c r="L12" s="38">
        <f t="shared" si="1"/>
        <v>-45504041</v>
      </c>
      <c r="M12" s="38">
        <f t="shared" si="1"/>
        <v>-45504041</v>
      </c>
      <c r="N12" s="38">
        <f t="shared" si="1"/>
        <v>-45504041</v>
      </c>
      <c r="O12" s="38">
        <f t="shared" si="1"/>
        <v>-45504041</v>
      </c>
      <c r="P12" s="38">
        <f t="shared" si="1"/>
        <v>-45504041</v>
      </c>
      <c r="Q12" s="38">
        <f t="shared" si="1"/>
        <v>-45504041</v>
      </c>
      <c r="R12" s="38">
        <f t="shared" si="1"/>
        <v>-45504041</v>
      </c>
      <c r="S12" s="38">
        <f t="shared" si="1"/>
        <v>-45504041</v>
      </c>
      <c r="T12" s="38">
        <f t="shared" si="1"/>
        <v>-45504041</v>
      </c>
      <c r="U12" s="38">
        <f t="shared" si="1"/>
        <v>-45504041</v>
      </c>
      <c r="V12" s="38">
        <f t="shared" si="1"/>
        <v>-45504041</v>
      </c>
      <c r="W12" s="38">
        <f t="shared" si="1"/>
        <v>-45504041</v>
      </c>
      <c r="X12" s="38">
        <f t="shared" si="1"/>
        <v>-45504041</v>
      </c>
      <c r="Y12" s="38">
        <f t="shared" si="1"/>
        <v>-45504041</v>
      </c>
      <c r="Z12" s="38">
        <f t="shared" si="1"/>
        <v>-45504041</v>
      </c>
    </row>
    <row r="13" spans="1:26" x14ac:dyDescent="0.25">
      <c r="A13" t="s">
        <v>115</v>
      </c>
      <c r="B13" s="38">
        <f>SUM(B7:B12)</f>
        <v>-854531373.00263155</v>
      </c>
      <c r="C13" s="11">
        <f>SUM(C9:C12)</f>
        <v>43021151.538472712</v>
      </c>
      <c r="D13" s="11">
        <f t="shared" ref="D13:F13" si="2">SUM(D9:D12)</f>
        <v>43021151.538472712</v>
      </c>
      <c r="E13" s="11">
        <f t="shared" si="2"/>
        <v>43021151.538472712</v>
      </c>
      <c r="F13" s="11">
        <f t="shared" si="2"/>
        <v>43021151.538472712</v>
      </c>
      <c r="G13" s="11">
        <f t="shared" ref="G13" si="3">SUM(G9:G12)</f>
        <v>43021151.538472712</v>
      </c>
      <c r="H13" s="11">
        <f t="shared" ref="H13:I13" si="4">SUM(H9:H12)</f>
        <v>43021151.538472712</v>
      </c>
      <c r="I13" s="11">
        <f t="shared" si="4"/>
        <v>43021151.538472712</v>
      </c>
      <c r="J13" s="11">
        <f t="shared" ref="J13" si="5">SUM(J9:J12)</f>
        <v>43021151.538472712</v>
      </c>
      <c r="K13" s="11">
        <f t="shared" ref="K13:L13" si="6">SUM(K9:K12)</f>
        <v>43021151.538472712</v>
      </c>
      <c r="L13" s="11">
        <f t="shared" si="6"/>
        <v>43021151.538472712</v>
      </c>
      <c r="M13" s="11">
        <f t="shared" ref="M13" si="7">SUM(M9:M12)</f>
        <v>43021151.538472712</v>
      </c>
      <c r="N13" s="11">
        <f t="shared" ref="N13:O13" si="8">SUM(N9:N12)</f>
        <v>2914487.5584727079</v>
      </c>
      <c r="O13" s="11">
        <f t="shared" si="8"/>
        <v>43021151.538472712</v>
      </c>
      <c r="P13" s="11">
        <f t="shared" ref="P13" si="9">SUM(P9:P12)</f>
        <v>43021151.538472712</v>
      </c>
      <c r="Q13" s="11">
        <f t="shared" ref="Q13:R13" si="10">SUM(Q9:Q12)</f>
        <v>43021151.538472712</v>
      </c>
      <c r="R13" s="11">
        <f t="shared" si="10"/>
        <v>43021151.538472712</v>
      </c>
      <c r="S13" s="11">
        <f t="shared" ref="S13" si="11">SUM(S9:S12)</f>
        <v>43021151.538472712</v>
      </c>
      <c r="T13" s="11">
        <f t="shared" ref="T13:U13" si="12">SUM(T9:T12)</f>
        <v>43021151.538472712</v>
      </c>
      <c r="U13" s="11">
        <f t="shared" si="12"/>
        <v>43021151.538472712</v>
      </c>
      <c r="V13" s="11">
        <f t="shared" ref="V13" si="13">SUM(V9:V12)</f>
        <v>43021151.538472712</v>
      </c>
      <c r="W13" s="11">
        <f t="shared" ref="W13:X13" si="14">SUM(W9:W12)</f>
        <v>43021151.538472712</v>
      </c>
      <c r="X13" s="11">
        <f t="shared" si="14"/>
        <v>43021151.538472712</v>
      </c>
      <c r="Y13" s="11">
        <f t="shared" ref="Y13" si="15">SUM(Y9:Y12)</f>
        <v>43021151.538472712</v>
      </c>
      <c r="Z13" s="11">
        <f t="shared" ref="Z13" si="16">SUM(Z9:Z12)</f>
        <v>43021151.538472712</v>
      </c>
    </row>
    <row r="14" spans="1:26" x14ac:dyDescent="0.25">
      <c r="A14" t="s">
        <v>193</v>
      </c>
      <c r="C14" s="38">
        <f>$B$13-C12+C13</f>
        <v>-766006180.46415877</v>
      </c>
      <c r="D14" s="38">
        <f>C14-D12+D13</f>
        <v>-677480987.92568612</v>
      </c>
      <c r="E14" s="38">
        <f>D14-E12+E13</f>
        <v>-588955795.38721347</v>
      </c>
      <c r="F14" s="38">
        <f t="shared" ref="F14:K14" si="17">E14-F12+F13</f>
        <v>-500430602.84874076</v>
      </c>
      <c r="G14" s="38">
        <f t="shared" si="17"/>
        <v>-411905410.31026804</v>
      </c>
      <c r="H14" s="38">
        <f t="shared" si="17"/>
        <v>-323380217.77179533</v>
      </c>
      <c r="I14" s="38">
        <f t="shared" si="17"/>
        <v>-234855025.23332262</v>
      </c>
      <c r="J14" s="38">
        <f t="shared" si="17"/>
        <v>-146329832.69484991</v>
      </c>
      <c r="K14" s="38">
        <f t="shared" si="17"/>
        <v>-57804640.156377196</v>
      </c>
      <c r="L14" s="37">
        <f>K14-L12+L13</f>
        <v>30720552.382095516</v>
      </c>
      <c r="M14" s="37">
        <f>L14-M12+M13</f>
        <v>119245744.92056823</v>
      </c>
      <c r="N14" s="37">
        <f t="shared" ref="N14" si="18">M14-N12+N13</f>
        <v>167664273.47904092</v>
      </c>
      <c r="O14" s="37">
        <f t="shared" ref="O14" si="19">N14-O12+O13</f>
        <v>256189466.01751363</v>
      </c>
      <c r="P14" s="37">
        <f t="shared" ref="P14" si="20">O14-P12+P13</f>
        <v>344714658.55598634</v>
      </c>
      <c r="Q14" s="37">
        <f t="shared" ref="Q14" si="21">P14-Q12+Q13</f>
        <v>433239851.09445906</v>
      </c>
      <c r="R14" s="37">
        <f t="shared" ref="R14" si="22">Q14-R12+R13</f>
        <v>521765043.63293177</v>
      </c>
      <c r="S14" s="37">
        <f>R14-S12+S13</f>
        <v>610290236.17140436</v>
      </c>
      <c r="T14" s="37">
        <f t="shared" ref="T14:Z14" si="23">S14-T12+T13</f>
        <v>698815428.70987701</v>
      </c>
      <c r="U14" s="37">
        <f t="shared" si="23"/>
        <v>787340621.24834967</v>
      </c>
      <c r="V14" s="37">
        <f t="shared" si="23"/>
        <v>875865813.78682232</v>
      </c>
      <c r="W14" s="37">
        <f t="shared" si="23"/>
        <v>964391006.32529497</v>
      </c>
      <c r="X14" s="37">
        <f t="shared" si="23"/>
        <v>1052916198.8637676</v>
      </c>
      <c r="Y14" s="37">
        <f t="shared" si="23"/>
        <v>1141441391.4022403</v>
      </c>
      <c r="Z14" s="37">
        <f t="shared" si="23"/>
        <v>1229966583.9407129</v>
      </c>
    </row>
    <row r="17" spans="1:26" x14ac:dyDescent="0.25">
      <c r="A17" s="41" t="s">
        <v>194</v>
      </c>
      <c r="B17" s="41"/>
      <c r="E17" s="11"/>
    </row>
    <row r="18" spans="1:26" x14ac:dyDescent="0.25">
      <c r="A18" s="20" t="s">
        <v>196</v>
      </c>
      <c r="B18" s="20">
        <v>9</v>
      </c>
    </row>
    <row r="19" spans="1:26" x14ac:dyDescent="0.25">
      <c r="A19" s="20" t="s">
        <v>195</v>
      </c>
      <c r="B19" s="21">
        <f>-B11</f>
        <v>854531373.00263155</v>
      </c>
    </row>
    <row r="20" spans="1:26" x14ac:dyDescent="0.25">
      <c r="A20" s="20" t="s">
        <v>197</v>
      </c>
      <c r="B20" s="21">
        <f>-B21*9+B19</f>
        <v>467341009.15637714</v>
      </c>
    </row>
    <row r="21" spans="1:26" x14ac:dyDescent="0.25">
      <c r="A21" s="20" t="s">
        <v>198</v>
      </c>
      <c r="B21" s="21">
        <f>Q13</f>
        <v>43021151.538472712</v>
      </c>
    </row>
    <row r="22" spans="1:26" x14ac:dyDescent="0.25">
      <c r="A22" s="20" t="s">
        <v>212</v>
      </c>
      <c r="B22" s="43">
        <f>(B18+(B19+B20)/B21)/4</f>
        <v>9.9315260336354108</v>
      </c>
      <c r="C22" t="s">
        <v>199</v>
      </c>
    </row>
    <row r="23" spans="1:26" x14ac:dyDescent="0.25">
      <c r="A23" s="41" t="s">
        <v>200</v>
      </c>
      <c r="B23" s="41"/>
    </row>
    <row r="24" spans="1:26" x14ac:dyDescent="0.25">
      <c r="A24" s="20" t="s">
        <v>202</v>
      </c>
      <c r="B24" s="44">
        <v>0.1</v>
      </c>
    </row>
    <row r="25" spans="1:26" hidden="1" x14ac:dyDescent="0.25">
      <c r="A25" s="20" t="s">
        <v>58</v>
      </c>
      <c r="B25" s="45">
        <v>0</v>
      </c>
      <c r="C25">
        <v>1</v>
      </c>
      <c r="D25">
        <v>2</v>
      </c>
      <c r="E25">
        <v>3</v>
      </c>
      <c r="F25" s="39">
        <v>4</v>
      </c>
      <c r="G25">
        <v>5</v>
      </c>
      <c r="H25">
        <v>6</v>
      </c>
      <c r="I25">
        <v>7</v>
      </c>
      <c r="J25" s="39">
        <v>8</v>
      </c>
      <c r="K25">
        <v>9</v>
      </c>
      <c r="L25">
        <v>10</v>
      </c>
      <c r="M25">
        <v>11</v>
      </c>
      <c r="N25" s="39">
        <v>12</v>
      </c>
      <c r="O25">
        <v>13</v>
      </c>
      <c r="P25">
        <v>14</v>
      </c>
      <c r="Q25">
        <v>15</v>
      </c>
      <c r="R25" s="39">
        <v>16</v>
      </c>
      <c r="S25">
        <v>17</v>
      </c>
      <c r="T25">
        <v>18</v>
      </c>
      <c r="U25">
        <v>19</v>
      </c>
      <c r="V25" s="39">
        <v>20</v>
      </c>
      <c r="W25">
        <v>21</v>
      </c>
      <c r="X25">
        <v>22</v>
      </c>
      <c r="Y25">
        <v>23</v>
      </c>
      <c r="Z25" s="39">
        <v>24</v>
      </c>
    </row>
    <row r="26" spans="1:26" hidden="1" x14ac:dyDescent="0.25">
      <c r="A26" s="20" t="s">
        <v>201</v>
      </c>
      <c r="B26" s="21">
        <f>B13</f>
        <v>-854531373.00263155</v>
      </c>
      <c r="C26" s="11">
        <f>C13/((1-$B$24)^C25)</f>
        <v>47801279.487191901</v>
      </c>
      <c r="D26" s="11">
        <f>D13/(1-$B$24)^D25</f>
        <v>53112532.763546556</v>
      </c>
      <c r="E26" s="11">
        <f>E13/(1-$B$24)^E25</f>
        <v>59013925.292829499</v>
      </c>
      <c r="F26" s="11">
        <f>F13/(1-$B$24)^F25</f>
        <v>65571028.103143886</v>
      </c>
      <c r="G26" s="11">
        <f>G13/(1-$B$24)^G25</f>
        <v>72856697.892382085</v>
      </c>
      <c r="H26" s="11">
        <f>H13/(1-$B$24)^H25</f>
        <v>80951886.547091201</v>
      </c>
      <c r="I26" s="11">
        <f>I13/(1-$B$24)^I25</f>
        <v>89946540.607879117</v>
      </c>
      <c r="J26" s="11">
        <f>J13/(1-$B$24)^J25</f>
        <v>99940600.675421238</v>
      </c>
      <c r="K26" s="11">
        <f>K13/(1-$B$24)^K25</f>
        <v>111045111.86157915</v>
      </c>
      <c r="L26" s="11">
        <f>L13/(1-$B$24)^L25</f>
        <v>123383457.62397683</v>
      </c>
      <c r="M26" s="11">
        <f>M13/(1-$B$24)^M25</f>
        <v>137092730.69330758</v>
      </c>
      <c r="N26" s="11">
        <f>N13/(1-$B$24)^N25</f>
        <v>10319344.055818234</v>
      </c>
      <c r="O26" s="11">
        <f>O13/(1-$B$24)^O25</f>
        <v>169250284.80655253</v>
      </c>
      <c r="P26" s="11">
        <f>P13/(1-$B$24)^P25</f>
        <v>188055872.00728062</v>
      </c>
      <c r="Q26" s="11">
        <f>Q13/(1-$B$24)^Q25</f>
        <v>208950968.89697847</v>
      </c>
      <c r="R26" s="11">
        <f>R13/(1-$B$24)^R25</f>
        <v>232167743.21886492</v>
      </c>
      <c r="S26" s="11">
        <f>S13/(1-$B$24)^S25</f>
        <v>257964159.13207212</v>
      </c>
      <c r="T26" s="11">
        <f>T13/(1-$B$24)^T25</f>
        <v>286626843.48008013</v>
      </c>
      <c r="U26" s="11">
        <f>U13/(1-$B$24)^U25</f>
        <v>318474270.53342229</v>
      </c>
      <c r="V26" s="11">
        <f>V13/(1-$B$24)^V25</f>
        <v>353860300.59269148</v>
      </c>
      <c r="W26" s="11">
        <f>W13/(1-$B$24)^W25</f>
        <v>393178111.76965714</v>
      </c>
      <c r="X26" s="11">
        <f>X13/(1-$B$24)^X25</f>
        <v>436864568.63295233</v>
      </c>
      <c r="Y26" s="11">
        <f>Y13/(1-$B$24)^Y25</f>
        <v>485405076.25883597</v>
      </c>
      <c r="Z26" s="11">
        <f>Z13/(1-$B$24)^Z25</f>
        <v>539338973.62092888</v>
      </c>
    </row>
    <row r="27" spans="1:26" hidden="1" x14ac:dyDescent="0.25">
      <c r="A27" s="20" t="s">
        <v>200</v>
      </c>
      <c r="B27" s="21">
        <f>B26+SUM(C26:Z26)</f>
        <v>3966640935.5518527</v>
      </c>
    </row>
    <row r="28" spans="1:26" x14ac:dyDescent="0.25">
      <c r="A28" s="20" t="s">
        <v>203</v>
      </c>
      <c r="B28" s="21">
        <f>B26+NPV(B24,C9:Z9)</f>
        <v>25853980.474227428</v>
      </c>
    </row>
    <row r="29" spans="1:26" x14ac:dyDescent="0.25">
      <c r="A29" s="41" t="s">
        <v>204</v>
      </c>
      <c r="B29" s="41"/>
    </row>
    <row r="30" spans="1:26" x14ac:dyDescent="0.25">
      <c r="A30" s="20" t="s">
        <v>204</v>
      </c>
      <c r="B30" s="46">
        <f>IRR(B26:Z26)</f>
        <v>0.12480018950246619</v>
      </c>
    </row>
    <row r="31" spans="1:26" x14ac:dyDescent="0.25">
      <c r="A31" s="41" t="s">
        <v>213</v>
      </c>
      <c r="B31" s="41"/>
    </row>
    <row r="32" spans="1:26" x14ac:dyDescent="0.25">
      <c r="A32" s="20" t="s">
        <v>214</v>
      </c>
      <c r="B32" s="47">
        <f>SUM(C26:Z26)/B19</f>
        <v>5.6418903516835979</v>
      </c>
    </row>
    <row r="33" spans="2:26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</sheetData>
  <mergeCells count="5">
    <mergeCell ref="A17:B17"/>
    <mergeCell ref="A23:B23"/>
    <mergeCell ref="A29:B29"/>
    <mergeCell ref="A31:B31"/>
    <mergeCell ref="A5:Z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credito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</cp:lastModifiedBy>
  <dcterms:created xsi:type="dcterms:W3CDTF">2021-12-06T13:56:48Z</dcterms:created>
  <dcterms:modified xsi:type="dcterms:W3CDTF">2021-12-15T20:01:53Z</dcterms:modified>
</cp:coreProperties>
</file>