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G:\Shared drives\APM - Proyecto\Archivos\M4 - Evaluación económica del proyecto\"/>
    </mc:Choice>
  </mc:AlternateContent>
  <xr:revisionPtr revIDLastSave="0" documentId="13_ncr:1_{F4DD700D-7DA9-4D71-B53E-F1844C14A681}" xr6:coauthVersionLast="47" xr6:coauthVersionMax="47" xr10:uidLastSave="{00000000-0000-0000-0000-000000000000}"/>
  <bookViews>
    <workbookView xWindow="-108" yWindow="-108" windowWidth="23256" windowHeight="12456" firstSheet="4" activeTab="7" xr2:uid="{00000000-000D-0000-FFFF-FFFF00000000}"/>
  </bookViews>
  <sheets>
    <sheet name="Dolar (USD)" sheetId="1" state="hidden" r:id="rId1"/>
    <sheet name="Componentes Patinetas" sheetId="2" r:id="rId2"/>
    <sheet name="Ventas" sheetId="3" r:id="rId3"/>
    <sheet name="Gastos Operativos" sheetId="4" r:id="rId4"/>
    <sheet name="Propuesta Automatización" sheetId="5" r:id="rId5"/>
    <sheet name="Componentes Automatización" sheetId="6" r:id="rId6"/>
    <sheet name="Celda Robótica" sheetId="7" r:id="rId7"/>
    <sheet name="Flujo De Caja" sheetId="8" r:id="rId8"/>
  </sheets>
  <definedNames>
    <definedName name="FLUJO_CAJA">'Flujo De Caja'!$I$14:$I$74</definedName>
    <definedName name="TOTAL_CELDA_ROBOTICA">'Celda Robótica'!$H$2</definedName>
    <definedName name="TOTAL_COMP_AUTOMATIZACION">'Componentes Automatización'!$G$2</definedName>
    <definedName name="TOTAL_INVERSIÓN_INICIAL">'Propuesta Automatización'!$B$11</definedName>
    <definedName name="TRM__HOY">'Dolar (USD)'!$C$2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2" roundtripDataChecksum="PPvawqkqi+h4LoqjqdCcfEaXcdoMIsdqm/Sl2OD88lM="/>
    </ext>
  </extLst>
</workbook>
</file>

<file path=xl/calcChain.xml><?xml version="1.0" encoding="utf-8"?>
<calcChain xmlns="http://schemas.openxmlformats.org/spreadsheetml/2006/main">
  <c r="O30" i="3" l="1"/>
  <c r="D99" i="3"/>
  <c r="D100" i="3"/>
  <c r="D101" i="3"/>
  <c r="D102" i="3"/>
  <c r="D98" i="3"/>
  <c r="C99" i="3"/>
  <c r="C100" i="3"/>
  <c r="C101" i="3"/>
  <c r="C102" i="3"/>
  <c r="H2" i="7"/>
  <c r="G7" i="7"/>
  <c r="G8" i="7"/>
  <c r="G9" i="7"/>
  <c r="G10" i="7"/>
  <c r="G11" i="7"/>
  <c r="G12" i="7"/>
  <c r="G13" i="7"/>
  <c r="G14" i="7"/>
  <c r="G15" i="7"/>
  <c r="G6" i="7"/>
  <c r="E7" i="7"/>
  <c r="E8" i="7"/>
  <c r="E9" i="7"/>
  <c r="E10" i="7"/>
  <c r="E11" i="7"/>
  <c r="E12" i="7"/>
  <c r="E13" i="7"/>
  <c r="E14" i="7"/>
  <c r="E15" i="7"/>
  <c r="E6" i="7"/>
  <c r="E79" i="6"/>
  <c r="G79" i="6" s="1"/>
  <c r="F26" i="8"/>
  <c r="F38" i="8" s="1"/>
  <c r="E76" i="6"/>
  <c r="G76" i="6" s="1"/>
  <c r="E66" i="6"/>
  <c r="G66" i="6" s="1"/>
  <c r="E58" i="6"/>
  <c r="G58" i="6" s="1"/>
  <c r="E57" i="6"/>
  <c r="G57" i="6" s="1"/>
  <c r="E53" i="6"/>
  <c r="G53" i="6" s="1"/>
  <c r="E42" i="6"/>
  <c r="G42" i="6" s="1"/>
  <c r="E36" i="6"/>
  <c r="G36" i="6" s="1"/>
  <c r="E35" i="6"/>
  <c r="G35" i="6" s="1"/>
  <c r="E21" i="6"/>
  <c r="G21" i="6" s="1"/>
  <c r="E11" i="6"/>
  <c r="G11" i="6" s="1"/>
  <c r="E10" i="6"/>
  <c r="G10" i="6" s="1"/>
  <c r="E6" i="6"/>
  <c r="G6" i="6" s="1"/>
  <c r="C29" i="5"/>
  <c r="B19" i="5"/>
  <c r="D19" i="5" s="1"/>
  <c r="B18" i="5"/>
  <c r="D18" i="5" s="1"/>
  <c r="C17" i="5"/>
  <c r="C20" i="5" s="1"/>
  <c r="B17" i="5"/>
  <c r="D16" i="5"/>
  <c r="C16" i="5"/>
  <c r="B16" i="5"/>
  <c r="C15" i="5"/>
  <c r="B15" i="5"/>
  <c r="D15" i="5" s="1"/>
  <c r="F30" i="4"/>
  <c r="F29" i="4"/>
  <c r="F28" i="4"/>
  <c r="C9" i="4" s="1"/>
  <c r="E28" i="4"/>
  <c r="B9" i="4" s="1"/>
  <c r="F27" i="4"/>
  <c r="E27" i="4"/>
  <c r="F26" i="4"/>
  <c r="C7" i="4" s="1"/>
  <c r="E26" i="4"/>
  <c r="C11" i="4"/>
  <c r="C10" i="4"/>
  <c r="H9" i="4"/>
  <c r="H10" i="4" s="1"/>
  <c r="H11" i="4" s="1"/>
  <c r="I8" i="4"/>
  <c r="I9" i="4" s="1"/>
  <c r="I10" i="4" s="1"/>
  <c r="I11" i="4" s="1"/>
  <c r="C8" i="4"/>
  <c r="B8" i="4"/>
  <c r="I7" i="4"/>
  <c r="H7" i="4"/>
  <c r="H8" i="4" s="1"/>
  <c r="D87" i="3"/>
  <c r="D86" i="3"/>
  <c r="D85" i="3"/>
  <c r="D84" i="3"/>
  <c r="D83" i="3"/>
  <c r="D82" i="3"/>
  <c r="D81" i="3"/>
  <c r="D80" i="3"/>
  <c r="D79" i="3"/>
  <c r="D78" i="3"/>
  <c r="D77" i="3"/>
  <c r="D76" i="3"/>
  <c r="D75" i="3"/>
  <c r="D74" i="3"/>
  <c r="D73" i="3"/>
  <c r="D72" i="3"/>
  <c r="D71" i="3"/>
  <c r="D70" i="3"/>
  <c r="D69" i="3"/>
  <c r="D68" i="3"/>
  <c r="D67" i="3"/>
  <c r="D66" i="3"/>
  <c r="D65" i="3"/>
  <c r="D64" i="3"/>
  <c r="D63" i="3"/>
  <c r="D62" i="3"/>
  <c r="D61" i="3"/>
  <c r="D60" i="3"/>
  <c r="D59" i="3"/>
  <c r="D58" i="3"/>
  <c r="D57" i="3"/>
  <c r="D56" i="3"/>
  <c r="D55" i="3"/>
  <c r="D54" i="3"/>
  <c r="D53" i="3"/>
  <c r="D52" i="3"/>
  <c r="D51" i="3"/>
  <c r="D50" i="3"/>
  <c r="D49" i="3"/>
  <c r="D48" i="3"/>
  <c r="D47" i="3"/>
  <c r="D46" i="3"/>
  <c r="D45" i="3"/>
  <c r="D44" i="3"/>
  <c r="D43" i="3"/>
  <c r="D42" i="3"/>
  <c r="D41" i="3"/>
  <c r="D40" i="3"/>
  <c r="D39" i="3"/>
  <c r="D38" i="3"/>
  <c r="D37" i="3"/>
  <c r="D36" i="3"/>
  <c r="D35" i="3"/>
  <c r="D34" i="3"/>
  <c r="D33" i="3"/>
  <c r="D32" i="3"/>
  <c r="D31" i="3"/>
  <c r="D30" i="3"/>
  <c r="D29" i="3"/>
  <c r="D28" i="3"/>
  <c r="C15" i="3"/>
  <c r="C16" i="3" s="1"/>
  <c r="C17" i="3" s="1"/>
  <c r="C18" i="3" s="1"/>
  <c r="C19" i="3" s="1"/>
  <c r="C14" i="3"/>
  <c r="B10" i="3"/>
  <c r="J8" i="3"/>
  <c r="I8" i="3"/>
  <c r="H8" i="3"/>
  <c r="E8" i="3"/>
  <c r="B8" i="3"/>
  <c r="G16" i="2"/>
  <c r="G15" i="2"/>
  <c r="G14" i="2"/>
  <c r="G13" i="2"/>
  <c r="G12" i="2"/>
  <c r="G11" i="2"/>
  <c r="G10" i="2"/>
  <c r="G9" i="2"/>
  <c r="G8" i="2"/>
  <c r="G7" i="2"/>
  <c r="G6" i="2"/>
  <c r="F8" i="3" s="1"/>
  <c r="G5" i="2"/>
  <c r="C2" i="1"/>
  <c r="E72" i="6" s="1"/>
  <c r="G72" i="6" s="1"/>
  <c r="B6" i="5" l="1"/>
  <c r="E73" i="3"/>
  <c r="G8" i="3"/>
  <c r="G51" i="3" s="1"/>
  <c r="G76" i="3"/>
  <c r="G74" i="3"/>
  <c r="G72" i="3"/>
  <c r="G70" i="3"/>
  <c r="G67" i="3"/>
  <c r="G63" i="3"/>
  <c r="G57" i="3"/>
  <c r="G43" i="3"/>
  <c r="G39" i="3"/>
  <c r="G37" i="3"/>
  <c r="G35" i="3"/>
  <c r="G31" i="3"/>
  <c r="G75" i="3"/>
  <c r="G64" i="3"/>
  <c r="G36" i="3"/>
  <c r="G71" i="3"/>
  <c r="G66" i="3"/>
  <c r="G79" i="3"/>
  <c r="G87" i="3"/>
  <c r="G28" i="3"/>
  <c r="G46" i="3"/>
  <c r="G56" i="3"/>
  <c r="G48" i="3"/>
  <c r="F85" i="3"/>
  <c r="F77" i="3"/>
  <c r="F87" i="3"/>
  <c r="F81" i="3"/>
  <c r="F73" i="3"/>
  <c r="F69" i="3"/>
  <c r="F60" i="3"/>
  <c r="F52" i="3"/>
  <c r="F65" i="3"/>
  <c r="F57" i="3"/>
  <c r="F49" i="3"/>
  <c r="F47" i="3"/>
  <c r="F45" i="3"/>
  <c r="F43" i="3"/>
  <c r="F41" i="3"/>
  <c r="F39" i="3"/>
  <c r="F37" i="3"/>
  <c r="F35" i="3"/>
  <c r="F33" i="3"/>
  <c r="F31" i="3"/>
  <c r="F29" i="3"/>
  <c r="F76" i="3"/>
  <c r="F86" i="3"/>
  <c r="F71" i="3"/>
  <c r="F61" i="3"/>
  <c r="F53" i="3"/>
  <c r="F56" i="3"/>
  <c r="F46" i="3"/>
  <c r="F38" i="3"/>
  <c r="F44" i="3"/>
  <c r="F36" i="3"/>
  <c r="F83" i="3"/>
  <c r="F74" i="3"/>
  <c r="F59" i="3"/>
  <c r="F58" i="3"/>
  <c r="F62" i="3"/>
  <c r="F80" i="3"/>
  <c r="F70" i="3"/>
  <c r="F84" i="3"/>
  <c r="F72" i="3"/>
  <c r="F66" i="3"/>
  <c r="F51" i="3"/>
  <c r="F79" i="3"/>
  <c r="F75" i="3"/>
  <c r="F55" i="3"/>
  <c r="F42" i="3"/>
  <c r="F32" i="3"/>
  <c r="F78" i="3"/>
  <c r="F82" i="3"/>
  <c r="F67" i="3"/>
  <c r="F63" i="3"/>
  <c r="F40" i="3"/>
  <c r="F30" i="3"/>
  <c r="F64" i="3"/>
  <c r="F28" i="3"/>
  <c r="F68" i="3"/>
  <c r="F50" i="3"/>
  <c r="F34" i="3"/>
  <c r="F54" i="3"/>
  <c r="F48" i="3"/>
  <c r="E80" i="3"/>
  <c r="E84" i="3"/>
  <c r="E76" i="3"/>
  <c r="E87" i="3"/>
  <c r="E39" i="3"/>
  <c r="E35" i="3"/>
  <c r="E69" i="3"/>
  <c r="E60" i="3"/>
  <c r="E52" i="3"/>
  <c r="E37" i="3"/>
  <c r="E65" i="3"/>
  <c r="E57" i="3"/>
  <c r="E49" i="3"/>
  <c r="E47" i="3"/>
  <c r="E45" i="3"/>
  <c r="E43" i="3"/>
  <c r="E41" i="3"/>
  <c r="E85" i="3"/>
  <c r="E83" i="3"/>
  <c r="E67" i="3"/>
  <c r="E64" i="3"/>
  <c r="E56" i="3"/>
  <c r="E82" i="3"/>
  <c r="E79" i="3"/>
  <c r="E68" i="3"/>
  <c r="E55" i="3"/>
  <c r="E32" i="3"/>
  <c r="E28" i="3"/>
  <c r="E59" i="3"/>
  <c r="E86" i="3"/>
  <c r="E70" i="3"/>
  <c r="E36" i="3"/>
  <c r="E62" i="3"/>
  <c r="E46" i="3"/>
  <c r="E38" i="3"/>
  <c r="E77" i="3"/>
  <c r="E31" i="3"/>
  <c r="E58" i="3"/>
  <c r="E61" i="3"/>
  <c r="E74" i="3"/>
  <c r="E44" i="3"/>
  <c r="E78" i="3"/>
  <c r="E75" i="3"/>
  <c r="E42" i="3"/>
  <c r="E34" i="3"/>
  <c r="E81" i="3"/>
  <c r="E72" i="3"/>
  <c r="E50" i="3"/>
  <c r="B14" i="3"/>
  <c r="D14" i="3" s="1"/>
  <c r="B15" i="3"/>
  <c r="E48" i="3"/>
  <c r="E33" i="3"/>
  <c r="E63" i="3"/>
  <c r="E29" i="4"/>
  <c r="B10" i="4" s="1"/>
  <c r="E30" i="4"/>
  <c r="B11" i="4" s="1"/>
  <c r="B7" i="4"/>
  <c r="E53" i="3"/>
  <c r="E30" i="3"/>
  <c r="E40" i="3"/>
  <c r="E29" i="3"/>
  <c r="E51" i="3"/>
  <c r="E66" i="3"/>
  <c r="E54" i="3"/>
  <c r="E71" i="3"/>
  <c r="E15" i="6"/>
  <c r="G15" i="6" s="1"/>
  <c r="E60" i="6"/>
  <c r="G60" i="6" s="1"/>
  <c r="D9" i="4"/>
  <c r="E9" i="4"/>
  <c r="F9" i="4" s="1"/>
  <c r="G9" i="4" s="1"/>
  <c r="J9" i="4" s="1"/>
  <c r="E41" i="6"/>
  <c r="G41" i="6" s="1"/>
  <c r="E22" i="6"/>
  <c r="G22" i="6" s="1"/>
  <c r="E69" i="6"/>
  <c r="G69" i="6" s="1"/>
  <c r="E51" i="6"/>
  <c r="G51" i="6" s="1"/>
  <c r="E5" i="6"/>
  <c r="G5" i="6" s="1"/>
  <c r="E27" i="6"/>
  <c r="G27" i="6" s="1"/>
  <c r="E74" i="6"/>
  <c r="G74" i="6" s="1"/>
  <c r="E68" i="6"/>
  <c r="G68" i="6" s="1"/>
  <c r="E62" i="6"/>
  <c r="G62" i="6" s="1"/>
  <c r="E56" i="6"/>
  <c r="G56" i="6" s="1"/>
  <c r="E50" i="6"/>
  <c r="G50" i="6" s="1"/>
  <c r="E44" i="6"/>
  <c r="G44" i="6" s="1"/>
  <c r="E38" i="6"/>
  <c r="G38" i="6" s="1"/>
  <c r="E32" i="6"/>
  <c r="G32" i="6" s="1"/>
  <c r="E26" i="6"/>
  <c r="G26" i="6" s="1"/>
  <c r="E20" i="6"/>
  <c r="G20" i="6" s="1"/>
  <c r="E14" i="6"/>
  <c r="G14" i="6" s="1"/>
  <c r="E8" i="6"/>
  <c r="G8" i="6" s="1"/>
  <c r="D26" i="5"/>
  <c r="D25" i="5"/>
  <c r="E73" i="6"/>
  <c r="G73" i="6" s="1"/>
  <c r="E67" i="6"/>
  <c r="G67" i="6" s="1"/>
  <c r="E61" i="6"/>
  <c r="G61" i="6" s="1"/>
  <c r="E55" i="6"/>
  <c r="G55" i="6" s="1"/>
  <c r="E49" i="6"/>
  <c r="G49" i="6" s="1"/>
  <c r="E43" i="6"/>
  <c r="G43" i="6" s="1"/>
  <c r="E37" i="6"/>
  <c r="G37" i="6" s="1"/>
  <c r="E31" i="6"/>
  <c r="G31" i="6" s="1"/>
  <c r="E25" i="6"/>
  <c r="G25" i="6" s="1"/>
  <c r="E19" i="6"/>
  <c r="G19" i="6" s="1"/>
  <c r="E13" i="6"/>
  <c r="G13" i="6" s="1"/>
  <c r="E7" i="6"/>
  <c r="G7" i="6" s="1"/>
  <c r="D24" i="5"/>
  <c r="E65" i="6"/>
  <c r="G65" i="6" s="1"/>
  <c r="E54" i="6"/>
  <c r="G54" i="6" s="1"/>
  <c r="E45" i="6"/>
  <c r="G45" i="6" s="1"/>
  <c r="E34" i="6"/>
  <c r="G34" i="6" s="1"/>
  <c r="E75" i="6"/>
  <c r="G75" i="6" s="1"/>
  <c r="E64" i="6"/>
  <c r="G64" i="6" s="1"/>
  <c r="E23" i="6"/>
  <c r="G23" i="6" s="1"/>
  <c r="E12" i="6"/>
  <c r="G12" i="6" s="1"/>
  <c r="D28" i="5"/>
  <c r="E70" i="6"/>
  <c r="G70" i="6" s="1"/>
  <c r="E29" i="6"/>
  <c r="G29" i="6" s="1"/>
  <c r="E18" i="6"/>
  <c r="G18" i="6" s="1"/>
  <c r="E9" i="6"/>
  <c r="G9" i="6" s="1"/>
  <c r="E59" i="6"/>
  <c r="G59" i="6" s="1"/>
  <c r="E48" i="6"/>
  <c r="G48" i="6" s="1"/>
  <c r="E39" i="6"/>
  <c r="G39" i="6" s="1"/>
  <c r="E28" i="6"/>
  <c r="G28" i="6" s="1"/>
  <c r="E78" i="6"/>
  <c r="G78" i="6" s="1"/>
  <c r="G2" i="6" s="1"/>
  <c r="B7" i="5" s="1"/>
  <c r="E33" i="6"/>
  <c r="G33" i="6" s="1"/>
  <c r="E17" i="6"/>
  <c r="G17" i="6" s="1"/>
  <c r="E63" i="6"/>
  <c r="G63" i="6" s="1"/>
  <c r="E47" i="6"/>
  <c r="G47" i="6" s="1"/>
  <c r="E16" i="6"/>
  <c r="G16" i="6" s="1"/>
  <c r="D27" i="5"/>
  <c r="E77" i="6"/>
  <c r="G77" i="6" s="1"/>
  <c r="E46" i="6"/>
  <c r="G46" i="6" s="1"/>
  <c r="E30" i="6"/>
  <c r="G30" i="6" s="1"/>
  <c r="E71" i="6"/>
  <c r="G71" i="6" s="1"/>
  <c r="E40" i="6"/>
  <c r="G40" i="6" s="1"/>
  <c r="E24" i="6"/>
  <c r="G24" i="6" s="1"/>
  <c r="E52" i="6"/>
  <c r="G52" i="6" s="1"/>
  <c r="E8" i="4"/>
  <c r="D8" i="4"/>
  <c r="F8" i="4" s="1"/>
  <c r="G8" i="4" s="1"/>
  <c r="J8" i="4" s="1"/>
  <c r="D17" i="5"/>
  <c r="F74" i="8"/>
  <c r="F50" i="8"/>
  <c r="F62" i="8"/>
  <c r="D20" i="5"/>
  <c r="B9" i="5" s="1"/>
  <c r="G77" i="3" l="1"/>
  <c r="G40" i="3"/>
  <c r="G33" i="3"/>
  <c r="G85" i="3"/>
  <c r="G83" i="3"/>
  <c r="G47" i="3"/>
  <c r="G30" i="3"/>
  <c r="J39" i="3" s="1"/>
  <c r="G81" i="3"/>
  <c r="G60" i="3"/>
  <c r="G44" i="3"/>
  <c r="G49" i="3"/>
  <c r="G78" i="3"/>
  <c r="G34" i="3"/>
  <c r="G62" i="3"/>
  <c r="G53" i="3"/>
  <c r="G32" i="3"/>
  <c r="G29" i="3"/>
  <c r="G55" i="3"/>
  <c r="G59" i="3"/>
  <c r="G38" i="3"/>
  <c r="J32" i="3" s="1"/>
  <c r="G58" i="3"/>
  <c r="G41" i="3"/>
  <c r="G61" i="3"/>
  <c r="G80" i="3"/>
  <c r="G82" i="3"/>
  <c r="G42" i="3"/>
  <c r="G54" i="3"/>
  <c r="G45" i="3"/>
  <c r="G65" i="3"/>
  <c r="G86" i="3"/>
  <c r="G52" i="3"/>
  <c r="G50" i="3"/>
  <c r="G68" i="3"/>
  <c r="G73" i="3"/>
  <c r="G69" i="3"/>
  <c r="I77" i="3"/>
  <c r="I78" i="3"/>
  <c r="I86" i="3"/>
  <c r="I79" i="3"/>
  <c r="I85" i="3"/>
  <c r="I80" i="3"/>
  <c r="I81" i="3"/>
  <c r="I82" i="3"/>
  <c r="I76" i="3"/>
  <c r="I83" i="3"/>
  <c r="I84" i="3"/>
  <c r="I87" i="3"/>
  <c r="I29" i="3"/>
  <c r="I30" i="3"/>
  <c r="I31" i="3"/>
  <c r="I32" i="3"/>
  <c r="I33" i="3"/>
  <c r="I28" i="3"/>
  <c r="I34" i="3"/>
  <c r="I38" i="3"/>
  <c r="I35" i="3"/>
  <c r="I36" i="3"/>
  <c r="I37" i="3"/>
  <c r="I39" i="3"/>
  <c r="H41" i="3"/>
  <c r="H42" i="3"/>
  <c r="H43" i="3"/>
  <c r="H50" i="3"/>
  <c r="H40" i="3"/>
  <c r="H44" i="3"/>
  <c r="H45" i="3"/>
  <c r="H46" i="3"/>
  <c r="H49" i="3"/>
  <c r="H47" i="3"/>
  <c r="H48" i="3"/>
  <c r="H51" i="3"/>
  <c r="H65" i="3"/>
  <c r="H74" i="3"/>
  <c r="H66" i="3"/>
  <c r="H67" i="3"/>
  <c r="H68" i="3"/>
  <c r="H69" i="3"/>
  <c r="H70" i="3"/>
  <c r="H71" i="3"/>
  <c r="H73" i="3"/>
  <c r="H72" i="3"/>
  <c r="H64" i="3"/>
  <c r="H75" i="3"/>
  <c r="J36" i="3"/>
  <c r="I65" i="3"/>
  <c r="I66" i="3"/>
  <c r="I67" i="3"/>
  <c r="I68" i="3"/>
  <c r="I69" i="3"/>
  <c r="I70" i="3"/>
  <c r="I74" i="3"/>
  <c r="I71" i="3"/>
  <c r="I64" i="3"/>
  <c r="I72" i="3"/>
  <c r="I73" i="3"/>
  <c r="I75" i="3"/>
  <c r="I53" i="3"/>
  <c r="I54" i="3"/>
  <c r="I61" i="3"/>
  <c r="I52" i="3"/>
  <c r="I55" i="3"/>
  <c r="I56" i="3"/>
  <c r="I57" i="3"/>
  <c r="I62" i="3"/>
  <c r="I58" i="3"/>
  <c r="I59" i="3"/>
  <c r="I60" i="3"/>
  <c r="I63" i="3"/>
  <c r="I41" i="3"/>
  <c r="I49" i="3"/>
  <c r="I42" i="3"/>
  <c r="I43" i="3"/>
  <c r="I44" i="3"/>
  <c r="I45" i="3"/>
  <c r="I46" i="3"/>
  <c r="I47" i="3"/>
  <c r="I48" i="3"/>
  <c r="I50" i="3"/>
  <c r="I40" i="3"/>
  <c r="I51" i="3"/>
  <c r="H53" i="3"/>
  <c r="H61" i="3"/>
  <c r="H54" i="3"/>
  <c r="H55" i="3"/>
  <c r="H56" i="3"/>
  <c r="H57" i="3"/>
  <c r="H58" i="3"/>
  <c r="H59" i="3"/>
  <c r="H62" i="3"/>
  <c r="H60" i="3"/>
  <c r="H63" i="3"/>
  <c r="H52" i="3"/>
  <c r="H77" i="3"/>
  <c r="H78" i="3"/>
  <c r="H76" i="3"/>
  <c r="H79" i="3"/>
  <c r="H80" i="3"/>
  <c r="H81" i="3"/>
  <c r="H82" i="3"/>
  <c r="H87" i="3"/>
  <c r="H83" i="3"/>
  <c r="H84" i="3"/>
  <c r="H85" i="3"/>
  <c r="H86" i="3"/>
  <c r="G84" i="3"/>
  <c r="H29" i="3"/>
  <c r="H38" i="3"/>
  <c r="H28" i="3"/>
  <c r="H30" i="3"/>
  <c r="H31" i="3"/>
  <c r="H32" i="3"/>
  <c r="H33" i="3"/>
  <c r="H34" i="3"/>
  <c r="H35" i="3"/>
  <c r="H37" i="3"/>
  <c r="H36" i="3"/>
  <c r="H39" i="3"/>
  <c r="E39" i="8"/>
  <c r="E47" i="8"/>
  <c r="E48" i="8"/>
  <c r="E41" i="8"/>
  <c r="E46" i="8"/>
  <c r="E44" i="8"/>
  <c r="E50" i="8"/>
  <c r="E43" i="8"/>
  <c r="E45" i="8"/>
  <c r="E49" i="8"/>
  <c r="E40" i="8"/>
  <c r="E42" i="8"/>
  <c r="E34" i="8"/>
  <c r="E30" i="8"/>
  <c r="E31" i="8"/>
  <c r="E36" i="8"/>
  <c r="E29" i="8"/>
  <c r="E37" i="8"/>
  <c r="E28" i="8"/>
  <c r="E32" i="8"/>
  <c r="E27" i="8"/>
  <c r="E35" i="8"/>
  <c r="E33" i="8"/>
  <c r="E38" i="8"/>
  <c r="E11" i="4"/>
  <c r="D11" i="4"/>
  <c r="F11" i="4" s="1"/>
  <c r="G11" i="4" s="1"/>
  <c r="J11" i="4" s="1"/>
  <c r="D10" i="4"/>
  <c r="F10" i="4"/>
  <c r="G10" i="4" s="1"/>
  <c r="J10" i="4" s="1"/>
  <c r="E10" i="4"/>
  <c r="B16" i="3"/>
  <c r="D15" i="3"/>
  <c r="E14" i="3"/>
  <c r="G14" i="3"/>
  <c r="H14" i="3"/>
  <c r="F14" i="3"/>
  <c r="E7" i="4"/>
  <c r="D7" i="4"/>
  <c r="F7" i="4" s="1"/>
  <c r="G7" i="4" s="1"/>
  <c r="J7" i="4" s="1"/>
  <c r="D29" i="5"/>
  <c r="B10" i="5" s="1"/>
  <c r="J73" i="3" l="1"/>
  <c r="J68" i="3"/>
  <c r="J31" i="3"/>
  <c r="J85" i="3"/>
  <c r="J76" i="3"/>
  <c r="J70" i="3"/>
  <c r="M70" i="3" s="1"/>
  <c r="J34" i="3"/>
  <c r="J58" i="3"/>
  <c r="J64" i="3"/>
  <c r="J63" i="3"/>
  <c r="M63" i="3" s="1"/>
  <c r="J74" i="3"/>
  <c r="M74" i="3" s="1"/>
  <c r="J30" i="3"/>
  <c r="M30" i="3" s="1"/>
  <c r="J46" i="3"/>
  <c r="M46" i="3" s="1"/>
  <c r="J37" i="3"/>
  <c r="J28" i="3"/>
  <c r="J69" i="3"/>
  <c r="M69" i="3" s="1"/>
  <c r="J65" i="3"/>
  <c r="M65" i="3" s="1"/>
  <c r="J82" i="3"/>
  <c r="M82" i="3" s="1"/>
  <c r="J29" i="3"/>
  <c r="J83" i="3"/>
  <c r="J38" i="3"/>
  <c r="M38" i="3" s="1"/>
  <c r="J71" i="3"/>
  <c r="J35" i="3"/>
  <c r="M35" i="3" s="1"/>
  <c r="J59" i="3"/>
  <c r="M59" i="3" s="1"/>
  <c r="J67" i="3"/>
  <c r="J66" i="3"/>
  <c r="M66" i="3" s="1"/>
  <c r="J44" i="3"/>
  <c r="M44" i="3" s="1"/>
  <c r="J75" i="3"/>
  <c r="M75" i="3" s="1"/>
  <c r="J72" i="3"/>
  <c r="M72" i="3" s="1"/>
  <c r="J86" i="3"/>
  <c r="M86" i="3" s="1"/>
  <c r="J33" i="3"/>
  <c r="M33" i="3" s="1"/>
  <c r="J57" i="3"/>
  <c r="M57" i="3" s="1"/>
  <c r="J77" i="3"/>
  <c r="M77" i="3" s="1"/>
  <c r="J84" i="3"/>
  <c r="M84" i="3" s="1"/>
  <c r="J43" i="3"/>
  <c r="M43" i="3" s="1"/>
  <c r="J60" i="3"/>
  <c r="M60" i="3" s="1"/>
  <c r="J87" i="3"/>
  <c r="J50" i="3"/>
  <c r="M50" i="3" s="1"/>
  <c r="J61" i="3"/>
  <c r="M61" i="3" s="1"/>
  <c r="J45" i="3"/>
  <c r="M45" i="3" s="1"/>
  <c r="J42" i="3"/>
  <c r="M42" i="3" s="1"/>
  <c r="J49" i="3"/>
  <c r="M49" i="3" s="1"/>
  <c r="J56" i="3"/>
  <c r="M56" i="3" s="1"/>
  <c r="J52" i="3"/>
  <c r="M52" i="3" s="1"/>
  <c r="J41" i="3"/>
  <c r="M41" i="3" s="1"/>
  <c r="J62" i="3"/>
  <c r="M62" i="3" s="1"/>
  <c r="J40" i="3"/>
  <c r="M40" i="3" s="1"/>
  <c r="J55" i="3"/>
  <c r="M55" i="3" s="1"/>
  <c r="J51" i="3"/>
  <c r="M51" i="3" s="1"/>
  <c r="J54" i="3"/>
  <c r="M54" i="3" s="1"/>
  <c r="J48" i="3"/>
  <c r="M48" i="3" s="1"/>
  <c r="J53" i="3"/>
  <c r="M53" i="3" s="1"/>
  <c r="J47" i="3"/>
  <c r="M47" i="3" s="1"/>
  <c r="J81" i="3"/>
  <c r="M81" i="3" s="1"/>
  <c r="J80" i="3"/>
  <c r="M80" i="3" s="1"/>
  <c r="J79" i="3"/>
  <c r="M79" i="3" s="1"/>
  <c r="J78" i="3"/>
  <c r="M78" i="3" s="1"/>
  <c r="E73" i="8"/>
  <c r="E66" i="8"/>
  <c r="E71" i="8"/>
  <c r="E64" i="8"/>
  <c r="E69" i="8"/>
  <c r="E74" i="8"/>
  <c r="E67" i="8"/>
  <c r="E72" i="8"/>
  <c r="E65" i="8"/>
  <c r="E70" i="8"/>
  <c r="E63" i="8"/>
  <c r="E68" i="8"/>
  <c r="E17" i="8"/>
  <c r="E25" i="8"/>
  <c r="E26" i="8"/>
  <c r="E19" i="8"/>
  <c r="E24" i="8"/>
  <c r="E18" i="8"/>
  <c r="E15" i="8"/>
  <c r="E21" i="8"/>
  <c r="E22" i="8"/>
  <c r="E23" i="8"/>
  <c r="E16" i="8"/>
  <c r="E20" i="8"/>
  <c r="M76" i="3"/>
  <c r="K33" i="3"/>
  <c r="E56" i="8"/>
  <c r="E52" i="8"/>
  <c r="E53" i="8"/>
  <c r="E58" i="8"/>
  <c r="E51" i="8"/>
  <c r="E57" i="8"/>
  <c r="E54" i="8"/>
  <c r="E62" i="8"/>
  <c r="E61" i="8"/>
  <c r="E55" i="8"/>
  <c r="E60" i="8"/>
  <c r="E59" i="8"/>
  <c r="K53" i="3"/>
  <c r="K79" i="3"/>
  <c r="L55" i="3"/>
  <c r="K44" i="3"/>
  <c r="L67" i="3"/>
  <c r="K63" i="3"/>
  <c r="K71" i="3"/>
  <c r="M67" i="3"/>
  <c r="K30" i="3"/>
  <c r="L43" i="3"/>
  <c r="K76" i="3"/>
  <c r="L34" i="3"/>
  <c r="L86" i="3"/>
  <c r="L56" i="3"/>
  <c r="L78" i="3"/>
  <c r="L49" i="3"/>
  <c r="K78" i="3"/>
  <c r="M58" i="3"/>
  <c r="L85" i="3"/>
  <c r="M39" i="3"/>
  <c r="L53" i="3"/>
  <c r="K67" i="3"/>
  <c r="L79" i="3"/>
  <c r="L65" i="3"/>
  <c r="K14" i="3"/>
  <c r="J14" i="3"/>
  <c r="I14" i="3"/>
  <c r="L69" i="3"/>
  <c r="K60" i="3"/>
  <c r="K69" i="3"/>
  <c r="M71" i="3"/>
  <c r="K37" i="3"/>
  <c r="L45" i="3"/>
  <c r="K86" i="3"/>
  <c r="L31" i="3"/>
  <c r="L87" i="3"/>
  <c r="L52" i="3"/>
  <c r="K56" i="3"/>
  <c r="K83" i="3"/>
  <c r="M85" i="3"/>
  <c r="M36" i="3"/>
  <c r="K72" i="3"/>
  <c r="L82" i="3"/>
  <c r="K36" i="3"/>
  <c r="L66" i="3"/>
  <c r="L51" i="3"/>
  <c r="L81" i="3"/>
  <c r="L72" i="3"/>
  <c r="K58" i="3"/>
  <c r="M64" i="3"/>
  <c r="K32" i="3"/>
  <c r="K31" i="3"/>
  <c r="B8" i="5"/>
  <c r="B11" i="5" s="1"/>
  <c r="L46" i="3"/>
  <c r="K85" i="3"/>
  <c r="K82" i="3"/>
  <c r="L28" i="3"/>
  <c r="L37" i="3"/>
  <c r="L84" i="3"/>
  <c r="M31" i="3"/>
  <c r="L61" i="3"/>
  <c r="K73" i="3"/>
  <c r="K77" i="3"/>
  <c r="K42" i="3"/>
  <c r="L42" i="3"/>
  <c r="K45" i="3"/>
  <c r="K43" i="3"/>
  <c r="L41" i="3"/>
  <c r="K49" i="3"/>
  <c r="L73" i="3"/>
  <c r="K75" i="3"/>
  <c r="K28" i="3"/>
  <c r="K87" i="3"/>
  <c r="L32" i="3"/>
  <c r="L80" i="3"/>
  <c r="M37" i="3"/>
  <c r="L60" i="3"/>
  <c r="K48" i="3"/>
  <c r="L71" i="3"/>
  <c r="L35" i="3"/>
  <c r="L64" i="3"/>
  <c r="L44" i="3"/>
  <c r="M29" i="3"/>
  <c r="K50" i="3"/>
  <c r="K46" i="3"/>
  <c r="K47" i="3"/>
  <c r="L74" i="3"/>
  <c r="K54" i="3"/>
  <c r="K65" i="3"/>
  <c r="M73" i="3"/>
  <c r="K39" i="3"/>
  <c r="L50" i="3"/>
  <c r="K81" i="3"/>
  <c r="L38" i="3"/>
  <c r="L77" i="3"/>
  <c r="M28" i="3"/>
  <c r="L57" i="3"/>
  <c r="L70" i="3"/>
  <c r="L48" i="3"/>
  <c r="B17" i="3"/>
  <c r="D16" i="3"/>
  <c r="K34" i="3"/>
  <c r="L30" i="3"/>
  <c r="K61" i="3"/>
  <c r="M87" i="3"/>
  <c r="K59" i="3"/>
  <c r="L63" i="3"/>
  <c r="K40" i="3"/>
  <c r="L68" i="3"/>
  <c r="K62" i="3"/>
  <c r="K66" i="3"/>
  <c r="K38" i="3"/>
  <c r="L40" i="3"/>
  <c r="K84" i="3"/>
  <c r="L39" i="3"/>
  <c r="L76" i="3"/>
  <c r="M32" i="3"/>
  <c r="L58" i="3"/>
  <c r="K74" i="3"/>
  <c r="L29" i="3"/>
  <c r="K51" i="3"/>
  <c r="K35" i="3"/>
  <c r="L54" i="3"/>
  <c r="K55" i="3"/>
  <c r="L62" i="3"/>
  <c r="K70" i="3"/>
  <c r="K64" i="3"/>
  <c r="L36" i="3"/>
  <c r="M83" i="3"/>
  <c r="K41" i="3"/>
  <c r="L75" i="3"/>
  <c r="K52" i="3"/>
  <c r="K57" i="3"/>
  <c r="K68" i="3"/>
  <c r="M68" i="3"/>
  <c r="K29" i="3"/>
  <c r="L47" i="3"/>
  <c r="K80" i="3"/>
  <c r="H15" i="3"/>
  <c r="F15" i="3"/>
  <c r="E15" i="3"/>
  <c r="B98" i="3" s="1"/>
  <c r="G15" i="3"/>
  <c r="L33" i="3"/>
  <c r="L83" i="3"/>
  <c r="M34" i="3"/>
  <c r="L59" i="3"/>
  <c r="H5" i="8" l="1"/>
  <c r="H4" i="8" s="1"/>
  <c r="H9" i="8" s="1"/>
  <c r="F14" i="8"/>
  <c r="G14" i="8" s="1"/>
  <c r="I14" i="8" s="1"/>
  <c r="J14" i="8" s="1"/>
  <c r="F16" i="3"/>
  <c r="H16" i="3"/>
  <c r="G16" i="3"/>
  <c r="E16" i="3"/>
  <c r="B99" i="3" s="1"/>
  <c r="I15" i="3"/>
  <c r="J15" i="3"/>
  <c r="K15" i="3"/>
  <c r="D17" i="3"/>
  <c r="B18" i="3"/>
  <c r="E17" i="3" l="1"/>
  <c r="B100" i="3" s="1"/>
  <c r="G17" i="3"/>
  <c r="H17" i="3"/>
  <c r="F17" i="3"/>
  <c r="S32" i="3"/>
  <c r="S34" i="3"/>
  <c r="S29" i="3"/>
  <c r="S35" i="3"/>
  <c r="S30" i="3"/>
  <c r="S36" i="3"/>
  <c r="S38" i="3"/>
  <c r="S28" i="3"/>
  <c r="S33" i="3"/>
  <c r="S31" i="3"/>
  <c r="S37" i="3"/>
  <c r="S39" i="3"/>
  <c r="O34" i="3"/>
  <c r="O32" i="3"/>
  <c r="O29" i="3"/>
  <c r="O37" i="3"/>
  <c r="O38" i="3"/>
  <c r="O35" i="3"/>
  <c r="O39" i="3"/>
  <c r="O33" i="3"/>
  <c r="O28" i="3"/>
  <c r="O36" i="3"/>
  <c r="O31" i="3"/>
  <c r="R34" i="3"/>
  <c r="R33" i="3"/>
  <c r="R38" i="3"/>
  <c r="R32" i="3"/>
  <c r="R28" i="3"/>
  <c r="R30" i="3"/>
  <c r="R35" i="3"/>
  <c r="R31" i="3"/>
  <c r="U31" i="3" s="1"/>
  <c r="D18" i="8" s="1"/>
  <c r="R36" i="3"/>
  <c r="R39" i="3"/>
  <c r="R37" i="3"/>
  <c r="R29" i="3"/>
  <c r="N28" i="3"/>
  <c r="N39" i="3"/>
  <c r="N29" i="3"/>
  <c r="Q29" i="3" s="1"/>
  <c r="C16" i="8" s="1"/>
  <c r="N37" i="3"/>
  <c r="N36" i="3"/>
  <c r="N33" i="3"/>
  <c r="N30" i="3"/>
  <c r="Q30" i="3" s="1"/>
  <c r="C17" i="8" s="1"/>
  <c r="N32" i="3"/>
  <c r="Q32" i="3" s="1"/>
  <c r="C19" i="8" s="1"/>
  <c r="N34" i="3"/>
  <c r="N31" i="3"/>
  <c r="N35" i="3"/>
  <c r="N38" i="3"/>
  <c r="D18" i="3"/>
  <c r="B19" i="3"/>
  <c r="D19" i="3" s="1"/>
  <c r="T33" i="3"/>
  <c r="T39" i="3"/>
  <c r="T32" i="3"/>
  <c r="T30" i="3"/>
  <c r="T35" i="3"/>
  <c r="T37" i="3"/>
  <c r="T34" i="3"/>
  <c r="T38" i="3"/>
  <c r="T31" i="3"/>
  <c r="T28" i="3"/>
  <c r="T36" i="3"/>
  <c r="T29" i="3"/>
  <c r="P30" i="3"/>
  <c r="P33" i="3"/>
  <c r="P28" i="3"/>
  <c r="P34" i="3"/>
  <c r="P36" i="3"/>
  <c r="P38" i="3"/>
  <c r="P37" i="3"/>
  <c r="P29" i="3"/>
  <c r="P35" i="3"/>
  <c r="P39" i="3"/>
  <c r="P32" i="3"/>
  <c r="P31" i="3"/>
  <c r="K16" i="3"/>
  <c r="J16" i="3"/>
  <c r="I16" i="3"/>
  <c r="Q37" i="3" l="1"/>
  <c r="C24" i="8" s="1"/>
  <c r="Q33" i="3"/>
  <c r="C20" i="8" s="1"/>
  <c r="U35" i="3"/>
  <c r="D22" i="8" s="1"/>
  <c r="U30" i="3"/>
  <c r="D17" i="8" s="1"/>
  <c r="G17" i="8" s="1"/>
  <c r="H17" i="8" s="1"/>
  <c r="I17" i="8" s="1"/>
  <c r="T41" i="3"/>
  <c r="T43" i="3"/>
  <c r="T50" i="3"/>
  <c r="T40" i="3"/>
  <c r="T42" i="3"/>
  <c r="T49" i="3"/>
  <c r="T44" i="3"/>
  <c r="T47" i="3"/>
  <c r="T46" i="3"/>
  <c r="T48" i="3"/>
  <c r="T45" i="3"/>
  <c r="T51" i="3"/>
  <c r="P50" i="3"/>
  <c r="P41" i="3"/>
  <c r="P43" i="3"/>
  <c r="P42" i="3"/>
  <c r="P40" i="3"/>
  <c r="P48" i="3"/>
  <c r="P46" i="3"/>
  <c r="P51" i="3"/>
  <c r="P45" i="3"/>
  <c r="P47" i="3"/>
  <c r="P49" i="3"/>
  <c r="P44" i="3"/>
  <c r="S46" i="3"/>
  <c r="S49" i="3"/>
  <c r="S40" i="3"/>
  <c r="S42" i="3"/>
  <c r="S50" i="3"/>
  <c r="S44" i="3"/>
  <c r="S47" i="3"/>
  <c r="S43" i="3"/>
  <c r="S45" i="3"/>
  <c r="S48" i="3"/>
  <c r="S41" i="3"/>
  <c r="S51" i="3"/>
  <c r="O48" i="3"/>
  <c r="O49" i="3"/>
  <c r="O42" i="3"/>
  <c r="O51" i="3"/>
  <c r="O41" i="3"/>
  <c r="O50" i="3"/>
  <c r="O46" i="3"/>
  <c r="O44" i="3"/>
  <c r="O40" i="3"/>
  <c r="O45" i="3"/>
  <c r="O47" i="3"/>
  <c r="O43" i="3"/>
  <c r="H19" i="3"/>
  <c r="G19" i="3"/>
  <c r="F19" i="3"/>
  <c r="E19" i="3"/>
  <c r="B102" i="3" s="1"/>
  <c r="U32" i="3"/>
  <c r="D19" i="8" s="1"/>
  <c r="G19" i="8" s="1"/>
  <c r="Q39" i="3"/>
  <c r="C26" i="8" s="1"/>
  <c r="G18" i="3"/>
  <c r="F18" i="3"/>
  <c r="H18" i="3"/>
  <c r="E18" i="3"/>
  <c r="B101" i="3" s="1"/>
  <c r="Q28" i="3"/>
  <c r="U34" i="3"/>
  <c r="D21" i="8" s="1"/>
  <c r="U29" i="3"/>
  <c r="D16" i="8" s="1"/>
  <c r="G16" i="8" s="1"/>
  <c r="Q36" i="3"/>
  <c r="C23" i="8" s="1"/>
  <c r="Q35" i="3"/>
  <c r="C22" i="8" s="1"/>
  <c r="G22" i="8" s="1"/>
  <c r="U37" i="3"/>
  <c r="D24" i="8" s="1"/>
  <c r="G24" i="8" s="1"/>
  <c r="U38" i="3"/>
  <c r="D25" i="8" s="1"/>
  <c r="U33" i="3"/>
  <c r="D20" i="8" s="1"/>
  <c r="G20" i="8" s="1"/>
  <c r="Q38" i="3"/>
  <c r="C25" i="8" s="1"/>
  <c r="Q31" i="3"/>
  <c r="C18" i="8" s="1"/>
  <c r="G18" i="8" s="1"/>
  <c r="U39" i="3"/>
  <c r="D26" i="8" s="1"/>
  <c r="R48" i="3"/>
  <c r="R50" i="3"/>
  <c r="R46" i="3"/>
  <c r="R41" i="3"/>
  <c r="R40" i="3"/>
  <c r="R45" i="3"/>
  <c r="R47" i="3"/>
  <c r="R42" i="3"/>
  <c r="R43" i="3"/>
  <c r="R49" i="3"/>
  <c r="R51" i="3"/>
  <c r="R44" i="3"/>
  <c r="N42" i="3"/>
  <c r="N41" i="3"/>
  <c r="N51" i="3"/>
  <c r="N46" i="3"/>
  <c r="N50" i="3"/>
  <c r="N45" i="3"/>
  <c r="N47" i="3"/>
  <c r="N40" i="3"/>
  <c r="N44" i="3"/>
  <c r="N43" i="3"/>
  <c r="N49" i="3"/>
  <c r="N48" i="3"/>
  <c r="U28" i="3"/>
  <c r="D15" i="8" s="1"/>
  <c r="Q34" i="3"/>
  <c r="C21" i="8" s="1"/>
  <c r="U36" i="3"/>
  <c r="D23" i="8" s="1"/>
  <c r="J17" i="3"/>
  <c r="I17" i="3"/>
  <c r="K17" i="3"/>
  <c r="U42" i="3" l="1"/>
  <c r="D29" i="8" s="1"/>
  <c r="C15" i="8"/>
  <c r="C98" i="3"/>
  <c r="G21" i="8"/>
  <c r="U40" i="3"/>
  <c r="D27" i="8" s="1"/>
  <c r="G26" i="8"/>
  <c r="H26" i="8" s="1"/>
  <c r="I26" i="8" s="1"/>
  <c r="U43" i="3"/>
  <c r="D30" i="8" s="1"/>
  <c r="U47" i="3"/>
  <c r="D34" i="8" s="1"/>
  <c r="U50" i="3"/>
  <c r="D37" i="8" s="1"/>
  <c r="Q42" i="3"/>
  <c r="C29" i="8" s="1"/>
  <c r="G29" i="8" s="1"/>
  <c r="Q44" i="3"/>
  <c r="C31" i="8" s="1"/>
  <c r="Q40" i="3"/>
  <c r="Q47" i="3"/>
  <c r="C34" i="8" s="1"/>
  <c r="Q50" i="3"/>
  <c r="C37" i="8" s="1"/>
  <c r="Q51" i="3"/>
  <c r="C38" i="8" s="1"/>
  <c r="Q41" i="3"/>
  <c r="C28" i="8" s="1"/>
  <c r="H19" i="8"/>
  <c r="I19" i="8" s="1"/>
  <c r="H20" i="8"/>
  <c r="I20" i="8" s="1"/>
  <c r="H16" i="8"/>
  <c r="I16" i="8" s="1"/>
  <c r="H24" i="8"/>
  <c r="I24" i="8" s="1"/>
  <c r="U45" i="3"/>
  <c r="D32" i="8" s="1"/>
  <c r="H22" i="8"/>
  <c r="I22" i="8" s="1"/>
  <c r="G23" i="8"/>
  <c r="I18" i="3"/>
  <c r="K18" i="3"/>
  <c r="J18" i="3"/>
  <c r="Q45" i="3"/>
  <c r="C32" i="8" s="1"/>
  <c r="Q46" i="3"/>
  <c r="C33" i="8" s="1"/>
  <c r="U46" i="3"/>
  <c r="D33" i="8" s="1"/>
  <c r="T55" i="3"/>
  <c r="T53" i="3"/>
  <c r="T61" i="3"/>
  <c r="T63" i="3"/>
  <c r="T57" i="3"/>
  <c r="T56" i="3"/>
  <c r="T62" i="3"/>
  <c r="T58" i="3"/>
  <c r="T60" i="3"/>
  <c r="T52" i="3"/>
  <c r="T59" i="3"/>
  <c r="T54" i="3"/>
  <c r="P62" i="3"/>
  <c r="P58" i="3"/>
  <c r="P54" i="3"/>
  <c r="P55" i="3"/>
  <c r="P63" i="3"/>
  <c r="P60" i="3"/>
  <c r="P53" i="3"/>
  <c r="P52" i="3"/>
  <c r="P61" i="3"/>
  <c r="P56" i="3"/>
  <c r="P57" i="3"/>
  <c r="P59" i="3"/>
  <c r="R61" i="3"/>
  <c r="R58" i="3"/>
  <c r="R62" i="3"/>
  <c r="R63" i="3"/>
  <c r="R56" i="3"/>
  <c r="R55" i="3"/>
  <c r="R54" i="3"/>
  <c r="R52" i="3"/>
  <c r="R59" i="3"/>
  <c r="R53" i="3"/>
  <c r="R57" i="3"/>
  <c r="R60" i="3"/>
  <c r="N58" i="3"/>
  <c r="N62" i="3"/>
  <c r="N53" i="3"/>
  <c r="N52" i="3"/>
  <c r="N59" i="3"/>
  <c r="N56" i="3"/>
  <c r="N57" i="3"/>
  <c r="N61" i="3"/>
  <c r="N60" i="3"/>
  <c r="N55" i="3"/>
  <c r="N54" i="3"/>
  <c r="N63" i="3"/>
  <c r="U48" i="3"/>
  <c r="D35" i="8" s="1"/>
  <c r="I19" i="3"/>
  <c r="K19" i="3"/>
  <c r="J19" i="3"/>
  <c r="S63" i="3"/>
  <c r="S59" i="3"/>
  <c r="S57" i="3"/>
  <c r="S54" i="3"/>
  <c r="S62" i="3"/>
  <c r="S53" i="3"/>
  <c r="S55" i="3"/>
  <c r="S58" i="3"/>
  <c r="S61" i="3"/>
  <c r="S52" i="3"/>
  <c r="S56" i="3"/>
  <c r="S60" i="3"/>
  <c r="O61" i="3"/>
  <c r="O55" i="3"/>
  <c r="O57" i="3"/>
  <c r="O53" i="3"/>
  <c r="O52" i="3"/>
  <c r="O63" i="3"/>
  <c r="O62" i="3"/>
  <c r="O58" i="3"/>
  <c r="O59" i="3"/>
  <c r="O56" i="3"/>
  <c r="O60" i="3"/>
  <c r="O54" i="3"/>
  <c r="H21" i="8"/>
  <c r="I21" i="8" s="1"/>
  <c r="Q48" i="3"/>
  <c r="C35" i="8" s="1"/>
  <c r="Q49" i="3"/>
  <c r="C36" i="8" s="1"/>
  <c r="G36" i="8" s="1"/>
  <c r="U51" i="3"/>
  <c r="D38" i="8" s="1"/>
  <c r="H18" i="8"/>
  <c r="I18" i="8" s="1"/>
  <c r="U41" i="3"/>
  <c r="D28" i="8" s="1"/>
  <c r="U44" i="3"/>
  <c r="D31" i="8" s="1"/>
  <c r="Q43" i="3"/>
  <c r="C30" i="8" s="1"/>
  <c r="U49" i="3"/>
  <c r="D36" i="8" s="1"/>
  <c r="G25" i="8"/>
  <c r="G15" i="8"/>
  <c r="U57" i="3" l="1"/>
  <c r="D44" i="8" s="1"/>
  <c r="Q60" i="3"/>
  <c r="C47" i="8" s="1"/>
  <c r="C27" i="8"/>
  <c r="G27" i="8" s="1"/>
  <c r="H27" i="8" s="1"/>
  <c r="I27" i="8" s="1"/>
  <c r="G34" i="8"/>
  <c r="H34" i="8" s="1"/>
  <c r="I34" i="8" s="1"/>
  <c r="G37" i="8"/>
  <c r="H37" i="8" s="1"/>
  <c r="I37" i="8" s="1"/>
  <c r="G30" i="8"/>
  <c r="H30" i="8" s="1"/>
  <c r="I30" i="8" s="1"/>
  <c r="U60" i="3"/>
  <c r="D47" i="8" s="1"/>
  <c r="G47" i="8" s="1"/>
  <c r="G38" i="8"/>
  <c r="H38" i="8" s="1"/>
  <c r="I38" i="8" s="1"/>
  <c r="G28" i="8"/>
  <c r="H28" i="8" s="1"/>
  <c r="I28" i="8" s="1"/>
  <c r="U61" i="3"/>
  <c r="D48" i="8" s="1"/>
  <c r="G31" i="8"/>
  <c r="H31" i="8" s="1"/>
  <c r="I31" i="8" s="1"/>
  <c r="Q53" i="3"/>
  <c r="C40" i="8" s="1"/>
  <c r="U62" i="3"/>
  <c r="D49" i="8" s="1"/>
  <c r="U58" i="3"/>
  <c r="D45" i="8" s="1"/>
  <c r="H36" i="8"/>
  <c r="I36" i="8" s="1"/>
  <c r="G35" i="8"/>
  <c r="H29" i="8"/>
  <c r="I29" i="8" s="1"/>
  <c r="G33" i="8"/>
  <c r="G32" i="8"/>
  <c r="Q63" i="3"/>
  <c r="C50" i="8" s="1"/>
  <c r="Q54" i="3"/>
  <c r="C41" i="8" s="1"/>
  <c r="U59" i="3"/>
  <c r="D46" i="8" s="1"/>
  <c r="Q61" i="3"/>
  <c r="C48" i="8" s="1"/>
  <c r="U52" i="3"/>
  <c r="D39" i="8" s="1"/>
  <c r="S69" i="3"/>
  <c r="S71" i="3"/>
  <c r="S67" i="3"/>
  <c r="S66" i="3"/>
  <c r="S64" i="3"/>
  <c r="S70" i="3"/>
  <c r="S68" i="3"/>
  <c r="S65" i="3"/>
  <c r="S73" i="3"/>
  <c r="S75" i="3"/>
  <c r="S72" i="3"/>
  <c r="S74" i="3"/>
  <c r="O66" i="3"/>
  <c r="O73" i="3"/>
  <c r="O64" i="3"/>
  <c r="O74" i="3"/>
  <c r="O75" i="3"/>
  <c r="O65" i="3"/>
  <c r="O67" i="3"/>
  <c r="O71" i="3"/>
  <c r="O72" i="3"/>
  <c r="O70" i="3"/>
  <c r="O68" i="3"/>
  <c r="O69" i="3"/>
  <c r="H15" i="8"/>
  <c r="I15" i="8" s="1"/>
  <c r="Q58" i="3"/>
  <c r="C45" i="8" s="1"/>
  <c r="Q57" i="3"/>
  <c r="C44" i="8" s="1"/>
  <c r="G44" i="8" s="1"/>
  <c r="U54" i="3"/>
  <c r="D41" i="8" s="1"/>
  <c r="T67" i="3"/>
  <c r="T74" i="3"/>
  <c r="T73" i="3"/>
  <c r="T65" i="3"/>
  <c r="T72" i="3"/>
  <c r="T66" i="3"/>
  <c r="T75" i="3"/>
  <c r="T68" i="3"/>
  <c r="T71" i="3"/>
  <c r="T69" i="3"/>
  <c r="T70" i="3"/>
  <c r="T64" i="3"/>
  <c r="P73" i="3"/>
  <c r="P71" i="3"/>
  <c r="P70" i="3"/>
  <c r="P68" i="3"/>
  <c r="P67" i="3"/>
  <c r="P65" i="3"/>
  <c r="P74" i="3"/>
  <c r="P64" i="3"/>
  <c r="P72" i="3"/>
  <c r="P66" i="3"/>
  <c r="P75" i="3"/>
  <c r="P69" i="3"/>
  <c r="Q56" i="3"/>
  <c r="C43" i="8" s="1"/>
  <c r="U55" i="3"/>
  <c r="D42" i="8" s="1"/>
  <c r="R73" i="3"/>
  <c r="R75" i="3"/>
  <c r="R66" i="3"/>
  <c r="R70" i="3"/>
  <c r="R65" i="3"/>
  <c r="R74" i="3"/>
  <c r="R72" i="3"/>
  <c r="U72" i="3" s="1"/>
  <c r="D59" i="8" s="1"/>
  <c r="R67" i="3"/>
  <c r="R71" i="3"/>
  <c r="R69" i="3"/>
  <c r="R64" i="3"/>
  <c r="R68" i="3"/>
  <c r="N66" i="3"/>
  <c r="N70" i="3"/>
  <c r="N72" i="3"/>
  <c r="N64" i="3"/>
  <c r="N75" i="3"/>
  <c r="N65" i="3"/>
  <c r="N67" i="3"/>
  <c r="N71" i="3"/>
  <c r="N73" i="3"/>
  <c r="N69" i="3"/>
  <c r="N68" i="3"/>
  <c r="N74" i="3"/>
  <c r="R82" i="3"/>
  <c r="R78" i="3"/>
  <c r="R80" i="3"/>
  <c r="R87" i="3"/>
  <c r="R79" i="3"/>
  <c r="R86" i="3"/>
  <c r="R81" i="3"/>
  <c r="R85" i="3"/>
  <c r="R76" i="3"/>
  <c r="R83" i="3"/>
  <c r="R84" i="3"/>
  <c r="R77" i="3"/>
  <c r="N79" i="3"/>
  <c r="N84" i="3"/>
  <c r="N80" i="3"/>
  <c r="N82" i="3"/>
  <c r="N85" i="3"/>
  <c r="N78" i="3"/>
  <c r="N77" i="3"/>
  <c r="N81" i="3"/>
  <c r="N86" i="3"/>
  <c r="N83" i="3"/>
  <c r="N87" i="3"/>
  <c r="N76" i="3"/>
  <c r="Q55" i="3"/>
  <c r="C42" i="8" s="1"/>
  <c r="U53" i="3"/>
  <c r="D40" i="8" s="1"/>
  <c r="S85" i="3"/>
  <c r="S77" i="3"/>
  <c r="S87" i="3"/>
  <c r="S80" i="3"/>
  <c r="S79" i="3"/>
  <c r="S86" i="3"/>
  <c r="S78" i="3"/>
  <c r="S84" i="3"/>
  <c r="S83" i="3"/>
  <c r="S76" i="3"/>
  <c r="S81" i="3"/>
  <c r="S82" i="3"/>
  <c r="O87" i="3"/>
  <c r="O77" i="3"/>
  <c r="O86" i="3"/>
  <c r="O85" i="3"/>
  <c r="O80" i="3"/>
  <c r="O78" i="3"/>
  <c r="O81" i="3"/>
  <c r="O83" i="3"/>
  <c r="O84" i="3"/>
  <c r="O76" i="3"/>
  <c r="O82" i="3"/>
  <c r="O79" i="3"/>
  <c r="Q59" i="3"/>
  <c r="C46" i="8" s="1"/>
  <c r="U56" i="3"/>
  <c r="D43" i="8" s="1"/>
  <c r="H23" i="8"/>
  <c r="I23" i="8" s="1"/>
  <c r="Q62" i="3"/>
  <c r="C49" i="8" s="1"/>
  <c r="G49" i="8" s="1"/>
  <c r="H25" i="8"/>
  <c r="I25" i="8" s="1"/>
  <c r="T83" i="3"/>
  <c r="T79" i="3"/>
  <c r="T84" i="3"/>
  <c r="T80" i="3"/>
  <c r="T82" i="3"/>
  <c r="T87" i="3"/>
  <c r="T85" i="3"/>
  <c r="T86" i="3"/>
  <c r="T78" i="3"/>
  <c r="T77" i="3"/>
  <c r="T81" i="3"/>
  <c r="T76" i="3"/>
  <c r="P87" i="3"/>
  <c r="P76" i="3"/>
  <c r="P86" i="3"/>
  <c r="P84" i="3"/>
  <c r="P77" i="3"/>
  <c r="P83" i="3"/>
  <c r="P82" i="3"/>
  <c r="P78" i="3"/>
  <c r="P85" i="3"/>
  <c r="P79" i="3"/>
  <c r="P81" i="3"/>
  <c r="P80" i="3"/>
  <c r="Q52" i="3"/>
  <c r="U63" i="3"/>
  <c r="D50" i="8" s="1"/>
  <c r="G46" i="8" l="1"/>
  <c r="C39" i="8"/>
  <c r="G48" i="8"/>
  <c r="G45" i="8"/>
  <c r="G40" i="8"/>
  <c r="U71" i="3"/>
  <c r="D58" i="8" s="1"/>
  <c r="G39" i="8"/>
  <c r="H39" i="8" s="1"/>
  <c r="I39" i="8" s="1"/>
  <c r="G42" i="8"/>
  <c r="U67" i="3"/>
  <c r="D54" i="8" s="1"/>
  <c r="U74" i="3"/>
  <c r="D61" i="8" s="1"/>
  <c r="U76" i="3"/>
  <c r="D63" i="8" s="1"/>
  <c r="U65" i="3"/>
  <c r="D52" i="8" s="1"/>
  <c r="U73" i="3"/>
  <c r="D60" i="8" s="1"/>
  <c r="U81" i="3"/>
  <c r="D68" i="8" s="1"/>
  <c r="Q86" i="3"/>
  <c r="C73" i="8" s="1"/>
  <c r="Q77" i="3"/>
  <c r="C64" i="8" s="1"/>
  <c r="Q73" i="3"/>
  <c r="C60" i="8" s="1"/>
  <c r="Q70" i="3"/>
  <c r="C57" i="8" s="1"/>
  <c r="Q71" i="3"/>
  <c r="C58" i="8" s="1"/>
  <c r="G58" i="8" s="1"/>
  <c r="Q67" i="3"/>
  <c r="C54" i="8" s="1"/>
  <c r="Q65" i="3"/>
  <c r="C52" i="8" s="1"/>
  <c r="H40" i="8"/>
  <c r="I40" i="8" s="1"/>
  <c r="H45" i="8"/>
  <c r="I45" i="8" s="1"/>
  <c r="H35" i="8"/>
  <c r="I35" i="8" s="1"/>
  <c r="Q81" i="3"/>
  <c r="C68" i="8" s="1"/>
  <c r="U85" i="3"/>
  <c r="D72" i="8" s="1"/>
  <c r="U86" i="3"/>
  <c r="D73" i="8" s="1"/>
  <c r="Q75" i="3"/>
  <c r="C62" i="8" s="1"/>
  <c r="H44" i="8"/>
  <c r="I44" i="8" s="1"/>
  <c r="Q82" i="3"/>
  <c r="C69" i="8" s="1"/>
  <c r="U87" i="3"/>
  <c r="D74" i="8" s="1"/>
  <c r="Q64" i="3"/>
  <c r="U70" i="3"/>
  <c r="D57" i="8" s="1"/>
  <c r="H49" i="8"/>
  <c r="I49" i="8"/>
  <c r="J15" i="8"/>
  <c r="Q78" i="3"/>
  <c r="C65" i="8" s="1"/>
  <c r="Q72" i="3"/>
  <c r="C59" i="8" s="1"/>
  <c r="G59" i="8" s="1"/>
  <c r="H48" i="8"/>
  <c r="I48" i="8" s="1"/>
  <c r="U66" i="3"/>
  <c r="D53" i="8" s="1"/>
  <c r="Q84" i="3"/>
  <c r="C71" i="8" s="1"/>
  <c r="U78" i="3"/>
  <c r="D65" i="8" s="1"/>
  <c r="U75" i="3"/>
  <c r="D62" i="8" s="1"/>
  <c r="H46" i="8"/>
  <c r="I46" i="8" s="1"/>
  <c r="H42" i="8"/>
  <c r="I42" i="8" s="1"/>
  <c r="Q79" i="3"/>
  <c r="C66" i="8" s="1"/>
  <c r="U82" i="3"/>
  <c r="D69" i="8" s="1"/>
  <c r="Q66" i="3"/>
  <c r="C53" i="8" s="1"/>
  <c r="G41" i="8"/>
  <c r="Q85" i="3"/>
  <c r="C72" i="8" s="1"/>
  <c r="Q80" i="3"/>
  <c r="C67" i="8" s="1"/>
  <c r="H47" i="8"/>
  <c r="I47" i="8" s="1"/>
  <c r="Q76" i="3"/>
  <c r="U77" i="3"/>
  <c r="D64" i="8" s="1"/>
  <c r="Q74" i="3"/>
  <c r="C61" i="8" s="1"/>
  <c r="U68" i="3"/>
  <c r="D55" i="8" s="1"/>
  <c r="G50" i="8"/>
  <c r="H33" i="8"/>
  <c r="I33" i="8" s="1"/>
  <c r="U79" i="3"/>
  <c r="D66" i="8" s="1"/>
  <c r="Q87" i="3"/>
  <c r="C74" i="8" s="1"/>
  <c r="U84" i="3"/>
  <c r="D71" i="8" s="1"/>
  <c r="Q68" i="3"/>
  <c r="C55" i="8" s="1"/>
  <c r="U64" i="3"/>
  <c r="D51" i="8" s="1"/>
  <c r="G43" i="8"/>
  <c r="H32" i="8"/>
  <c r="I32" i="8" s="1"/>
  <c r="U80" i="3"/>
  <c r="D67" i="8" s="1"/>
  <c r="Q83" i="3"/>
  <c r="C70" i="8" s="1"/>
  <c r="U83" i="3"/>
  <c r="D70" i="8" s="1"/>
  <c r="Q69" i="3"/>
  <c r="C56" i="8" s="1"/>
  <c r="U69" i="3"/>
  <c r="D56" i="8" s="1"/>
  <c r="C51" i="8" l="1"/>
  <c r="C63" i="8"/>
  <c r="G60" i="8"/>
  <c r="H60" i="8" s="1"/>
  <c r="I60" i="8" s="1"/>
  <c r="G73" i="8"/>
  <c r="G69" i="8"/>
  <c r="G57" i="8"/>
  <c r="H57" i="8" s="1"/>
  <c r="I57" i="8" s="1"/>
  <c r="G67" i="8"/>
  <c r="H67" i="8" s="1"/>
  <c r="I67" i="8" s="1"/>
  <c r="G68" i="8"/>
  <c r="H68" i="8" s="1"/>
  <c r="I68" i="8" s="1"/>
  <c r="G64" i="8"/>
  <c r="G61" i="8"/>
  <c r="H61" i="8" s="1"/>
  <c r="I61" i="8" s="1"/>
  <c r="G54" i="8"/>
  <c r="H54" i="8" s="1"/>
  <c r="I54" i="8" s="1"/>
  <c r="G53" i="8"/>
  <c r="H53" i="8" s="1"/>
  <c r="I53" i="8" s="1"/>
  <c r="G66" i="8"/>
  <c r="H66" i="8" s="1"/>
  <c r="I66" i="8" s="1"/>
  <c r="G70" i="8"/>
  <c r="H70" i="8" s="1"/>
  <c r="I70" i="8" s="1"/>
  <c r="G63" i="8"/>
  <c r="H63" i="8" s="1"/>
  <c r="G52" i="8"/>
  <c r="H52" i="8" s="1"/>
  <c r="I52" i="8" s="1"/>
  <c r="H73" i="8"/>
  <c r="I73" i="8" s="1"/>
  <c r="G51" i="8"/>
  <c r="G71" i="8"/>
  <c r="H50" i="8"/>
  <c r="I50" i="8" s="1"/>
  <c r="H41" i="8"/>
  <c r="I41" i="8" s="1"/>
  <c r="H64" i="8"/>
  <c r="I64" i="8" s="1"/>
  <c r="G55" i="8"/>
  <c r="H58" i="8"/>
  <c r="I58" i="8" s="1"/>
  <c r="G74" i="8"/>
  <c r="G65" i="8"/>
  <c r="H59" i="8"/>
  <c r="I59" i="8" s="1"/>
  <c r="G72" i="8"/>
  <c r="H43" i="8"/>
  <c r="I43" i="8" s="1"/>
  <c r="G56" i="8"/>
  <c r="H69" i="8"/>
  <c r="I69" i="8" s="1"/>
  <c r="J16" i="8"/>
  <c r="J17" i="8" s="1"/>
  <c r="J18" i="8" s="1"/>
  <c r="J19" i="8" s="1"/>
  <c r="J20" i="8" s="1"/>
  <c r="J21" i="8" s="1"/>
  <c r="G62" i="8"/>
  <c r="J22" i="8" l="1"/>
  <c r="I63" i="8"/>
  <c r="H55" i="8"/>
  <c r="I55" i="8" s="1"/>
  <c r="H51" i="8"/>
  <c r="I51" i="8" s="1"/>
  <c r="H71" i="8"/>
  <c r="I71" i="8"/>
  <c r="H72" i="8"/>
  <c r="I72" i="8" s="1"/>
  <c r="B10" i="8"/>
  <c r="H56" i="8"/>
  <c r="I56" i="8" s="1"/>
  <c r="H65" i="8"/>
  <c r="I65" i="8" s="1"/>
  <c r="H74" i="8"/>
  <c r="I74" i="8" s="1"/>
  <c r="H62" i="8"/>
  <c r="I62" i="8" s="1"/>
  <c r="J23" i="8" l="1"/>
  <c r="J24" i="8" s="1"/>
  <c r="J25" i="8" s="1"/>
  <c r="J26" i="8" s="1"/>
  <c r="J27" i="8" s="1"/>
  <c r="J28" i="8" s="1"/>
  <c r="J29" i="8" s="1"/>
  <c r="J30" i="8" s="1"/>
  <c r="J31" i="8" s="1"/>
  <c r="J32" i="8" s="1"/>
  <c r="J33" i="8" s="1"/>
  <c r="J34" i="8" s="1"/>
  <c r="J35" i="8" s="1"/>
  <c r="J36" i="8" s="1"/>
  <c r="J37" i="8" s="1"/>
  <c r="J38" i="8" s="1"/>
  <c r="J39" i="8" s="1"/>
  <c r="J40" i="8" s="1"/>
  <c r="J41" i="8" s="1"/>
  <c r="J42" i="8" s="1"/>
  <c r="J43" i="8" s="1"/>
  <c r="J44" i="8" s="1"/>
  <c r="J45" i="8" s="1"/>
  <c r="J46" i="8" s="1"/>
  <c r="J47" i="8" s="1"/>
  <c r="J48" i="8" s="1"/>
  <c r="J49" i="8" s="1"/>
  <c r="J50" i="8" s="1"/>
  <c r="J51" i="8" s="1"/>
  <c r="J52" i="8" s="1"/>
  <c r="J53" i="8" s="1"/>
  <c r="J54" i="8" s="1"/>
  <c r="J55" i="8" s="1"/>
  <c r="J56" i="8" s="1"/>
  <c r="J57" i="8" s="1"/>
  <c r="J58" i="8" s="1"/>
  <c r="J59" i="8" s="1"/>
  <c r="J60" i="8" s="1"/>
  <c r="J61" i="8" s="1"/>
  <c r="J62" i="8" s="1"/>
  <c r="J63" i="8" s="1"/>
  <c r="J64" i="8" s="1"/>
  <c r="J65" i="8" s="1"/>
  <c r="J66" i="8" s="1"/>
  <c r="J67" i="8" s="1"/>
  <c r="J68" i="8" s="1"/>
  <c r="J69" i="8" s="1"/>
  <c r="J70" i="8" s="1"/>
  <c r="J71" i="8" s="1"/>
  <c r="J72" i="8" s="1"/>
  <c r="J73" i="8" s="1"/>
  <c r="J74" i="8" s="1"/>
  <c r="B7" i="8" s="1"/>
  <c r="B8" i="8" s="1"/>
  <c r="B6" i="8"/>
  <c r="B9" i="8" a="1"/>
  <c r="B9" i="8" s="1"/>
  <c r="B5" i="8"/>
  <c r="B4" i="8" a="1"/>
  <c r="B4" i="8" s="1"/>
</calcChain>
</file>

<file path=xl/sharedStrings.xml><?xml version="1.0" encoding="utf-8"?>
<sst xmlns="http://schemas.openxmlformats.org/spreadsheetml/2006/main" count="360" uniqueCount="288">
  <si>
    <t>TRM (HOY)</t>
  </si>
  <si>
    <t>año</t>
  </si>
  <si>
    <t>mes</t>
  </si>
  <si>
    <t>TMR (Pronostico)</t>
  </si>
  <si>
    <t>COMPONENTES DE LAS PATINETAS</t>
  </si>
  <si>
    <t>Esta sección detalla los costos de los componentes necesarios para el ensamblaje de los tres modelos de patinetas propuestos en el proyecto de automatización. A partir de estos datos, se calcula el costo total de ensamblaje de cada modelo. Esta información es fundamental para la hoja de ventas, donde se utiliza para determinar el costo de ventas y establecer el precio final de cada patineta.</t>
  </si>
  <si>
    <t>PATINETA 500W</t>
  </si>
  <si>
    <t>PATINETA 800W</t>
  </si>
  <si>
    <t>PATINETA 2000W</t>
  </si>
  <si>
    <t>COMPONENTE</t>
  </si>
  <si>
    <t>PRECIO UNITARIO (USD)</t>
  </si>
  <si>
    <t>CANTIDAD</t>
  </si>
  <si>
    <t>TOTAL (USD)</t>
  </si>
  <si>
    <t>DESCRIPCIÓN</t>
  </si>
  <si>
    <t>TIENDA</t>
  </si>
  <si>
    <t>Chasis  (2000W)</t>
  </si>
  <si>
    <t>Geofought (13/14″ aluminio + suspensión)</t>
  </si>
  <si>
    <t>Geofought electric scooter</t>
  </si>
  <si>
    <t>Chasis (800W)</t>
  </si>
  <si>
    <t>Geofought (11″ aluminio + suspensión)</t>
  </si>
  <si>
    <t>Chasis (500W)</t>
  </si>
  <si>
    <t>Sillín y Soporte Sillín (800W)</t>
  </si>
  <si>
    <t>GoTrax Fusion sea</t>
  </si>
  <si>
    <t>Fusion Electric Scooter Seat</t>
  </si>
  <si>
    <t>Sillín y Soporte Sillín (2000W)</t>
  </si>
  <si>
    <t>Asiento Scooter Eléctrico, 40‐55cm Altura Ajustable Scooter Eléctrico Plegable Mar</t>
  </si>
  <si>
    <t>Electric Scooter Seat, 40‑55cm Height Adjustable Electric Scooter Folding Sea... | eBay</t>
  </si>
  <si>
    <t>Neumático 1</t>
  </si>
  <si>
    <t>Neumático KENDA 145/70-6 para adultos, scooters eléctricos populares de 1200W y 500 vatios, triangulación de envíos para escooter de 1200W y 500 vatios</t>
  </si>
  <si>
    <t>Neumático Kenda 145/70-6 Para Adultos,Scooters Eléctricos Populares De 1200w Y 500 Vatios,Triangulación De Envíos Para Escooter De 1200w Y 500 Vatios - Buy 145/70-6 Kenda Tire E Scooter Adults 1200w Electric Scooter Popular Dropshipping Scooter 500 Watt Escooter Electric Motorcycles For Adults Product on Alibaba.com</t>
  </si>
  <si>
    <t>Rueda 1</t>
  </si>
  <si>
    <t>RUEDA COMPLETA MINIQUAD 16x8.00/7"</t>
  </si>
  <si>
    <t>LLANTA + NEUMATICO MINIQUAD 16x8.00/7"</t>
  </si>
  <si>
    <t>Manubrio 1</t>
  </si>
  <si>
    <t>Juego Completo De Manillares 8in Para Scooter Eléctrico</t>
  </si>
  <si>
    <t>Juego Completo De Manillares 8in Para Scooter Eléctrico | Cuotas sin interés</t>
  </si>
  <si>
    <t>Manillar  1</t>
  </si>
  <si>
    <t>Manillar de patinete eléctrico NANROBOT  (manubrio D6+/N6/Lightning):</t>
  </si>
  <si>
    <t>NANROBOT Electric Scooter Handlebar | NANROBOT</t>
  </si>
  <si>
    <t>Motor y componentes eléctricos (2000W)</t>
  </si>
  <si>
    <t>Kit de motor 60V BLDC 2000W controlador sin escobillas para scooter eléctrico</t>
  </si>
  <si>
    <t>60V BLDC Motor Kit 2000W Brushless Controller For Electric Scooter scooter | eBay</t>
  </si>
  <si>
    <t>Motor y componentes eléctricos (800W)</t>
  </si>
  <si>
    <t>Motor de carretilla para scooter eléctrico de 13 pulgadas 24V/36V 350W 800W motor BLDC</t>
  </si>
  <si>
    <t>https://ebay.us/m/XC7inh</t>
  </si>
  <si>
    <t>Motor y componentes eléctricos (500W)</t>
  </si>
  <si>
    <t>Motor eléctrico UNITE Crazy Cart 500W Watt 36V Volt Razor MY1018E-D XL 11T Sprokt-</t>
  </si>
  <si>
    <t>https://ebay.us/m/i5A3hU</t>
  </si>
  <si>
    <t>VENTAS</t>
  </si>
  <si>
    <t>TAMAÑO ACTUAL MERCADO</t>
  </si>
  <si>
    <t>PARTICIPACIÓN ACTUAL EN EL MERCADO</t>
  </si>
  <si>
    <t>COSTO COMPONENTES (USD)</t>
  </si>
  <si>
    <t>DISTRIBUCIÓN VENTAS</t>
  </si>
  <si>
    <t>PATINETA 2000 W</t>
  </si>
  <si>
    <t>CRECIMIENTO PROYECTADO DEL MERCADO (ANUAL)</t>
  </si>
  <si>
    <t>CRECIMIENTO PROYECTADO DE PARTICIPACIÓN (ANUAL)</t>
  </si>
  <si>
    <t>ANUAL</t>
  </si>
  <si>
    <t>MENSUAL</t>
  </si>
  <si>
    <t>AÑO</t>
  </si>
  <si>
    <t>VOLUMEN DEL MERCADO</t>
  </si>
  <si>
    <t>PARTICIPACIÓN EN EL MERCADO</t>
  </si>
  <si>
    <t xml:space="preserve">VENTAS ESPERADAS </t>
  </si>
  <si>
    <t>COSTO COMPONENTES (COP)</t>
  </si>
  <si>
    <t>PRECIO DE VENTA SIN IVA  (COP)</t>
  </si>
  <si>
    <t>PRECIO DE VENTA CON IVA  (COP)</t>
  </si>
  <si>
    <t>COSTOS DE VENTAS  (COP)</t>
  </si>
  <si>
    <t>MES</t>
  </si>
  <si>
    <t>TMR (PREDICCIÓN)</t>
  </si>
  <si>
    <t>AUMENTO DEL COSTO COMPONENTES</t>
  </si>
  <si>
    <t>SUMA</t>
  </si>
  <si>
    <t>GASTOS OPERACIONALES</t>
  </si>
  <si>
    <t>Está pestaña describe los gastos operativos (mensuales):
- Arriendo (se asume un aumento del 10% aual)
- Servicios públicos (se asume un aumento del 10% anual)
- Pago de nómina a 8 operarios (se hace un pronóstico en base al SMLVM de los últimos 5 años)</t>
  </si>
  <si>
    <t>Año</t>
  </si>
  <si>
    <t>Salario minimo</t>
  </si>
  <si>
    <t>Auxilio de transporte</t>
  </si>
  <si>
    <t>Pensión</t>
  </si>
  <si>
    <t>Salud</t>
  </si>
  <si>
    <t>Nómina de un operario</t>
  </si>
  <si>
    <t>Pago nómina 8 operarios</t>
  </si>
  <si>
    <t>Arriendo</t>
  </si>
  <si>
    <t>Servicios Públicos</t>
  </si>
  <si>
    <t>Total gastos operacionales</t>
  </si>
  <si>
    <t>Listado de operarios requeridos</t>
  </si>
  <si>
    <t>Salario Mínimo Mensual</t>
  </si>
  <si>
    <t>Operario - transportista</t>
  </si>
  <si>
    <t>Operario - Sillín</t>
  </si>
  <si>
    <t>Opeario - Chasis</t>
  </si>
  <si>
    <t>Operario - Manubrio</t>
  </si>
  <si>
    <t>Operario - Ensamble general</t>
  </si>
  <si>
    <t>Operario - QA</t>
  </si>
  <si>
    <t>Operario - Empaque</t>
  </si>
  <si>
    <t>Salario Mínimo Mensual (Pronóstico)</t>
  </si>
  <si>
    <t>Operario - Etiquetado</t>
  </si>
  <si>
    <t>PROPUESTA DE AUTOMATIZACIÓN</t>
  </si>
  <si>
    <t>Está pestaña resume los costos asociados a la propuesta de automatización, es decir, la invesión incial necesaria para llevar a cabo el proyecto:
- Celda Róbotica
- Equipos/Componentes propuesta de automatización
- Instalación/Importación/Otros costos
- Licencias/Software
- Honorarios Equipo de Ingenieros</t>
  </si>
  <si>
    <t>CONCEPTO</t>
  </si>
  <si>
    <t>TOTAL</t>
  </si>
  <si>
    <t>Celda Róbotica</t>
  </si>
  <si>
    <t>Equipos/Componentes para la automatización</t>
  </si>
  <si>
    <t>Instalación/Importación/Otros costos</t>
  </si>
  <si>
    <t>Honorarios Equipo de Ingenieros</t>
  </si>
  <si>
    <t>Licencias/Software</t>
  </si>
  <si>
    <t>TOTAL INVERSIÓN INICIAL</t>
  </si>
  <si>
    <t xml:space="preserve"> Honorarios Equipo de Ingenieros</t>
  </si>
  <si>
    <t>Precio x hora (COP)</t>
  </si>
  <si>
    <t>Cantidad de Horas</t>
  </si>
  <si>
    <t>Precio total (COP)</t>
  </si>
  <si>
    <t>Honorarios Ingeniero 1 - Celda Robotica</t>
  </si>
  <si>
    <t>Honorarios Ingeniero 2 - Automatización</t>
  </si>
  <si>
    <t>Honorarios Ingeniero 5 - Desarrollador Web</t>
  </si>
  <si>
    <t>Licencia/Software</t>
  </si>
  <si>
    <t>Duración</t>
  </si>
  <si>
    <t>Costo (USD)</t>
  </si>
  <si>
    <t>Costo (COP)</t>
  </si>
  <si>
    <t xml:space="preserve">Licencia Ignition </t>
  </si>
  <si>
    <t>Licencia perpetua por gateway</t>
  </si>
  <si>
    <t>Cirrus Link MQTT Engine Module</t>
  </si>
  <si>
    <t>Cirrus Link MQTT Distributor Module</t>
  </si>
  <si>
    <t>Studio 5000 Standard Edition</t>
  </si>
  <si>
    <t>Licencia 1 año por usuario</t>
  </si>
  <si>
    <t>Licencia Siemens NX X Design Standard</t>
  </si>
  <si>
    <t>Licencia 1 año</t>
  </si>
  <si>
    <t>EQUIPOS / COMPONENTES PARA LA AUTOMATIZACIÓN</t>
  </si>
  <si>
    <t>TOTAL (COP)</t>
  </si>
  <si>
    <t>Este listado incluye los componentes y equipos necesarios para llevar a cabo el proyecto de automatización diferentes a la celda róbotica.</t>
  </si>
  <si>
    <t>ID</t>
  </si>
  <si>
    <t>REFERENCIA</t>
  </si>
  <si>
    <t>PRECIO (USD)</t>
  </si>
  <si>
    <t>PRECIO (COP)</t>
  </si>
  <si>
    <t>Fuente de alimentación 24VDC-240W</t>
  </si>
  <si>
    <t>QUINT4-PS/1AC/24DC/10</t>
  </si>
  <si>
    <t>PLC 48 I/O</t>
  </si>
  <si>
    <t>X90CP174.48-00</t>
  </si>
  <si>
    <t>PLC 32 I/O</t>
  </si>
  <si>
    <t>X90BC124.32-00</t>
  </si>
  <si>
    <t>Tarjeta de Entradas Digitales</t>
  </si>
  <si>
    <t>X90DI110.10-00</t>
  </si>
  <si>
    <t>Tarjeta de Salidas Digitales</t>
  </si>
  <si>
    <t>X90RO440.05-00</t>
  </si>
  <si>
    <t>Tarjeta de Entradas Analógicas en corriente</t>
  </si>
  <si>
    <t>X90AT910.08-00</t>
  </si>
  <si>
    <t>Tarjeta de Salidas Analógicas en corriente</t>
  </si>
  <si>
    <t>X90AO410.04-00</t>
  </si>
  <si>
    <t>Switch Ethernet 2 puertos F.O. Multimodo SC, 4 puertos RJ-45</t>
  </si>
  <si>
    <t>NS-206AF</t>
  </si>
  <si>
    <t>Protección DPS Corriente Alterna 110VAC Tipo II</t>
  </si>
  <si>
    <t>DS98-120</t>
  </si>
  <si>
    <t>Protección DPS Para red Ethernet</t>
  </si>
  <si>
    <t>MJ8-CAT6S</t>
  </si>
  <si>
    <t>protección de empalme para fusión de fibra 40 mm</t>
  </si>
  <si>
    <t>Firewall - VNP</t>
  </si>
  <si>
    <t>Módem Satelital Banda Ku</t>
  </si>
  <si>
    <t>Interruptor de puerta</t>
  </si>
  <si>
    <t>SZ 2500.470</t>
  </si>
  <si>
    <t>Lámpara 5w 100-240VAC</t>
  </si>
  <si>
    <t>SZ2500.100</t>
  </si>
  <si>
    <t>Higrostato mecánico ajustable de 35 a 95%HR</t>
  </si>
  <si>
    <t>Pantalla Táctil 5.7" HMI</t>
  </si>
  <si>
    <t>4PPC70.0573-20W</t>
  </si>
  <si>
    <t>Selector Modo de Operación Local - Remoto</t>
  </si>
  <si>
    <t>3SU1150-2BL60-1NA0</t>
  </si>
  <si>
    <t>Selector Compuerta a Operar Modo Manual</t>
  </si>
  <si>
    <t>Baliza Acústica - Señal de Alarma</t>
  </si>
  <si>
    <t>8WD44</t>
  </si>
  <si>
    <t>Resistencia Calefactora 49 W ‐ 50 W</t>
  </si>
  <si>
    <t>SK 3105340</t>
  </si>
  <si>
    <t>Tablero X:800 Y:1000 Z:300 CS: Plástico</t>
  </si>
  <si>
    <t>AX 1480.000</t>
  </si>
  <si>
    <t>Bloque de conexión XPS1 Bornas de 2.5mm2 - Entrada de Energía 110VAC</t>
  </si>
  <si>
    <t>22T11492-J3</t>
  </si>
  <si>
    <t>Bloque de bornas conexión a tierra de 2,5mm²</t>
  </si>
  <si>
    <t>1492-J63</t>
  </si>
  <si>
    <t>Bloque de conexión XPS2 Bornas dobles de 2.5mm² - 110 VAC - Calefacción, Iluminación</t>
  </si>
  <si>
    <t>22T11492-DL3</t>
  </si>
  <si>
    <t>Bloque de conexión XPS3 Bornas dobles de 2.5mm² - Distribución de Energía 24VDC</t>
  </si>
  <si>
    <t>Bloque de conexión XDI1 Bornas dobles de 2.5mm² - Entradas Digitales</t>
  </si>
  <si>
    <t>Bloque de conexión XD01 Bornas dobles de 2.5mm² - Salidas Digitales</t>
  </si>
  <si>
    <t>Bloque de conexión XRS1 Bornas dobles de 2.5mm² - Red RS-485</t>
  </si>
  <si>
    <t>Bloque de conexión XAI1 Bornas dobles de 2.5mm² - Entradas Analógicas</t>
  </si>
  <si>
    <t>Bloque de conexión XAO1 Bornas dobles de 2.5mm² - Salidas Analógicas</t>
  </si>
  <si>
    <t>Und. Borna freno / escuadra final</t>
  </si>
  <si>
    <t>Bloque de bornas portafusible 5 x 20mm</t>
  </si>
  <si>
    <t>Fusible de 5x20mm - 0,1 Amperios distribución 24V</t>
  </si>
  <si>
    <t>Fusible de 5x20mm - 0,5 Amperios distribución 24V</t>
  </si>
  <si>
    <t>Fusible de 5x20mm - 1,6 Amperios distribución 24V</t>
  </si>
  <si>
    <t>Fusible de 5x20mm - 5 Amperios distribución 24V</t>
  </si>
  <si>
    <t>Fusible de 5x20mm - 0,1 Amperios Entradas digitales digitales</t>
  </si>
  <si>
    <t>Barra de tierra principal</t>
  </si>
  <si>
    <t>Und. Puente entre bornas de Insertar / 2.5mm² 10 PIN</t>
  </si>
  <si>
    <t>Mini Breaker un polo, curva C, para corriente alterna 8A - Alimentación Tablero</t>
  </si>
  <si>
    <t>Mini Breaker un polo, curva C, para corriente alterna 1A - Iluminación Tablero</t>
  </si>
  <si>
    <t>Mini Breaker dos polos, curva C, para corriente continua 10A - Alimentación 24VDC</t>
  </si>
  <si>
    <t>Conector RJ45</t>
  </si>
  <si>
    <t>CBXF6IW-AY CAJA PANDUIT 6 ESP SOBREPONER FIBRE-UTP MINICOM CBXF6IW-AY</t>
  </si>
  <si>
    <t>CMDSAQLCZBL ACOPLE FIBRA LC MULTIMODO DUPLEX PANDUIT OM3/OM4 AGUA MARINA CMDSAQLCZBL</t>
  </si>
  <si>
    <t>NKFPX1BB1NNMO01 PIGTAIL DE FIBRE MULTIMODO OM3 LC 1MT 50/125 PANDUUT NETKEY NKFPX1BB1NNMO01</t>
  </si>
  <si>
    <t>Patchcord de fibra óptica LC a SC OM3 de 2 fibras, con camisa de 1.6 mm, 2m</t>
  </si>
  <si>
    <t>Canaleta ranurada con tapa 60 x 60 mm - 3m</t>
  </si>
  <si>
    <t>Canaleta ranurada con tapa 80 x 60 mm - 3m</t>
  </si>
  <si>
    <t>Und. Riel DIN/Omega troquelado 35 mm - 1m</t>
  </si>
  <si>
    <t>Metro de Cable utp Categoria 6 Azul</t>
  </si>
  <si>
    <t>Cable flexible 12 AWG Negro 105°C /600V 100 mtr</t>
  </si>
  <si>
    <t>Cable flexible 12 AWG Blanco 105°C /600V 100 mtr</t>
  </si>
  <si>
    <t>Cable flexible 12 AWG Verde 105°C /600V 100 mtr</t>
  </si>
  <si>
    <t>Cable flexible 16 AWG Rojo 105°C /600V 100 mtr</t>
  </si>
  <si>
    <t>Cable flexible 16 AWG Azul 105°C /600V 100 mtr</t>
  </si>
  <si>
    <t>Cable flexible 16 AWG Verde 105°C /600V 100 mtr</t>
  </si>
  <si>
    <t>Terminales en pin tubular, canutillos o ferrules aisladas en vinilo 12AWG X 100 und</t>
  </si>
  <si>
    <t>Terminales en pin tubular, canutillos o ferrules aisladas en vinilo 16AWG X 100 und</t>
  </si>
  <si>
    <t>Terminal de ojo M4 x 1/4 (100u)</t>
  </si>
  <si>
    <t>Remaches 3/16 x 1/4 (x100u)</t>
  </si>
  <si>
    <t>Remache cabeza grande POP de 3/16 X 5/8 (100u)</t>
  </si>
  <si>
    <t>Tornillo 5/16 x 1/2" con arandela (100u)</t>
  </si>
  <si>
    <t>Tornillo 1/8 x 3/4" con tuerca (100u)</t>
  </si>
  <si>
    <t>Tornillo phillips 3/16 X 1/2 (100u)</t>
  </si>
  <si>
    <t>Tornillo phillips 1/4 X 1/2 con arandelas y guasa (100u)</t>
  </si>
  <si>
    <t>Arandela para tornillo phillips 3/16 (100u)</t>
  </si>
  <si>
    <t>Arandela para tornillo phillips 1/4 (100u)</t>
  </si>
  <si>
    <t>Guasa para tornillo phillips 3/16 (100u)</t>
  </si>
  <si>
    <t>Guasa para tornillo phillips 1/4 (100u)</t>
  </si>
  <si>
    <t>Motorreductor (actuador rotativo)</t>
  </si>
  <si>
    <t>SEW-EURODRIVE DRN</t>
  </si>
  <si>
    <t>Sensor fotoeléctrico difuso</t>
  </si>
  <si>
    <t>SICK WTB4-3P1361</t>
  </si>
  <si>
    <t>Robot UR3e</t>
  </si>
  <si>
    <t>CELDA RÓBOTICA</t>
  </si>
  <si>
    <t>PRECIO UNITARIO (COP)</t>
  </si>
  <si>
    <t>Robot inflador</t>
  </si>
  <si>
    <t>Xarm5</t>
  </si>
  <si>
    <t>Ufactory</t>
  </si>
  <si>
    <t>Robot cargador</t>
  </si>
  <si>
    <t>Xarm6</t>
  </si>
  <si>
    <t>DC Control Box</t>
  </si>
  <si>
    <t>Xarm control box</t>
  </si>
  <si>
    <t>3m Cables</t>
  </si>
  <si>
    <t>Communication and Power cable</t>
  </si>
  <si>
    <t>X-ARM Gripper</t>
  </si>
  <si>
    <t>Servo-gripper de Ufactory</t>
  </si>
  <si>
    <t>Compresor 2hp</t>
  </si>
  <si>
    <t>https://www.durespo.com/producto/fujita-compresor-aire-2hp-24-l/</t>
  </si>
  <si>
    <t>Durespo</t>
  </si>
  <si>
    <t>transducer Sensor(0-10v Output,0-5bar)</t>
  </si>
  <si>
    <t>Amazon</t>
  </si>
  <si>
    <t>FLUJO DE CAJA E INDICADORES FINANCIEROS</t>
  </si>
  <si>
    <t>Esta pestaña presenta el flujo de caja del proyecto y  los indicadores financieros calculados para evaluar economicamente el proyecto</t>
  </si>
  <si>
    <t>VPN</t>
  </si>
  <si>
    <t>Capital empresa 
(E )</t>
  </si>
  <si>
    <t>TIR</t>
  </si>
  <si>
    <t>Deuda (D)</t>
  </si>
  <si>
    <t>PAYBACK</t>
  </si>
  <si>
    <t>Rentabilidad esperada (Re)</t>
  </si>
  <si>
    <t>ROI</t>
  </si>
  <si>
    <t>Tasa interés deuda (Rd)</t>
  </si>
  <si>
    <t>ROI anual</t>
  </si>
  <si>
    <t>Tasa de impuestos (T)</t>
  </si>
  <si>
    <t>IR</t>
  </si>
  <si>
    <t>WACC</t>
  </si>
  <si>
    <t>Margen de útilidad</t>
  </si>
  <si>
    <t>COSTO DE VENTAS</t>
  </si>
  <si>
    <t>INVERSIÓN</t>
  </si>
  <si>
    <t>EBIT</t>
  </si>
  <si>
    <t>IMPUESTOS</t>
  </si>
  <si>
    <t>FC</t>
  </si>
  <si>
    <t>FC Acumulado</t>
  </si>
  <si>
    <t>Banda transportadora 2m</t>
  </si>
  <si>
    <t>Significa que por cada $100 de ventas, la empresa retiene $15.33 como ganancia neta después de cubrir todos sus costos.</t>
  </si>
  <si>
    <t>Brand: VHTLXPJHO https://www.amazon.com/VHTLXPJHO-Pressure-Transmitter-transducer-0-10bar/dp/B0FGXK5K4Z/ref=sr_1_4?crid=AHCFW2FJEN67&amp;dib=eyJ2IjoiMSJ9.R4O0QOpXY6zdTgkpmxBBKxMgLL9XyCLAr-OLl4OOP-niWVoqn1I2Ot4hjmOhdJeU31BSJeuZDe-njNfzwouP_6Acm2DrQhXRG2m3ZrwaFoWXXFclhS31bv3Fl8NPC4cJe4wE-t8Yg9rk1QAfH8QRqnUMPjvb-WvH2C9F7bSJc7Y1NJeN60ZvmQY_QWADhEOWEc5c7fykSqd26XoTnOWYGtCtczcW-E-IJJVHHal73t8.djT5iYjbqqOTWs5EkuBxfau3kZ_Sg5DN2MFH8PhWMZg&amp;dib_tag=se&amp;keywords=air%2Bpressure%2Btransmitter%2B0-10v%2Bkeller&amp;qid=1752696641&amp;sprefix=airpressure%2Btransmitter%2B0-10v%2Bkeller%2Caps%2C282&amp;sr=8-4&amp;th=1</t>
  </si>
  <si>
    <t>PERIMETER PATROL Security Barrier: 6 ft</t>
  </si>
  <si>
    <t xml:space="preserve">https://www.grainger.com/product/835M59?gucid=N%3AN%3AFPL%3AFree%3AGGL%3ACSM-1946%3Atew63h3%3A20501231&amp;utm_source=chatgpt.com </t>
  </si>
  <si>
    <t>Sensor de barrera 100Mts</t>
  </si>
  <si>
    <t xml:space="preserve">https://articulo.mercadolibre.com.co/MCO-1646682002-barrera-perimetral-fotoelectrica-a-100mts-6-rayos-exterior-_JM?matt_tool=69323373&amp;matt_word=&amp;matt_source=google&amp;matt_campaign_id=22126928543&amp;matt_ad_group_id=171342873297&amp;matt_match_type=&amp;matt_network=g&amp;matt_device=c&amp;matt_creative=729836840398&amp;matt_keyword=&amp;matt_ad_position=&amp;matt_ad_type=pla&amp;matt_merchant_id=129727709&amp;matt_product_id=MCO1646682002&amp;matt_product_partition_id=2387145049582&amp;matt_target_id=pla-2387145049582&amp;cq_src=google_ads&amp;cq_cmp=22126928543&amp;cq_net=g&amp;cq_plt=gp&amp;cq_med=pla&amp;gad_source=1&amp;gad_campaignid=22126928543&amp;gclid=CjwKCAjw7fzDBhA7EiwAOqJkhwKXl3t6HLxior1YjXhyH9PDj5AQovQPIe_rrwQMNz8C5VUd4hJgrhoChcoQAvD_BwE </t>
  </si>
  <si>
    <t>MHM-32TFD1-M9NLS</t>
  </si>
  <si>
    <t>https://www.amazon.com/-/es/RVPICPLT/dp/B0F7FJTQZ1?th=1</t>
  </si>
  <si>
    <t>Mercado libre</t>
  </si>
  <si>
    <t xml:space="preserve">CANTIDAD VENTAS ESPERADAS </t>
  </si>
  <si>
    <t>VENTAS (COP)</t>
  </si>
  <si>
    <t>Está pestaña resume las ventas proyectadas para los cinco años de duración del proyecto. Considerando el tamaño actual del mercado, la proyección de crecimiento y la participación de la empresa en el mercado.</t>
  </si>
  <si>
    <t>El precio de venta sin iva de cada patineta se estableció como el 1,2 del costo de los componentes.</t>
  </si>
  <si>
    <t>TOTAL VENTAS  SIN IVA (COP)</t>
  </si>
  <si>
    <t>Los componentes para ensamblar las patinetas se cotizaron en dolares, por lo que, se convierten a pesos (COP) por medio de la TMR. Se proyectó el valor de la TMR en los 5 años de duración del proyecto por medio de los historicos de TMR del banco de la República. Adicionalmente se asumió un 1% de aumento anual en el valor de los componentes.</t>
  </si>
  <si>
    <t>El Valor Presente Neto positivo (VPN &gt; 0) indica que el proyecto es financieramente viable, ya que genera valor adicional sobre el costo de capital.</t>
  </si>
  <si>
    <t>La Tasa Interna de Retorno (TIR) superior al costo de capital (WACC) confirma que el proyecto es rentable, con un rendimiento mayor al mínimo esperado por los inversionistas.</t>
  </si>
  <si>
    <t>Es el tiempo necesario para recuperar la inversión inicial a través de los flujos netos de caja generados por el proyecto. En este caso, el retorno se logra en 8,04 meses.</t>
  </si>
  <si>
    <t>El Retorno sobre la Inversión (ROI) muestra que por cada peso invertido, se generaron 13,64 pesos de utilidad neta, lo que representa un retorno excepcional.</t>
  </si>
  <si>
    <t>El ROI anual busca normalizar el ROI total en una base anual, facilitando la comparación con otras inversiones en el tiempo.</t>
  </si>
  <si>
    <t>La Relación Beneficio/Costo (Índice de Rentabilidad) mayor a 1 indica que el valor presente de los ingresos supera el de los costos, lo que hace al proyecto atractivo y rentable.</t>
  </si>
  <si>
    <t>CELDA RÓBOTICA DE DOS ROBOTS PARA INFLADO DE LLANTAS</t>
  </si>
  <si>
    <t>COSTO DE VENTAS (COP)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</si>
</sst>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3">
    <numFmt numFmtId="6" formatCode="&quot;$&quot;\ #,##0;[Red]\-&quot;$&quot;\ #,##0"/>
    <numFmt numFmtId="8" formatCode="&quot;$&quot;\ #,##0.00;[Red]\-&quot;$&quot;\ #,##0.00"/>
    <numFmt numFmtId="44" formatCode="_-&quot;$&quot;\ * #,##0.00_-;\-&quot;$&quot;\ * #,##0.00_-;_-&quot;$&quot;\ * &quot;-&quot;??_-;_-@_-"/>
    <numFmt numFmtId="164" formatCode="_-&quot;$&quot;\ * #,##0.00_-;\-&quot;$&quot;\ * #,##0.00_-;_-&quot;$&quot;\ * &quot;-&quot;??_-;_-@"/>
    <numFmt numFmtId="165" formatCode="_-&quot;$&quot;\ * #,##0.00_-;\-&quot;$&quot;\ * #,##0.00_-;_-&quot;$&quot;\ * &quot;-&quot;??.0_-;_-@"/>
    <numFmt numFmtId="166" formatCode="_-&quot;$&quot;\ * #,##0_-;\-&quot;$&quot;\ * #,##0_-;_-&quot;$&quot;\ * &quot;-&quot;??_-;_-@"/>
    <numFmt numFmtId="167" formatCode="_-&quot;$&quot;\ * #,##0.0_-;\-&quot;$&quot;\ * #,##0.0_-;_-&quot;$&quot;\ * &quot;-&quot;??_-;_-@"/>
    <numFmt numFmtId="168" formatCode="&quot;$&quot;\ #,##0.00"/>
    <numFmt numFmtId="169" formatCode="&quot;$&quot;\ #,##0"/>
    <numFmt numFmtId="170" formatCode="&quot;$&quot;#,##0.00"/>
    <numFmt numFmtId="171" formatCode="&quot;$&quot;#,##0"/>
    <numFmt numFmtId="172" formatCode="[$ $]#,##0"/>
    <numFmt numFmtId="173" formatCode="#,##0.000"/>
  </numFmts>
  <fonts count="34" x14ac:knownFonts="1">
    <font>
      <sz val="11"/>
      <color theme="1"/>
      <name val="Calibri"/>
      <scheme val="minor"/>
    </font>
    <font>
      <sz val="11"/>
      <color theme="1"/>
      <name val="Calibri"/>
      <family val="2"/>
      <scheme val="minor"/>
    </font>
    <font>
      <b/>
      <sz val="11"/>
      <color theme="1"/>
      <name val="Calibri"/>
    </font>
    <font>
      <sz val="11"/>
      <color theme="1"/>
      <name val="Calibri"/>
    </font>
    <font>
      <b/>
      <sz val="14"/>
      <color theme="0"/>
      <name val="Aptos"/>
    </font>
    <font>
      <sz val="11"/>
      <name val="Calibri"/>
    </font>
    <font>
      <sz val="14"/>
      <color theme="1"/>
      <name val="Calibri"/>
    </font>
    <font>
      <b/>
      <sz val="11"/>
      <color rgb="FFFFFFFF"/>
      <name val="Arial"/>
    </font>
    <font>
      <b/>
      <sz val="11"/>
      <color theme="0"/>
      <name val="Aptos"/>
    </font>
    <font>
      <sz val="11"/>
      <color theme="1"/>
      <name val="Aptos"/>
    </font>
    <font>
      <sz val="11"/>
      <color theme="1"/>
      <name val="Arial"/>
    </font>
    <font>
      <u/>
      <sz val="11"/>
      <color theme="10"/>
      <name val="Calibri"/>
    </font>
    <font>
      <u/>
      <sz val="11"/>
      <color theme="10"/>
      <name val="Calibri"/>
    </font>
    <font>
      <b/>
      <sz val="11"/>
      <color theme="0"/>
      <name val="Calibri"/>
    </font>
    <font>
      <b/>
      <sz val="11"/>
      <color rgb="FFFFFFFF"/>
      <name val="Calibri"/>
    </font>
    <font>
      <b/>
      <sz val="10"/>
      <color theme="0"/>
      <name val="Arial"/>
    </font>
    <font>
      <b/>
      <sz val="10"/>
      <color theme="1"/>
      <name val="Arial"/>
    </font>
    <font>
      <sz val="10"/>
      <color theme="1"/>
      <name val="Arial"/>
    </font>
    <font>
      <sz val="12"/>
      <color theme="1"/>
      <name val="Arial"/>
    </font>
    <font>
      <sz val="12"/>
      <color theme="1"/>
      <name val="Calibri"/>
    </font>
    <font>
      <sz val="11"/>
      <color rgb="FF000000"/>
      <name val="Aptos"/>
    </font>
    <font>
      <b/>
      <sz val="12"/>
      <color theme="1"/>
      <name val="Calibri"/>
    </font>
    <font>
      <b/>
      <sz val="12"/>
      <color theme="1"/>
      <name val="Aptos"/>
    </font>
    <font>
      <sz val="12"/>
      <color theme="1"/>
      <name val="Aptos"/>
    </font>
    <font>
      <u/>
      <sz val="11"/>
      <color theme="10"/>
      <name val="Calibri"/>
      <scheme val="minor"/>
    </font>
    <font>
      <sz val="11"/>
      <color theme="1"/>
      <name val="Calibri"/>
      <scheme val="minor"/>
    </font>
    <font>
      <sz val="11"/>
      <color theme="1"/>
      <name val="Calibri"/>
      <family val="2"/>
    </font>
    <font>
      <b/>
      <sz val="11"/>
      <color rgb="FFFFFFFF"/>
      <name val="Aptos"/>
      <family val="2"/>
    </font>
    <font>
      <sz val="12"/>
      <color theme="1"/>
      <name val="Calibri"/>
      <family val="2"/>
    </font>
    <font>
      <b/>
      <sz val="11"/>
      <color theme="0"/>
      <name val="Calibri"/>
      <family val="2"/>
    </font>
    <font>
      <b/>
      <sz val="11"/>
      <color theme="3"/>
      <name val="Calibri"/>
      <family val="2"/>
    </font>
    <font>
      <sz val="11"/>
      <color theme="3"/>
      <name val="Calibri"/>
      <family val="2"/>
      <scheme val="minor"/>
    </font>
    <font>
      <sz val="16"/>
      <color theme="1"/>
      <name val="Calibri"/>
      <family val="2"/>
    </font>
    <font>
      <sz val="16"/>
      <name val="Calibri"/>
      <family val="2"/>
    </font>
  </fonts>
  <fills count="16">
    <fill>
      <patternFill patternType="none"/>
    </fill>
    <fill>
      <patternFill patternType="gray125"/>
    </fill>
    <fill>
      <patternFill patternType="solid">
        <fgColor theme="8"/>
        <bgColor theme="8"/>
      </patternFill>
    </fill>
    <fill>
      <patternFill patternType="solid">
        <fgColor rgb="FFDEEAF6"/>
        <bgColor rgb="FFDEEAF6"/>
      </patternFill>
    </fill>
    <fill>
      <patternFill patternType="solid">
        <fgColor theme="4"/>
        <bgColor theme="4"/>
      </patternFill>
    </fill>
    <fill>
      <patternFill patternType="solid">
        <fgColor theme="0"/>
        <bgColor theme="0"/>
      </patternFill>
    </fill>
    <fill>
      <patternFill patternType="solid">
        <fgColor rgb="FF4472C4"/>
        <bgColor rgb="FF4472C4"/>
      </patternFill>
    </fill>
    <fill>
      <patternFill patternType="solid">
        <fgColor rgb="FFA5A5A5"/>
        <bgColor rgb="FFA5A5A5"/>
      </patternFill>
    </fill>
    <fill>
      <patternFill patternType="solid">
        <fgColor rgb="FFBFBFBF"/>
        <bgColor rgb="FFBFBFBF"/>
      </patternFill>
    </fill>
    <fill>
      <patternFill patternType="solid">
        <fgColor rgb="FF5B9BD5"/>
        <bgColor rgb="FF5B9BD5"/>
      </patternFill>
    </fill>
    <fill>
      <patternFill patternType="solid">
        <fgColor theme="6"/>
        <bgColor theme="6"/>
      </patternFill>
    </fill>
    <fill>
      <patternFill patternType="solid">
        <fgColor rgb="FFECECEC"/>
        <bgColor rgb="FFECECEC"/>
      </patternFill>
    </fill>
    <fill>
      <patternFill patternType="solid">
        <fgColor rgb="FFDADADA"/>
        <bgColor rgb="FFDADADA"/>
      </patternFill>
    </fill>
    <fill>
      <patternFill patternType="solid">
        <fgColor theme="7" tint="0.79998168889431442"/>
        <bgColor indexed="64"/>
      </patternFill>
    </fill>
    <fill>
      <patternFill patternType="solid">
        <fgColor rgb="FF4472C4"/>
        <bgColor indexed="64"/>
      </patternFill>
    </fill>
    <fill>
      <patternFill patternType="solid">
        <fgColor theme="0"/>
        <bgColor indexed="64"/>
      </patternFill>
    </fill>
  </fills>
  <borders count="6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bottom/>
      <diagonal/>
    </border>
    <border>
      <left style="thin">
        <color rgb="FF000000"/>
      </left>
      <right/>
      <top style="thin">
        <color theme="8"/>
      </top>
      <bottom style="thin">
        <color rgb="FF000000"/>
      </bottom>
      <diagonal/>
    </border>
    <border>
      <left/>
      <right/>
      <top style="thin">
        <color theme="8"/>
      </top>
      <bottom style="thin">
        <color rgb="FF000000"/>
      </bottom>
      <diagonal/>
    </border>
    <border>
      <left/>
      <right style="thin">
        <color rgb="FF000000"/>
      </right>
      <top style="thin">
        <color theme="8"/>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theme="8"/>
      </left>
      <right/>
      <top style="thin">
        <color theme="8"/>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right/>
      <top style="thin">
        <color theme="8"/>
      </top>
      <bottom style="thin">
        <color rgb="FF000000"/>
      </bottom>
      <diagonal/>
    </border>
    <border>
      <left style="thin">
        <color rgb="FF000000"/>
      </left>
      <right style="thin">
        <color rgb="FF000000"/>
      </right>
      <top style="thin">
        <color theme="8"/>
      </top>
      <bottom style="thin">
        <color rgb="FF000000"/>
      </bottom>
      <diagonal/>
    </border>
    <border>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thin">
        <color rgb="FF000000"/>
      </bottom>
      <diagonal/>
    </border>
    <border>
      <left/>
      <right/>
      <top style="medium">
        <color indexed="64"/>
      </top>
      <bottom style="thin">
        <color rgb="FF000000"/>
      </bottom>
      <diagonal/>
    </border>
    <border>
      <left/>
      <right style="medium">
        <color indexed="64"/>
      </right>
      <top style="medium">
        <color indexed="64"/>
      </top>
      <bottom style="thin">
        <color rgb="FF000000"/>
      </bottom>
      <diagonal/>
    </border>
    <border>
      <left style="medium">
        <color indexed="64"/>
      </left>
      <right style="thin">
        <color rgb="FF000000"/>
      </right>
      <top style="thin">
        <color rgb="FF000000"/>
      </top>
      <bottom/>
      <diagonal/>
    </border>
    <border>
      <left style="thin">
        <color rgb="FF000000"/>
      </left>
      <right style="medium">
        <color indexed="64"/>
      </right>
      <top style="thin">
        <color rgb="FF000000"/>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right style="thin">
        <color rgb="FF000000"/>
      </right>
      <top/>
      <bottom/>
      <diagonal/>
    </border>
    <border>
      <left style="thin">
        <color rgb="FF000000"/>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medium">
        <color indexed="64"/>
      </left>
      <right style="thin">
        <color rgb="FF000000"/>
      </right>
      <top/>
      <bottom style="medium">
        <color indexed="64"/>
      </bottom>
      <diagonal/>
    </border>
    <border>
      <left style="thin">
        <color rgb="FF000000"/>
      </left>
      <right style="thin">
        <color rgb="FF000000"/>
      </right>
      <top/>
      <bottom style="medium">
        <color indexed="64"/>
      </bottom>
      <diagonal/>
    </border>
    <border>
      <left style="thin">
        <color rgb="FF000000"/>
      </left>
      <right/>
      <top/>
      <bottom style="medium">
        <color indexed="64"/>
      </bottom>
      <diagonal/>
    </border>
    <border>
      <left style="thin">
        <color rgb="FF000000"/>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rgb="FF000000"/>
      </right>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top style="medium">
        <color indexed="64"/>
      </top>
      <bottom style="thin">
        <color rgb="FF000000"/>
      </bottom>
      <diagonal/>
    </border>
    <border>
      <left style="thin">
        <color rgb="FF000000"/>
      </left>
      <right/>
      <top style="thin">
        <color rgb="FF000000"/>
      </top>
      <bottom style="medium">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3">
    <xf numFmtId="0" fontId="0" fillId="0" borderId="0"/>
    <xf numFmtId="0" fontId="24" fillId="0" borderId="0" applyNumberFormat="0" applyFill="0" applyBorder="0" applyAlignment="0" applyProtection="0"/>
    <xf numFmtId="44" fontId="25" fillId="0" borderId="0" applyFont="0" applyFill="0" applyBorder="0" applyAlignment="0" applyProtection="0"/>
  </cellStyleXfs>
  <cellXfs count="236">
    <xf numFmtId="0" fontId="0" fillId="0" borderId="0" xfId="0"/>
    <xf numFmtId="0" fontId="2" fillId="0" borderId="1" xfId="0" applyFont="1" applyBorder="1"/>
    <xf numFmtId="164" fontId="3" fillId="0" borderId="1" xfId="0" applyNumberFormat="1" applyFont="1" applyBorder="1"/>
    <xf numFmtId="0" fontId="2" fillId="0" borderId="1" xfId="0" applyFont="1" applyBorder="1" applyAlignment="1">
      <alignment horizontal="center" vertical="top"/>
    </xf>
    <xf numFmtId="0" fontId="3" fillId="0" borderId="1" xfId="0" applyFont="1" applyBorder="1"/>
    <xf numFmtId="0" fontId="3" fillId="0" borderId="0" xfId="0" applyFont="1"/>
    <xf numFmtId="165" fontId="3" fillId="0" borderId="0" xfId="0" applyNumberFormat="1" applyFont="1"/>
    <xf numFmtId="0" fontId="2" fillId="5" borderId="12" xfId="0" applyFont="1" applyFill="1" applyBorder="1" applyAlignment="1">
      <alignment horizontal="center" vertical="center" wrapText="1"/>
    </xf>
    <xf numFmtId="0" fontId="2" fillId="0" borderId="0" xfId="0" applyFont="1" applyAlignment="1">
      <alignment horizontal="center" vertical="center"/>
    </xf>
    <xf numFmtId="0" fontId="2" fillId="7" borderId="1" xfId="0" applyFont="1" applyFill="1" applyBorder="1" applyAlignment="1">
      <alignment horizontal="center" vertical="center" wrapText="1"/>
    </xf>
    <xf numFmtId="10" fontId="3" fillId="0" borderId="1" xfId="0" applyNumberFormat="1" applyFont="1" applyBorder="1"/>
    <xf numFmtId="164" fontId="3" fillId="0" borderId="1" xfId="0" applyNumberFormat="1" applyFont="1" applyBorder="1" applyAlignment="1">
      <alignment horizontal="center" vertical="center"/>
    </xf>
    <xf numFmtId="10" fontId="3" fillId="0" borderId="1" xfId="0" applyNumberFormat="1" applyFont="1" applyBorder="1" applyAlignment="1">
      <alignment horizontal="center" vertical="center"/>
    </xf>
    <xf numFmtId="0" fontId="2" fillId="0" borderId="0" xfId="0" applyFont="1" applyAlignment="1">
      <alignment horizontal="center" vertical="center" wrapText="1"/>
    </xf>
    <xf numFmtId="10" fontId="3" fillId="0" borderId="0" xfId="0" applyNumberFormat="1" applyFont="1"/>
    <xf numFmtId="0" fontId="2" fillId="0" borderId="0" xfId="0" applyFont="1"/>
    <xf numFmtId="0" fontId="13" fillId="4" borderId="1" xfId="0" applyFont="1" applyFill="1" applyBorder="1" applyAlignment="1">
      <alignment horizontal="center"/>
    </xf>
    <xf numFmtId="164" fontId="3" fillId="0" borderId="0" xfId="0" applyNumberFormat="1" applyFont="1"/>
    <xf numFmtId="0" fontId="13" fillId="6" borderId="1" xfId="0" applyFont="1" applyFill="1" applyBorder="1" applyAlignment="1">
      <alignment horizontal="center" vertical="center"/>
    </xf>
    <xf numFmtId="0" fontId="13" fillId="6" borderId="1" xfId="0" applyFont="1" applyFill="1" applyBorder="1" applyAlignment="1">
      <alignment horizontal="center" wrapText="1"/>
    </xf>
    <xf numFmtId="0" fontId="13" fillId="6" borderId="1" xfId="0" applyFont="1" applyFill="1" applyBorder="1" applyAlignment="1">
      <alignment horizontal="center" vertical="center" wrapText="1"/>
    </xf>
    <xf numFmtId="164" fontId="3" fillId="0" borderId="0" xfId="0" applyNumberFormat="1" applyFont="1" applyAlignment="1">
      <alignment horizontal="right"/>
    </xf>
    <xf numFmtId="0" fontId="3" fillId="4" borderId="1" xfId="0" applyFont="1" applyFill="1" applyBorder="1"/>
    <xf numFmtId="1" fontId="3" fillId="0" borderId="1" xfId="0" applyNumberFormat="1" applyFont="1" applyBorder="1" applyAlignment="1">
      <alignment horizontal="center" vertical="center"/>
    </xf>
    <xf numFmtId="9" fontId="3" fillId="0" borderId="1" xfId="0" applyNumberFormat="1" applyFont="1" applyBorder="1" applyAlignment="1">
      <alignment horizontal="center" vertical="center"/>
    </xf>
    <xf numFmtId="0" fontId="3" fillId="0" borderId="1" xfId="0" applyFont="1" applyBorder="1" applyAlignment="1">
      <alignment horizontal="center" vertical="center"/>
    </xf>
    <xf numFmtId="0" fontId="13" fillId="6" borderId="1" xfId="0" applyFont="1" applyFill="1" applyBorder="1" applyAlignment="1">
      <alignment horizontal="center"/>
    </xf>
    <xf numFmtId="0" fontId="13" fillId="6" borderId="10" xfId="0" applyFont="1" applyFill="1" applyBorder="1" applyAlignment="1">
      <alignment horizontal="center" vertical="center"/>
    </xf>
    <xf numFmtId="0" fontId="13" fillId="6" borderId="10" xfId="0" applyFont="1" applyFill="1" applyBorder="1" applyAlignment="1">
      <alignment horizontal="center" vertical="center" wrapText="1"/>
    </xf>
    <xf numFmtId="0" fontId="14" fillId="6" borderId="10" xfId="0" applyFont="1" applyFill="1" applyBorder="1" applyAlignment="1">
      <alignment horizontal="center" vertical="center" wrapText="1"/>
    </xf>
    <xf numFmtId="166" fontId="3" fillId="0" borderId="16" xfId="0" applyNumberFormat="1" applyFont="1" applyBorder="1"/>
    <xf numFmtId="166" fontId="3" fillId="3" borderId="1" xfId="0" applyNumberFormat="1" applyFont="1" applyFill="1" applyBorder="1"/>
    <xf numFmtId="0" fontId="15" fillId="6" borderId="1" xfId="0" applyFont="1" applyFill="1" applyBorder="1" applyAlignment="1">
      <alignment horizontal="center" vertical="center" wrapText="1"/>
    </xf>
    <xf numFmtId="164" fontId="13" fillId="6" borderId="1" xfId="0" applyNumberFormat="1" applyFont="1" applyFill="1" applyBorder="1" applyAlignment="1">
      <alignment horizontal="center" vertical="center"/>
    </xf>
    <xf numFmtId="0" fontId="14" fillId="6" borderId="1" xfId="0" applyFont="1" applyFill="1" applyBorder="1" applyAlignment="1">
      <alignment horizontal="center" vertical="center" wrapText="1"/>
    </xf>
    <xf numFmtId="0" fontId="13" fillId="6" borderId="17" xfId="0" applyFont="1" applyFill="1" applyBorder="1" applyAlignment="1">
      <alignment horizontal="center" vertical="center" wrapText="1"/>
    </xf>
    <xf numFmtId="0" fontId="3" fillId="0" borderId="16" xfId="0" applyFont="1" applyBorder="1" applyAlignment="1">
      <alignment horizontal="center" vertical="center"/>
    </xf>
    <xf numFmtId="164" fontId="3" fillId="0" borderId="16" xfId="0" applyNumberFormat="1" applyFont="1" applyBorder="1" applyAlignment="1">
      <alignment horizontal="center" vertical="center"/>
    </xf>
    <xf numFmtId="164" fontId="3" fillId="0" borderId="16" xfId="0" applyNumberFormat="1" applyFont="1" applyBorder="1"/>
    <xf numFmtId="166" fontId="3" fillId="0" borderId="1" xfId="0" applyNumberFormat="1" applyFont="1" applyBorder="1"/>
    <xf numFmtId="0" fontId="3" fillId="0" borderId="0" xfId="0" applyFont="1" applyAlignment="1">
      <alignment horizontal="center" vertical="center"/>
    </xf>
    <xf numFmtId="0" fontId="16" fillId="8" borderId="5" xfId="0" applyFont="1" applyFill="1" applyBorder="1" applyAlignment="1">
      <alignment horizontal="center" vertical="center" wrapText="1"/>
    </xf>
    <xf numFmtId="0" fontId="16" fillId="8" borderId="7" xfId="0" applyFont="1" applyFill="1" applyBorder="1" applyAlignment="1">
      <alignment horizontal="center" vertical="center" wrapText="1"/>
    </xf>
    <xf numFmtId="0" fontId="16" fillId="8" borderId="6" xfId="0" applyFont="1" applyFill="1" applyBorder="1" applyAlignment="1">
      <alignment horizontal="center" vertical="center" wrapText="1"/>
    </xf>
    <xf numFmtId="0" fontId="17" fillId="0" borderId="1" xfId="0" applyFont="1" applyBorder="1" applyAlignment="1">
      <alignment horizontal="right" wrapText="1"/>
    </xf>
    <xf numFmtId="167" fontId="17" fillId="0" borderId="1" xfId="0" applyNumberFormat="1" applyFont="1" applyBorder="1" applyAlignment="1">
      <alignment horizontal="center" wrapText="1"/>
    </xf>
    <xf numFmtId="168" fontId="3" fillId="0" borderId="1" xfId="0" applyNumberFormat="1" applyFont="1" applyBorder="1"/>
    <xf numFmtId="0" fontId="17" fillId="0" borderId="0" xfId="0" applyFont="1" applyAlignment="1">
      <alignment horizontal="right" wrapText="1"/>
    </xf>
    <xf numFmtId="167" fontId="17" fillId="0" borderId="0" xfId="0" applyNumberFormat="1" applyFont="1" applyAlignment="1">
      <alignment horizontal="center" wrapText="1"/>
    </xf>
    <xf numFmtId="0" fontId="16" fillId="8" borderId="1" xfId="0" applyFont="1" applyFill="1" applyBorder="1" applyAlignment="1">
      <alignment horizontal="center" vertical="center" wrapText="1"/>
    </xf>
    <xf numFmtId="164" fontId="13" fillId="9" borderId="1" xfId="0" applyNumberFormat="1" applyFont="1" applyFill="1" applyBorder="1"/>
    <xf numFmtId="0" fontId="13" fillId="0" borderId="19" xfId="0" applyFont="1" applyBorder="1" applyAlignment="1">
      <alignment horizontal="center" vertical="center"/>
    </xf>
    <xf numFmtId="0" fontId="13" fillId="0" borderId="16" xfId="0" applyFont="1" applyBorder="1" applyAlignment="1">
      <alignment horizontal="center" vertical="center"/>
    </xf>
    <xf numFmtId="0" fontId="13" fillId="0" borderId="20" xfId="0" applyFont="1" applyBorder="1" applyAlignment="1">
      <alignment horizontal="center" vertical="center"/>
    </xf>
    <xf numFmtId="0" fontId="3" fillId="5" borderId="21" xfId="0" applyFont="1" applyFill="1" applyBorder="1" applyAlignment="1">
      <alignment horizontal="center" vertical="center"/>
    </xf>
    <xf numFmtId="169" fontId="3" fillId="5" borderId="1" xfId="0" applyNumberFormat="1" applyFont="1" applyFill="1" applyBorder="1" applyAlignment="1">
      <alignment horizontal="center" vertical="center"/>
    </xf>
    <xf numFmtId="0" fontId="3" fillId="5" borderId="1" xfId="0" applyFont="1" applyFill="1" applyBorder="1" applyAlignment="1">
      <alignment horizontal="center" vertical="center"/>
    </xf>
    <xf numFmtId="166" fontId="3" fillId="5" borderId="8" xfId="0" applyNumberFormat="1" applyFont="1" applyFill="1" applyBorder="1" applyAlignment="1">
      <alignment horizontal="center" vertical="center"/>
    </xf>
    <xf numFmtId="164" fontId="13" fillId="9" borderId="1" xfId="0" applyNumberFormat="1" applyFont="1" applyFill="1" applyBorder="1" applyAlignment="1">
      <alignment horizontal="center"/>
    </xf>
    <xf numFmtId="49" fontId="13" fillId="9" borderId="1" xfId="0" applyNumberFormat="1" applyFont="1" applyFill="1" applyBorder="1" applyAlignment="1">
      <alignment horizontal="center"/>
    </xf>
    <xf numFmtId="166" fontId="3" fillId="5" borderId="1" xfId="0" applyNumberFormat="1" applyFont="1" applyFill="1" applyBorder="1" applyAlignment="1">
      <alignment horizontal="center" vertical="center"/>
    </xf>
    <xf numFmtId="0" fontId="8" fillId="2" borderId="23" xfId="0" applyFont="1" applyFill="1" applyBorder="1" applyAlignment="1">
      <alignment horizontal="center" vertical="center" wrapText="1"/>
    </xf>
    <xf numFmtId="164" fontId="3" fillId="3" borderId="8" xfId="0" applyNumberFormat="1" applyFont="1" applyFill="1" applyBorder="1" applyAlignment="1">
      <alignment horizontal="center" vertical="center"/>
    </xf>
    <xf numFmtId="170" fontId="3" fillId="3" borderId="8" xfId="0" applyNumberFormat="1" applyFont="1" applyFill="1" applyBorder="1" applyAlignment="1">
      <alignment horizontal="center" vertical="center"/>
    </xf>
    <xf numFmtId="0" fontId="21" fillId="10" borderId="1" xfId="0" applyFont="1" applyFill="1" applyBorder="1" applyAlignment="1">
      <alignment horizontal="center" vertical="center"/>
    </xf>
    <xf numFmtId="6" fontId="19" fillId="11" borderId="1" xfId="0" applyNumberFormat="1" applyFont="1" applyFill="1" applyBorder="1" applyAlignment="1">
      <alignment horizontal="center" vertical="center"/>
    </xf>
    <xf numFmtId="0" fontId="19" fillId="0" borderId="0" xfId="0" applyFont="1"/>
    <xf numFmtId="0" fontId="22" fillId="12" borderId="1" xfId="0" applyFont="1" applyFill="1" applyBorder="1" applyAlignment="1">
      <alignment horizontal="center" vertical="center" wrapText="1"/>
    </xf>
    <xf numFmtId="172" fontId="23" fillId="0" borderId="1" xfId="0" applyNumberFormat="1" applyFont="1" applyBorder="1"/>
    <xf numFmtId="9" fontId="19" fillId="11" borderId="1" xfId="0" applyNumberFormat="1" applyFont="1" applyFill="1" applyBorder="1" applyAlignment="1">
      <alignment horizontal="center" vertical="center"/>
    </xf>
    <xf numFmtId="2" fontId="19" fillId="11" borderId="1" xfId="0" applyNumberFormat="1" applyFont="1" applyFill="1" applyBorder="1" applyAlignment="1">
      <alignment horizontal="center" vertical="center"/>
    </xf>
    <xf numFmtId="10" fontId="18" fillId="0" borderId="1" xfId="0" applyNumberFormat="1" applyFont="1" applyBorder="1"/>
    <xf numFmtId="10" fontId="23" fillId="0" borderId="1" xfId="0" applyNumberFormat="1" applyFont="1" applyBorder="1"/>
    <xf numFmtId="0" fontId="22" fillId="3" borderId="1" xfId="0" applyFont="1" applyFill="1" applyBorder="1" applyAlignment="1">
      <alignment horizontal="center" vertical="center" wrapText="1"/>
    </xf>
    <xf numFmtId="10" fontId="23" fillId="3" borderId="1" xfId="0" applyNumberFormat="1" applyFont="1" applyFill="1" applyBorder="1"/>
    <xf numFmtId="10" fontId="19" fillId="11" borderId="1" xfId="0" applyNumberFormat="1" applyFont="1" applyFill="1" applyBorder="1" applyAlignment="1">
      <alignment horizontal="center" vertical="center"/>
    </xf>
    <xf numFmtId="0" fontId="2" fillId="0" borderId="0" xfId="0" applyFont="1" applyAlignment="1">
      <alignment wrapText="1"/>
    </xf>
    <xf numFmtId="49" fontId="3" fillId="0" borderId="0" xfId="0" applyNumberFormat="1" applyFont="1"/>
    <xf numFmtId="173" fontId="3" fillId="0" borderId="0" xfId="0" applyNumberFormat="1" applyFont="1"/>
    <xf numFmtId="0" fontId="21" fillId="7" borderId="1" xfId="0" applyFont="1" applyFill="1" applyBorder="1" applyAlignment="1">
      <alignment horizontal="center" vertical="center"/>
    </xf>
    <xf numFmtId="0" fontId="21" fillId="7" borderId="1" xfId="0" applyFont="1" applyFill="1" applyBorder="1" applyAlignment="1">
      <alignment horizontal="center" vertical="center" wrapText="1"/>
    </xf>
    <xf numFmtId="0" fontId="19" fillId="0" borderId="1" xfId="0" applyFont="1" applyBorder="1"/>
    <xf numFmtId="164" fontId="19" fillId="0" borderId="1" xfId="0" applyNumberFormat="1" applyFont="1" applyBorder="1"/>
    <xf numFmtId="0" fontId="4" fillId="2" borderId="2" xfId="0" applyFont="1" applyFill="1" applyBorder="1" applyAlignment="1">
      <alignment horizontal="center" vertical="center" wrapText="1"/>
    </xf>
    <xf numFmtId="0" fontId="5" fillId="0" borderId="3" xfId="0" applyFont="1" applyBorder="1"/>
    <xf numFmtId="0" fontId="5" fillId="0" borderId="4" xfId="0" applyFont="1" applyBorder="1"/>
    <xf numFmtId="0" fontId="6" fillId="3" borderId="2" xfId="0" quotePrefix="1" applyFont="1" applyFill="1" applyBorder="1" applyAlignment="1">
      <alignment horizontal="center" vertical="center" wrapText="1"/>
    </xf>
    <xf numFmtId="0" fontId="13" fillId="4" borderId="2" xfId="0" applyFont="1" applyFill="1" applyBorder="1" applyAlignment="1">
      <alignment horizontal="center"/>
    </xf>
    <xf numFmtId="0" fontId="7" fillId="6" borderId="13" xfId="0" applyFont="1" applyFill="1" applyBorder="1" applyAlignment="1">
      <alignment horizontal="center" vertical="center" wrapText="1"/>
    </xf>
    <xf numFmtId="0" fontId="5" fillId="0" borderId="14" xfId="0" applyFont="1" applyBorder="1"/>
    <xf numFmtId="0" fontId="5" fillId="0" borderId="15" xfId="0" applyFont="1" applyBorder="1"/>
    <xf numFmtId="0" fontId="2" fillId="7" borderId="9" xfId="0" applyFont="1" applyFill="1" applyBorder="1" applyAlignment="1">
      <alignment horizontal="center" vertical="center" wrapText="1"/>
    </xf>
    <xf numFmtId="0" fontId="5" fillId="0" borderId="16" xfId="0" applyFont="1" applyBorder="1"/>
    <xf numFmtId="0" fontId="2" fillId="7" borderId="2" xfId="0" applyFont="1" applyFill="1" applyBorder="1" applyAlignment="1">
      <alignment horizontal="center"/>
    </xf>
    <xf numFmtId="0" fontId="2" fillId="7" borderId="2" xfId="0" applyFont="1" applyFill="1" applyBorder="1" applyAlignment="1">
      <alignment horizontal="center" vertical="center"/>
    </xf>
    <xf numFmtId="0" fontId="13" fillId="2" borderId="18" xfId="0" applyFont="1" applyFill="1" applyBorder="1" applyAlignment="1">
      <alignment horizontal="center"/>
    </xf>
    <xf numFmtId="0" fontId="18" fillId="0" borderId="2" xfId="0" applyFont="1" applyBorder="1" applyAlignment="1">
      <alignment horizontal="left" vertical="center" wrapText="1"/>
    </xf>
    <xf numFmtId="0" fontId="7" fillId="2" borderId="13" xfId="0" applyFont="1" applyFill="1" applyBorder="1" applyAlignment="1">
      <alignment horizontal="center" vertical="center" wrapText="1"/>
    </xf>
    <xf numFmtId="0" fontId="5" fillId="0" borderId="22" xfId="0" applyFont="1" applyBorder="1"/>
    <xf numFmtId="0" fontId="19" fillId="3" borderId="2" xfId="0" applyFont="1" applyFill="1" applyBorder="1" applyAlignment="1">
      <alignment horizontal="center" vertical="center"/>
    </xf>
    <xf numFmtId="0" fontId="8" fillId="2" borderId="13" xfId="0" applyFont="1" applyFill="1" applyBorder="1" applyAlignment="1">
      <alignment horizontal="center" vertical="center" wrapText="1"/>
    </xf>
    <xf numFmtId="0" fontId="19" fillId="3" borderId="2" xfId="0" applyFont="1" applyFill="1" applyBorder="1" applyAlignment="1">
      <alignment horizontal="center" vertical="center" wrapText="1"/>
    </xf>
    <xf numFmtId="164" fontId="3" fillId="0" borderId="21" xfId="0" applyNumberFormat="1" applyFont="1" applyBorder="1"/>
    <xf numFmtId="0" fontId="3" fillId="0" borderId="25" xfId="0" applyFont="1" applyBorder="1"/>
    <xf numFmtId="164" fontId="3" fillId="0" borderId="25" xfId="0" applyNumberFormat="1" applyFont="1" applyBorder="1"/>
    <xf numFmtId="166" fontId="3" fillId="0" borderId="25" xfId="0" applyNumberFormat="1" applyFont="1" applyBorder="1"/>
    <xf numFmtId="166" fontId="3" fillId="3" borderId="25" xfId="0" applyNumberFormat="1" applyFont="1" applyFill="1" applyBorder="1"/>
    <xf numFmtId="0" fontId="14" fillId="6" borderId="11" xfId="0" applyFont="1" applyFill="1" applyBorder="1" applyAlignment="1">
      <alignment horizontal="center" vertical="center" wrapText="1"/>
    </xf>
    <xf numFmtId="0" fontId="13" fillId="6" borderId="24" xfId="0" applyFont="1" applyFill="1" applyBorder="1" applyAlignment="1">
      <alignment horizontal="center" vertical="center" wrapText="1"/>
    </xf>
    <xf numFmtId="166" fontId="3" fillId="0" borderId="27" xfId="0" applyNumberFormat="1" applyFont="1" applyBorder="1"/>
    <xf numFmtId="166" fontId="3" fillId="0" borderId="19" xfId="0" applyNumberFormat="1" applyFont="1" applyBorder="1"/>
    <xf numFmtId="0" fontId="13" fillId="4" borderId="28" xfId="0" applyFont="1" applyFill="1" applyBorder="1" applyAlignment="1">
      <alignment horizontal="center"/>
    </xf>
    <xf numFmtId="0" fontId="5" fillId="0" borderId="29" xfId="0" applyFont="1" applyBorder="1"/>
    <xf numFmtId="0" fontId="5" fillId="0" borderId="30" xfId="0" applyFont="1" applyBorder="1"/>
    <xf numFmtId="0" fontId="13" fillId="6" borderId="31" xfId="0" applyFont="1" applyFill="1" applyBorder="1" applyAlignment="1">
      <alignment horizontal="center" vertical="center" wrapText="1"/>
    </xf>
    <xf numFmtId="0" fontId="13" fillId="6" borderId="32" xfId="0" applyFont="1" applyFill="1" applyBorder="1" applyAlignment="1">
      <alignment horizontal="center" vertical="center" wrapText="1"/>
    </xf>
    <xf numFmtId="164" fontId="3" fillId="0" borderId="33" xfId="0" applyNumberFormat="1" applyFont="1" applyBorder="1"/>
    <xf numFmtId="164" fontId="3" fillId="0" borderId="34" xfId="0" applyNumberFormat="1" applyFont="1" applyBorder="1"/>
    <xf numFmtId="164" fontId="3" fillId="0" borderId="35" xfId="0" applyNumberFormat="1" applyFont="1" applyBorder="1"/>
    <xf numFmtId="164" fontId="3" fillId="0" borderId="36" xfId="0" applyNumberFormat="1" applyFont="1" applyBorder="1"/>
    <xf numFmtId="164" fontId="3" fillId="0" borderId="37" xfId="0" applyNumberFormat="1" applyFont="1" applyBorder="1"/>
    <xf numFmtId="164" fontId="3" fillId="0" borderId="38" xfId="0" applyNumberFormat="1" applyFont="1" applyBorder="1"/>
    <xf numFmtId="164" fontId="3" fillId="0" borderId="39" xfId="0" applyNumberFormat="1" applyFont="1" applyBorder="1"/>
    <xf numFmtId="0" fontId="14" fillId="6" borderId="32" xfId="0" applyFont="1" applyFill="1" applyBorder="1" applyAlignment="1">
      <alignment horizontal="center" vertical="center" wrapText="1"/>
    </xf>
    <xf numFmtId="0" fontId="0" fillId="0" borderId="12" xfId="0" applyBorder="1"/>
    <xf numFmtId="9" fontId="3" fillId="0" borderId="26" xfId="0" applyNumberFormat="1" applyFont="1" applyBorder="1"/>
    <xf numFmtId="9" fontId="3" fillId="0" borderId="8" xfId="0" applyNumberFormat="1" applyFont="1" applyBorder="1"/>
    <xf numFmtId="44" fontId="0" fillId="0" borderId="0" xfId="0" applyNumberFormat="1"/>
    <xf numFmtId="0" fontId="8" fillId="2" borderId="40" xfId="0" applyFont="1" applyFill="1" applyBorder="1" applyAlignment="1">
      <alignment horizontal="center" vertical="center" wrapText="1"/>
    </xf>
    <xf numFmtId="0" fontId="8" fillId="2" borderId="17" xfId="0" applyFont="1" applyFill="1" applyBorder="1" applyAlignment="1">
      <alignment horizontal="center" vertical="center" wrapText="1"/>
    </xf>
    <xf numFmtId="0" fontId="8" fillId="2" borderId="41" xfId="0" applyFont="1" applyFill="1" applyBorder="1" applyAlignment="1">
      <alignment horizontal="center" vertical="center" wrapText="1"/>
    </xf>
    <xf numFmtId="0" fontId="9" fillId="5" borderId="25" xfId="0" applyFont="1" applyFill="1" applyBorder="1" applyAlignment="1">
      <alignment horizontal="center" wrapText="1"/>
    </xf>
    <xf numFmtId="0" fontId="20" fillId="5" borderId="25" xfId="0" applyFont="1" applyFill="1" applyBorder="1" applyAlignment="1">
      <alignment wrapText="1"/>
    </xf>
    <xf numFmtId="0" fontId="20" fillId="5" borderId="25" xfId="0" applyFont="1" applyFill="1" applyBorder="1" applyAlignment="1">
      <alignment horizontal="left"/>
    </xf>
    <xf numFmtId="170" fontId="20" fillId="5" borderId="25" xfId="0" applyNumberFormat="1" applyFont="1" applyFill="1" applyBorder="1" applyAlignment="1">
      <alignment horizontal="center"/>
    </xf>
    <xf numFmtId="0" fontId="20" fillId="5" borderId="25" xfId="0" applyFont="1" applyFill="1" applyBorder="1" applyAlignment="1">
      <alignment horizontal="center"/>
    </xf>
    <xf numFmtId="170" fontId="9" fillId="5" borderId="25" xfId="0" applyNumberFormat="1" applyFont="1" applyFill="1" applyBorder="1" applyAlignment="1">
      <alignment horizontal="center" wrapText="1"/>
    </xf>
    <xf numFmtId="171" fontId="9" fillId="5" borderId="25" xfId="0" applyNumberFormat="1" applyFont="1" applyFill="1" applyBorder="1" applyAlignment="1">
      <alignment horizontal="center" wrapText="1"/>
    </xf>
    <xf numFmtId="0" fontId="20" fillId="5" borderId="25" xfId="0" applyFont="1" applyFill="1" applyBorder="1"/>
    <xf numFmtId="0" fontId="0" fillId="0" borderId="25" xfId="0" applyBorder="1"/>
    <xf numFmtId="0" fontId="13" fillId="0" borderId="25" xfId="0" applyFont="1" applyBorder="1"/>
    <xf numFmtId="0" fontId="3" fillId="5" borderId="25" xfId="0" applyFont="1" applyFill="1" applyBorder="1"/>
    <xf numFmtId="164" fontId="3" fillId="5" borderId="25" xfId="0" applyNumberFormat="1" applyFont="1" applyFill="1" applyBorder="1"/>
    <xf numFmtId="0" fontId="13" fillId="4" borderId="25" xfId="0" applyFont="1" applyFill="1" applyBorder="1"/>
    <xf numFmtId="164" fontId="13" fillId="9" borderId="25" xfId="0" applyNumberFormat="1" applyFont="1" applyFill="1" applyBorder="1"/>
    <xf numFmtId="0" fontId="0" fillId="0" borderId="42" xfId="0" applyBorder="1" applyAlignment="1">
      <alignment horizontal="center" vertical="center"/>
    </xf>
    <xf numFmtId="0" fontId="0" fillId="0" borderId="42" xfId="0" applyBorder="1" applyAlignment="1">
      <alignment horizontal="left" vertical="center"/>
    </xf>
    <xf numFmtId="0" fontId="3" fillId="0" borderId="44" xfId="0" applyFont="1" applyBorder="1"/>
    <xf numFmtId="0" fontId="3" fillId="0" borderId="45" xfId="0" applyFont="1" applyBorder="1"/>
    <xf numFmtId="164" fontId="3" fillId="0" borderId="45" xfId="0" applyNumberFormat="1" applyFont="1" applyBorder="1"/>
    <xf numFmtId="9" fontId="3" fillId="0" borderId="46" xfId="0" applyNumberFormat="1" applyFont="1" applyBorder="1"/>
    <xf numFmtId="164" fontId="3" fillId="0" borderId="44" xfId="0" applyNumberFormat="1" applyFont="1" applyBorder="1"/>
    <xf numFmtId="164" fontId="3" fillId="0" borderId="47" xfId="0" applyNumberFormat="1" applyFont="1" applyBorder="1"/>
    <xf numFmtId="166" fontId="3" fillId="0" borderId="48" xfId="0" applyNumberFormat="1" applyFont="1" applyBorder="1"/>
    <xf numFmtId="166" fontId="3" fillId="0" borderId="45" xfId="0" applyNumberFormat="1" applyFont="1" applyBorder="1"/>
    <xf numFmtId="166" fontId="3" fillId="3" borderId="45" xfId="0" applyNumberFormat="1" applyFont="1" applyFill="1" applyBorder="1"/>
    <xf numFmtId="164" fontId="3" fillId="0" borderId="49" xfId="0" applyNumberFormat="1" applyFont="1" applyBorder="1"/>
    <xf numFmtId="164" fontId="3" fillId="0" borderId="50" xfId="0" applyNumberFormat="1" applyFont="1" applyBorder="1"/>
    <xf numFmtId="164" fontId="3" fillId="3" borderId="51" xfId="0" applyNumberFormat="1" applyFont="1" applyFill="1" applyBorder="1"/>
    <xf numFmtId="0" fontId="3" fillId="0" borderId="33" xfId="0" applyFont="1" applyBorder="1"/>
    <xf numFmtId="164" fontId="3" fillId="3" borderId="36" xfId="0" applyNumberFormat="1" applyFont="1" applyFill="1" applyBorder="1"/>
    <xf numFmtId="0" fontId="3" fillId="0" borderId="52" xfId="0" applyFont="1" applyBorder="1"/>
    <xf numFmtId="0" fontId="3" fillId="0" borderId="53" xfId="0" applyFont="1" applyBorder="1"/>
    <xf numFmtId="164" fontId="3" fillId="0" borderId="53" xfId="0" applyNumberFormat="1" applyFont="1" applyBorder="1"/>
    <xf numFmtId="9" fontId="3" fillId="0" borderId="54" xfId="0" applyNumberFormat="1" applyFont="1" applyBorder="1"/>
    <xf numFmtId="164" fontId="3" fillId="0" borderId="52" xfId="0" applyNumberFormat="1" applyFont="1" applyBorder="1"/>
    <xf numFmtId="164" fontId="3" fillId="0" borderId="55" xfId="0" applyNumberFormat="1" applyFont="1" applyBorder="1"/>
    <xf numFmtId="164" fontId="3" fillId="0" borderId="56" xfId="0" applyNumberFormat="1" applyFont="1" applyBorder="1"/>
    <xf numFmtId="164" fontId="3" fillId="0" borderId="57" xfId="0" applyNumberFormat="1" applyFont="1" applyBorder="1"/>
    <xf numFmtId="164" fontId="3" fillId="0" borderId="58" xfId="0" applyNumberFormat="1" applyFont="1" applyBorder="1"/>
    <xf numFmtId="166" fontId="3" fillId="0" borderId="59" xfId="0" applyNumberFormat="1" applyFont="1" applyBorder="1"/>
    <xf numFmtId="166" fontId="3" fillId="0" borderId="53" xfId="0" applyNumberFormat="1" applyFont="1" applyBorder="1"/>
    <xf numFmtId="166" fontId="3" fillId="3" borderId="53" xfId="0" applyNumberFormat="1" applyFont="1" applyFill="1" applyBorder="1"/>
    <xf numFmtId="164" fontId="3" fillId="3" borderId="39" xfId="0" applyNumberFormat="1" applyFont="1" applyFill="1" applyBorder="1"/>
    <xf numFmtId="0" fontId="7" fillId="4" borderId="40" xfId="0" applyFont="1" applyFill="1" applyBorder="1" applyAlignment="1">
      <alignment horizontal="center" vertical="center" wrapText="1"/>
    </xf>
    <xf numFmtId="0" fontId="8" fillId="4" borderId="17" xfId="0" applyFont="1" applyFill="1" applyBorder="1" applyAlignment="1">
      <alignment horizontal="center" vertical="center" wrapText="1"/>
    </xf>
    <xf numFmtId="165" fontId="7" fillId="4" borderId="17" xfId="0" applyNumberFormat="1" applyFont="1" applyFill="1" applyBorder="1" applyAlignment="1">
      <alignment horizontal="center" vertical="center" wrapText="1"/>
    </xf>
    <xf numFmtId="0" fontId="8" fillId="4" borderId="41" xfId="0" applyFont="1" applyFill="1" applyBorder="1" applyAlignment="1">
      <alignment horizontal="center" vertical="center" wrapText="1"/>
    </xf>
    <xf numFmtId="0" fontId="9" fillId="5" borderId="25" xfId="0" applyFont="1" applyFill="1" applyBorder="1" applyAlignment="1">
      <alignment vertical="center" wrapText="1"/>
    </xf>
    <xf numFmtId="164" fontId="9" fillId="5" borderId="25" xfId="0" applyNumberFormat="1" applyFont="1" applyFill="1" applyBorder="1" applyAlignment="1">
      <alignment horizontal="left" vertical="center" wrapText="1"/>
    </xf>
    <xf numFmtId="1" fontId="9" fillId="5" borderId="25" xfId="0" applyNumberFormat="1" applyFont="1" applyFill="1" applyBorder="1" applyAlignment="1">
      <alignment horizontal="center" vertical="center" wrapText="1"/>
    </xf>
    <xf numFmtId="165" fontId="9" fillId="5" borderId="25" xfId="0" applyNumberFormat="1" applyFont="1" applyFill="1" applyBorder="1" applyAlignment="1">
      <alignment horizontal="left" vertical="center" wrapText="1"/>
    </xf>
    <xf numFmtId="0" fontId="10" fillId="5" borderId="25" xfId="0" applyFont="1" applyFill="1" applyBorder="1" applyAlignment="1">
      <alignment vertical="center" wrapText="1"/>
    </xf>
    <xf numFmtId="0" fontId="11" fillId="5" borderId="25" xfId="0" applyFont="1" applyFill="1" applyBorder="1" applyAlignment="1">
      <alignment vertical="center" wrapText="1"/>
    </xf>
    <xf numFmtId="164" fontId="10" fillId="5" borderId="25" xfId="0" applyNumberFormat="1" applyFont="1" applyFill="1" applyBorder="1" applyAlignment="1">
      <alignment horizontal="left" vertical="center" wrapText="1"/>
    </xf>
    <xf numFmtId="1" fontId="10" fillId="5" borderId="25" xfId="0" applyNumberFormat="1" applyFont="1" applyFill="1" applyBorder="1" applyAlignment="1">
      <alignment horizontal="center" vertical="center" wrapText="1"/>
    </xf>
    <xf numFmtId="0" fontId="12" fillId="5" borderId="25" xfId="0" applyFont="1" applyFill="1" applyBorder="1" applyAlignment="1">
      <alignment vertical="center" wrapText="1"/>
    </xf>
    <xf numFmtId="0" fontId="3" fillId="0" borderId="60" xfId="0" applyFont="1" applyBorder="1"/>
    <xf numFmtId="0" fontId="3" fillId="0" borderId="50" xfId="0" applyFont="1" applyBorder="1"/>
    <xf numFmtId="9" fontId="3" fillId="0" borderId="61" xfId="0" applyNumberFormat="1" applyFont="1" applyBorder="1"/>
    <xf numFmtId="164" fontId="3" fillId="0" borderId="60" xfId="0" applyNumberFormat="1" applyFont="1" applyBorder="1"/>
    <xf numFmtId="164" fontId="3" fillId="0" borderId="51" xfId="0" applyNumberFormat="1" applyFont="1" applyBorder="1"/>
    <xf numFmtId="166" fontId="3" fillId="0" borderId="49" xfId="0" applyNumberFormat="1" applyFont="1" applyBorder="1"/>
    <xf numFmtId="166" fontId="3" fillId="0" borderId="50" xfId="0" applyNumberFormat="1" applyFont="1" applyBorder="1"/>
    <xf numFmtId="166" fontId="3" fillId="3" borderId="50" xfId="0" applyNumberFormat="1" applyFont="1" applyFill="1" applyBorder="1"/>
    <xf numFmtId="0" fontId="3" fillId="0" borderId="35" xfId="0" applyFont="1" applyBorder="1"/>
    <xf numFmtId="0" fontId="3" fillId="0" borderId="37" xfId="0" applyFont="1" applyBorder="1"/>
    <xf numFmtId="0" fontId="3" fillId="0" borderId="38" xfId="0" applyFont="1" applyBorder="1"/>
    <xf numFmtId="9" fontId="3" fillId="0" borderId="62" xfId="0" applyNumberFormat="1" applyFont="1" applyBorder="1"/>
    <xf numFmtId="166" fontId="3" fillId="3" borderId="38" xfId="0" applyNumberFormat="1" applyFont="1" applyFill="1" applyBorder="1"/>
    <xf numFmtId="0" fontId="19" fillId="13" borderId="1" xfId="0" applyFont="1" applyFill="1" applyBorder="1"/>
    <xf numFmtId="164" fontId="19" fillId="13" borderId="1" xfId="0" applyNumberFormat="1" applyFont="1" applyFill="1" applyBorder="1"/>
    <xf numFmtId="0" fontId="1" fillId="15" borderId="25" xfId="0" applyFont="1" applyFill="1" applyBorder="1" applyAlignment="1">
      <alignment horizontal="center" wrapText="1"/>
    </xf>
    <xf numFmtId="8" fontId="1" fillId="15" borderId="25" xfId="0" applyNumberFormat="1" applyFont="1" applyFill="1" applyBorder="1" applyAlignment="1">
      <alignment horizontal="center" wrapText="1"/>
    </xf>
    <xf numFmtId="0" fontId="24" fillId="15" borderId="25" xfId="1" applyFill="1" applyBorder="1" applyAlignment="1">
      <alignment horizontal="center" wrapText="1"/>
    </xf>
    <xf numFmtId="0" fontId="27" fillId="14" borderId="63" xfId="0" applyFont="1" applyFill="1" applyBorder="1" applyAlignment="1">
      <alignment horizontal="center" vertical="center" wrapText="1"/>
    </xf>
    <xf numFmtId="0" fontId="27" fillId="14" borderId="43" xfId="0" applyFont="1" applyFill="1" applyBorder="1" applyAlignment="1">
      <alignment horizontal="center" vertical="center" wrapText="1"/>
    </xf>
    <xf numFmtId="0" fontId="27" fillId="14" borderId="64" xfId="0" applyFont="1" applyFill="1" applyBorder="1" applyAlignment="1">
      <alignment horizontal="center" vertical="center" wrapText="1"/>
    </xf>
    <xf numFmtId="0" fontId="1" fillId="15" borderId="27" xfId="0" applyFont="1" applyFill="1" applyBorder="1" applyAlignment="1">
      <alignment horizontal="center" wrapText="1"/>
    </xf>
    <xf numFmtId="0" fontId="1" fillId="15" borderId="65" xfId="0" applyFont="1" applyFill="1" applyBorder="1" applyAlignment="1">
      <alignment horizontal="center" wrapText="1"/>
    </xf>
    <xf numFmtId="0" fontId="1" fillId="15" borderId="42" xfId="0" applyFont="1" applyFill="1" applyBorder="1" applyAlignment="1">
      <alignment horizontal="center" wrapText="1"/>
    </xf>
    <xf numFmtId="0" fontId="24" fillId="15" borderId="42" xfId="1" applyFill="1" applyBorder="1" applyAlignment="1">
      <alignment horizontal="center" wrapText="1"/>
    </xf>
    <xf numFmtId="8" fontId="1" fillId="15" borderId="25" xfId="0" applyNumberFormat="1" applyFont="1" applyFill="1" applyBorder="1" applyAlignment="1">
      <alignment horizontal="center" vertical="center" wrapText="1"/>
    </xf>
    <xf numFmtId="8" fontId="1" fillId="15" borderId="42" xfId="0" applyNumberFormat="1" applyFont="1" applyFill="1" applyBorder="1" applyAlignment="1">
      <alignment horizontal="center" vertical="center" wrapText="1"/>
    </xf>
    <xf numFmtId="0" fontId="1" fillId="15" borderId="26" xfId="0" applyFont="1" applyFill="1" applyBorder="1" applyAlignment="1">
      <alignment horizontal="center" vertical="center" wrapText="1"/>
    </xf>
    <xf numFmtId="0" fontId="1" fillId="15" borderId="66" xfId="0" applyFont="1" applyFill="1" applyBorder="1" applyAlignment="1">
      <alignment horizontal="center" vertical="center" wrapText="1"/>
    </xf>
    <xf numFmtId="0" fontId="19" fillId="0" borderId="1" xfId="0" applyFont="1" applyFill="1" applyBorder="1"/>
    <xf numFmtId="164" fontId="19" fillId="0" borderId="1" xfId="0" applyNumberFormat="1" applyFont="1" applyFill="1" applyBorder="1"/>
    <xf numFmtId="0" fontId="28" fillId="3" borderId="2" xfId="0" applyFont="1" applyFill="1" applyBorder="1" applyAlignment="1">
      <alignment horizontal="center" vertical="center" wrapText="1"/>
    </xf>
    <xf numFmtId="0" fontId="26" fillId="3" borderId="2" xfId="0" applyFont="1" applyFill="1" applyBorder="1" applyAlignment="1">
      <alignment horizontal="left" vertical="center" wrapText="1"/>
    </xf>
    <xf numFmtId="0" fontId="13" fillId="0" borderId="12" xfId="0" applyFont="1" applyFill="1" applyBorder="1" applyAlignment="1">
      <alignment horizontal="center"/>
    </xf>
    <xf numFmtId="0" fontId="5" fillId="0" borderId="12" xfId="0" applyFont="1" applyFill="1" applyBorder="1"/>
    <xf numFmtId="0" fontId="13" fillId="0" borderId="12" xfId="0" applyFont="1" applyFill="1" applyBorder="1" applyAlignment="1">
      <alignment horizontal="center" vertical="center" wrapText="1"/>
    </xf>
    <xf numFmtId="0" fontId="14" fillId="0" borderId="12" xfId="0" applyFont="1" applyFill="1" applyBorder="1" applyAlignment="1">
      <alignment horizontal="center" vertical="center" wrapText="1"/>
    </xf>
    <xf numFmtId="0" fontId="30" fillId="0" borderId="12" xfId="0" applyFont="1" applyFill="1" applyBorder="1" applyAlignment="1">
      <alignment horizontal="center" vertical="center" wrapText="1"/>
    </xf>
    <xf numFmtId="0" fontId="31" fillId="0" borderId="0" xfId="0" applyFont="1"/>
    <xf numFmtId="0" fontId="13" fillId="6" borderId="25" xfId="0" applyFont="1" applyFill="1" applyBorder="1" applyAlignment="1">
      <alignment horizontal="center" vertical="center"/>
    </xf>
    <xf numFmtId="1" fontId="3" fillId="0" borderId="25" xfId="0" applyNumberFormat="1" applyFont="1" applyBorder="1" applyAlignment="1">
      <alignment horizontal="center" vertical="center"/>
    </xf>
    <xf numFmtId="0" fontId="29" fillId="6" borderId="25" xfId="0" applyFont="1" applyFill="1" applyBorder="1" applyAlignment="1">
      <alignment horizontal="center" wrapText="1"/>
    </xf>
    <xf numFmtId="44" fontId="3" fillId="0" borderId="25" xfId="2" applyFont="1" applyBorder="1" applyAlignment="1">
      <alignment horizontal="center" vertical="center"/>
    </xf>
    <xf numFmtId="0" fontId="29" fillId="6" borderId="25" xfId="0" applyFont="1" applyFill="1" applyBorder="1" applyAlignment="1">
      <alignment horizontal="center" vertical="center" wrapText="1"/>
    </xf>
    <xf numFmtId="0" fontId="32" fillId="3" borderId="2" xfId="0" applyFont="1" applyFill="1" applyBorder="1" applyAlignment="1">
      <alignment horizontal="left" vertical="center" wrapText="1"/>
    </xf>
    <xf numFmtId="0" fontId="33" fillId="0" borderId="3" xfId="0" applyFont="1" applyBorder="1"/>
    <xf numFmtId="0" fontId="33" fillId="0" borderId="4" xfId="0" applyFont="1" applyBorder="1"/>
    <xf numFmtId="0" fontId="29" fillId="4" borderId="3" xfId="0" applyFont="1" applyFill="1" applyBorder="1" applyAlignment="1">
      <alignment horizontal="center"/>
    </xf>
    <xf numFmtId="0" fontId="26" fillId="3" borderId="2" xfId="0" applyFont="1" applyFill="1" applyBorder="1" applyAlignment="1">
      <alignment horizontal="center" vertical="center"/>
    </xf>
  </cellXfs>
  <cellStyles count="3">
    <cellStyle name="Hipervínculo" xfId="1" builtinId="8"/>
    <cellStyle name="Moneda" xfId="2" builtinId="4"/>
    <cellStyle name="Normal" xfId="0" builtinId="0"/>
  </cellStyles>
  <dxfs count="53">
    <dxf>
      <fill>
        <patternFill patternType="solid">
          <fgColor rgb="FFF4CCCC"/>
          <bgColor rgb="FFF4CCCC"/>
        </patternFill>
      </fill>
    </dxf>
    <dxf>
      <fill>
        <patternFill patternType="solid">
          <fgColor rgb="FFB7E1CD"/>
          <bgColor rgb="FFB7E1CD"/>
        </patternFill>
      </fill>
    </dxf>
    <dxf>
      <fill>
        <patternFill patternType="solid">
          <fgColor indexed="64"/>
          <bgColor theme="0"/>
        </patternFill>
      </fill>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fill>
        <patternFill patternType="solid">
          <fgColor indexed="64"/>
          <bgColor theme="0"/>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patternFill>
      </fill>
      <border diagonalUp="0" diagonalDown="0">
        <left/>
        <right style="thin">
          <color indexed="64"/>
        </right>
        <top style="thin">
          <color indexed="64"/>
        </top>
        <bottom style="thin">
          <color indexed="64"/>
        </bottom>
        <vertical style="thin">
          <color indexed="64"/>
        </vertical>
        <horizontal style="thin">
          <color indexed="64"/>
        </horizontal>
      </border>
    </dxf>
    <dxf>
      <border>
        <bottom style="thin">
          <color indexed="64"/>
        </bottom>
      </border>
    </dxf>
    <dxf>
      <border diagonalUp="0" diagonalDown="0">
        <left style="thin">
          <color indexed="64"/>
        </left>
        <right style="thin">
          <color indexed="64"/>
        </right>
        <top style="thin">
          <color indexed="64"/>
        </top>
        <bottom style="thin">
          <color indexed="64"/>
        </bottom>
      </border>
    </dxf>
    <dxf>
      <fill>
        <patternFill patternType="solid">
          <fgColor indexed="64"/>
          <bgColor theme="0"/>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rgb="FFBDD6EE"/>
          <bgColor rgb="FFBDD6EE"/>
        </patternFill>
      </fill>
    </dxf>
    <dxf>
      <fill>
        <patternFill patternType="solid">
          <fgColor rgb="FFDEEAF6"/>
          <bgColor rgb="FFDEEAF6"/>
        </patternFill>
      </fill>
    </dxf>
    <dxf>
      <fill>
        <patternFill patternType="solid">
          <fgColor theme="8"/>
          <bgColor theme="8"/>
        </patternFill>
      </fill>
    </dxf>
    <dxf>
      <fill>
        <patternFill patternType="solid">
          <fgColor rgb="FFBDD6EE"/>
          <bgColor rgb="FFBDD6EE"/>
        </patternFill>
      </fill>
    </dxf>
    <dxf>
      <fill>
        <patternFill patternType="solid">
          <fgColor rgb="FFDEEAF6"/>
          <bgColor rgb="FFDEEAF6"/>
        </patternFill>
      </fill>
    </dxf>
    <dxf>
      <fill>
        <patternFill patternType="solid">
          <fgColor theme="8"/>
          <bgColor theme="8"/>
        </patternFill>
      </fill>
    </dxf>
    <dxf>
      <fill>
        <patternFill patternType="solid">
          <fgColor rgb="FFBDD6EE"/>
          <bgColor rgb="FFBDD6EE"/>
        </patternFill>
      </fill>
    </dxf>
    <dxf>
      <fill>
        <patternFill patternType="solid">
          <fgColor rgb="FFDEEAF6"/>
          <bgColor rgb="FFDEEAF6"/>
        </patternFill>
      </fill>
    </dxf>
    <dxf>
      <fill>
        <patternFill patternType="solid">
          <fgColor theme="8"/>
          <bgColor theme="8"/>
        </patternFill>
      </fill>
    </dxf>
    <dxf>
      <fill>
        <patternFill patternType="solid">
          <fgColor rgb="FFBDD6EE"/>
          <bgColor rgb="FFBDD6EE"/>
        </patternFill>
      </fill>
    </dxf>
    <dxf>
      <fill>
        <patternFill patternType="solid">
          <fgColor rgb="FFDEEAF6"/>
          <bgColor rgb="FFDEEAF6"/>
        </patternFill>
      </fill>
    </dxf>
    <dxf>
      <fill>
        <patternFill patternType="solid">
          <fgColor theme="8"/>
          <bgColor theme="8"/>
        </patternFill>
      </fill>
    </dxf>
    <dxf>
      <fill>
        <patternFill patternType="solid">
          <fgColor rgb="FFBDD6EE"/>
          <bgColor rgb="FFBDD6EE"/>
        </patternFill>
      </fill>
    </dxf>
    <dxf>
      <fill>
        <patternFill patternType="solid">
          <fgColor rgb="FFDEEAF6"/>
          <bgColor rgb="FFDEEAF6"/>
        </patternFill>
      </fill>
    </dxf>
    <dxf>
      <fill>
        <patternFill patternType="solid">
          <fgColor theme="8"/>
          <bgColor theme="8"/>
        </patternFill>
      </fill>
    </dxf>
    <dxf>
      <fill>
        <patternFill patternType="solid">
          <fgColor rgb="FFBDD6EE"/>
          <bgColor rgb="FFBDD6EE"/>
        </patternFill>
      </fill>
    </dxf>
    <dxf>
      <fill>
        <patternFill patternType="solid">
          <fgColor rgb="FFDEEAF6"/>
          <bgColor rgb="FFDEEAF6"/>
        </patternFill>
      </fill>
    </dxf>
    <dxf>
      <fill>
        <patternFill patternType="solid">
          <fgColor theme="8"/>
          <bgColor theme="8"/>
        </patternFill>
      </fill>
    </dxf>
  </dxfs>
  <tableStyles count="6">
    <tableStyle name="Componentes Patinetas-style" pivot="0" count="3" xr9:uid="{00000000-0011-0000-FFFF-FFFF00000000}">
      <tableStyleElement type="headerRow" dxfId="52"/>
      <tableStyleElement type="firstRowStripe" dxfId="51"/>
      <tableStyleElement type="secondRowStripe" dxfId="50"/>
    </tableStyle>
    <tableStyle name="Propuesta Automatización-style" pivot="0" count="3" xr9:uid="{00000000-0011-0000-FFFF-FFFF01000000}">
      <tableStyleElement type="headerRow" dxfId="49"/>
      <tableStyleElement type="firstRowStripe" dxfId="48"/>
      <tableStyleElement type="secondRowStripe" dxfId="47"/>
    </tableStyle>
    <tableStyle name="Propuesta Automatización-style 2" pivot="0" count="3" xr9:uid="{00000000-0011-0000-FFFF-FFFF02000000}">
      <tableStyleElement type="headerRow" dxfId="46"/>
      <tableStyleElement type="firstRowStripe" dxfId="45"/>
      <tableStyleElement type="secondRowStripe" dxfId="44"/>
    </tableStyle>
    <tableStyle name="Propuesta Automatización-style 3" pivot="0" count="3" xr9:uid="{00000000-0011-0000-FFFF-FFFF03000000}">
      <tableStyleElement type="headerRow" dxfId="43"/>
      <tableStyleElement type="firstRowStripe" dxfId="42"/>
      <tableStyleElement type="secondRowStripe" dxfId="41"/>
    </tableStyle>
    <tableStyle name="Componentes Automatización-style" pivot="0" count="3" xr9:uid="{00000000-0011-0000-FFFF-FFFF04000000}">
      <tableStyleElement type="headerRow" dxfId="40"/>
      <tableStyleElement type="firstRowStripe" dxfId="39"/>
      <tableStyleElement type="secondRowStripe" dxfId="38"/>
    </tableStyle>
    <tableStyle name="Celda Robótica-style" pivot="0" count="3" xr9:uid="{00000000-0011-0000-FFFF-FFFF05000000}">
      <tableStyleElement type="headerRow" dxfId="37"/>
      <tableStyleElement type="firstRowStripe" dxfId="36"/>
      <tableStyleElement type="secondRowStripe" dxfId="3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title>
      <c:tx>
        <c:rich>
          <a:bodyPr/>
          <a:lstStyle/>
          <a:p>
            <a:pPr lvl="0">
              <a:defRPr sz="1400" b="0" i="0">
                <a:solidFill>
                  <a:srgbClr val="757575"/>
                </a:solidFill>
                <a:latin typeface="+mn-lt"/>
              </a:defRPr>
            </a:pPr>
            <a:r>
              <a:rPr lang="es-CO" sz="1400" b="0" i="0">
                <a:solidFill>
                  <a:srgbClr val="757575"/>
                </a:solidFill>
                <a:latin typeface="+mn-lt"/>
              </a:rPr>
              <a:t>Pronóstico salario minimo</a:t>
            </a:r>
          </a:p>
        </c:rich>
      </c:tx>
      <c:overlay val="0"/>
    </c:title>
    <c:autoTitleDeleted val="0"/>
    <c:plotArea>
      <c:layout/>
      <c:scatterChart>
        <c:scatterStyle val="lineMarker"/>
        <c:varyColors val="1"/>
        <c:ser>
          <c:idx val="0"/>
          <c:order val="0"/>
          <c:tx>
            <c:v>Salario Mínimo Mensual</c:v>
          </c:tx>
          <c:spPr>
            <a:ln>
              <a:noFill/>
            </a:ln>
          </c:spPr>
          <c:marker>
            <c:symbol val="circle"/>
            <c:size val="7"/>
            <c:spPr>
              <a:solidFill>
                <a:schemeClr val="accent1"/>
              </a:solidFill>
              <a:ln cmpd="sng">
                <a:solidFill>
                  <a:schemeClr val="accent1"/>
                </a:solidFill>
              </a:ln>
            </c:spPr>
          </c:marker>
          <c:trendline>
            <c:name>Linear (Salario Mínimo Mensual)</c:name>
            <c:spPr>
              <a:ln w="19050">
                <a:solidFill>
                  <a:srgbClr val="000000">
                    <a:alpha val="0"/>
                  </a:srgbClr>
                </a:solidFill>
              </a:ln>
            </c:spPr>
            <c:trendlineType val="linear"/>
            <c:dispRSqr val="0"/>
            <c:dispEq val="0"/>
          </c:trendline>
          <c:xVal>
            <c:numRef>
              <c:f>'Gastos Operativos'!$D$19:$D$23</c:f>
              <c:numCache>
                <c:formatCode>General</c:formatCode>
                <c:ptCount val="5"/>
                <c:pt idx="0">
                  <c:v>2021</c:v>
                </c:pt>
                <c:pt idx="1">
                  <c:v>2022</c:v>
                </c:pt>
                <c:pt idx="2">
                  <c:v>2023</c:v>
                </c:pt>
                <c:pt idx="3">
                  <c:v>2024</c:v>
                </c:pt>
                <c:pt idx="4">
                  <c:v>2025</c:v>
                </c:pt>
              </c:numCache>
            </c:numRef>
          </c:xVal>
          <c:yVal>
            <c:numRef>
              <c:f>'Gastos Operativos'!$E$19:$E$23</c:f>
              <c:numCache>
                <c:formatCode>_-"$"\ * #,##0.0_-;\-"$"\ * #,##0.0_-;_-"$"\ * "-"??_-;_-@</c:formatCode>
                <c:ptCount val="5"/>
                <c:pt idx="0">
                  <c:v>908526</c:v>
                </c:pt>
                <c:pt idx="1">
                  <c:v>1000000</c:v>
                </c:pt>
                <c:pt idx="2">
                  <c:v>1160000</c:v>
                </c:pt>
                <c:pt idx="3">
                  <c:v>1300000</c:v>
                </c:pt>
                <c:pt idx="4">
                  <c:v>1423500</c:v>
                </c:pt>
              </c:numCache>
            </c:numRef>
          </c:yVal>
          <c:smooth val="1"/>
          <c:extLst>
            <c:ext xmlns:c16="http://schemas.microsoft.com/office/drawing/2014/chart" uri="{C3380CC4-5D6E-409C-BE32-E72D297353CC}">
              <c16:uniqueId val="{00000001-7DC0-4261-9153-A35ADB331B8D}"/>
            </c:ext>
          </c:extLst>
        </c:ser>
        <c:ser>
          <c:idx val="1"/>
          <c:order val="1"/>
          <c:tx>
            <c:v>Auxilio de transporte</c:v>
          </c:tx>
          <c:spPr>
            <a:ln>
              <a:noFill/>
            </a:ln>
          </c:spPr>
          <c:marker>
            <c:symbol val="circle"/>
            <c:size val="7"/>
            <c:spPr>
              <a:solidFill>
                <a:schemeClr val="accent2"/>
              </a:solidFill>
              <a:ln cmpd="sng">
                <a:solidFill>
                  <a:schemeClr val="accent2"/>
                </a:solidFill>
              </a:ln>
            </c:spPr>
          </c:marker>
          <c:xVal>
            <c:numRef>
              <c:f>'Gastos Operativos'!$D$19:$D$23</c:f>
              <c:numCache>
                <c:formatCode>General</c:formatCode>
                <c:ptCount val="5"/>
                <c:pt idx="0">
                  <c:v>2021</c:v>
                </c:pt>
                <c:pt idx="1">
                  <c:v>2022</c:v>
                </c:pt>
                <c:pt idx="2">
                  <c:v>2023</c:v>
                </c:pt>
                <c:pt idx="3">
                  <c:v>2024</c:v>
                </c:pt>
                <c:pt idx="4">
                  <c:v>2025</c:v>
                </c:pt>
              </c:numCache>
            </c:numRef>
          </c:xVal>
          <c:yVal>
            <c:numRef>
              <c:f>'Gastos Operativos'!$F$19:$F$23</c:f>
              <c:numCache>
                <c:formatCode>"$"\ #,##0.00</c:formatCode>
                <c:ptCount val="5"/>
                <c:pt idx="0">
                  <c:v>106454</c:v>
                </c:pt>
                <c:pt idx="1">
                  <c:v>117172</c:v>
                </c:pt>
                <c:pt idx="2">
                  <c:v>140606</c:v>
                </c:pt>
                <c:pt idx="3">
                  <c:v>162000</c:v>
                </c:pt>
                <c:pt idx="4">
                  <c:v>200000</c:v>
                </c:pt>
              </c:numCache>
            </c:numRef>
          </c:yVal>
          <c:smooth val="1"/>
          <c:extLst>
            <c:ext xmlns:c16="http://schemas.microsoft.com/office/drawing/2014/chart" uri="{C3380CC4-5D6E-409C-BE32-E72D297353CC}">
              <c16:uniqueId val="{00000002-7DC0-4261-9153-A35ADB331B8D}"/>
            </c:ext>
          </c:extLst>
        </c:ser>
        <c:dLbls>
          <c:showLegendKey val="0"/>
          <c:showVal val="0"/>
          <c:showCatName val="0"/>
          <c:showSerName val="0"/>
          <c:showPercent val="0"/>
          <c:showBubbleSize val="0"/>
        </c:dLbls>
        <c:axId val="1924856794"/>
        <c:axId val="1103833951"/>
      </c:scatterChart>
      <c:valAx>
        <c:axId val="1924856794"/>
        <c:scaling>
          <c:orientation val="minMax"/>
        </c:scaling>
        <c:delete val="0"/>
        <c:axPos val="b"/>
        <c:majorGridlines>
          <c:spPr>
            <a:ln>
              <a:solidFill>
                <a:srgbClr val="B7B7B7"/>
              </a:solidFill>
            </a:ln>
          </c:spPr>
        </c:majorGridlines>
        <c:title>
          <c:tx>
            <c:rich>
              <a:bodyPr/>
              <a:lstStyle/>
              <a:p>
                <a:pPr lvl="0">
                  <a:defRPr sz="1000" b="0" i="0">
                    <a:solidFill>
                      <a:srgbClr val="000000"/>
                    </a:solidFill>
                    <a:latin typeface="+mn-lt"/>
                  </a:defRPr>
                </a:pPr>
                <a:r>
                  <a:rPr lang="es-CO" sz="1000" b="0" i="0">
                    <a:solidFill>
                      <a:srgbClr val="000000"/>
                    </a:solidFill>
                    <a:latin typeface="+mn-lt"/>
                  </a:rPr>
                  <a:t>Año</a:t>
                </a:r>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s-CO"/>
          </a:p>
        </c:txPr>
        <c:crossAx val="1103833951"/>
        <c:crosses val="autoZero"/>
        <c:crossBetween val="midCat"/>
      </c:valAx>
      <c:valAx>
        <c:axId val="1103833951"/>
        <c:scaling>
          <c:orientation val="minMax"/>
        </c:scaling>
        <c:delete val="0"/>
        <c:axPos val="l"/>
        <c:majorGridlines>
          <c:spPr>
            <a:ln>
              <a:solidFill>
                <a:srgbClr val="B7B7B7"/>
              </a:solidFill>
            </a:ln>
          </c:spPr>
        </c:majorGridlines>
        <c:title>
          <c:tx>
            <c:rich>
              <a:bodyPr/>
              <a:lstStyle/>
              <a:p>
                <a:pPr lvl="0">
                  <a:defRPr sz="1000" b="0" i="0">
                    <a:solidFill>
                      <a:srgbClr val="000000"/>
                    </a:solidFill>
                    <a:latin typeface="+mn-lt"/>
                  </a:defRPr>
                </a:pPr>
                <a:r>
                  <a:rPr lang="es-CO" sz="1000" b="0" i="0">
                    <a:solidFill>
                      <a:srgbClr val="000000"/>
                    </a:solidFill>
                    <a:latin typeface="+mn-lt"/>
                  </a:rPr>
                  <a:t>Salario minimo</a:t>
                </a:r>
              </a:p>
            </c:rich>
          </c:tx>
          <c:overlay val="0"/>
        </c:title>
        <c:numFmt formatCode="_-&quot;$&quot;\ * #,##0.0_-;\-&quot;$&quot;\ * #,##0.0_-;_-&quot;$&quot;\ * &quot;-&quot;??_-;_-@" sourceLinked="1"/>
        <c:majorTickMark val="none"/>
        <c:minorTickMark val="none"/>
        <c:tickLblPos val="nextTo"/>
        <c:spPr>
          <a:ln/>
        </c:spPr>
        <c:txPr>
          <a:bodyPr/>
          <a:lstStyle/>
          <a:p>
            <a:pPr lvl="0">
              <a:defRPr sz="900" b="0" i="0">
                <a:solidFill>
                  <a:srgbClr val="000000"/>
                </a:solidFill>
                <a:latin typeface="+mn-lt"/>
              </a:defRPr>
            </a:pPr>
            <a:endParaRPr lang="es-CO"/>
          </a:p>
        </c:txPr>
        <c:crossAx val="1924856794"/>
        <c:crosses val="autoZero"/>
        <c:crossBetween val="midCat"/>
      </c:valAx>
    </c:plotArea>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title>
      <c:tx>
        <c:rich>
          <a:bodyPr/>
          <a:lstStyle/>
          <a:p>
            <a:pPr lvl="0">
              <a:defRPr sz="2800" b="1" i="0">
                <a:solidFill>
                  <a:srgbClr val="757575"/>
                </a:solidFill>
                <a:latin typeface="+mn-lt"/>
              </a:defRPr>
            </a:pPr>
            <a:r>
              <a:rPr lang="es-CO" sz="2800" b="1" i="0">
                <a:solidFill>
                  <a:srgbClr val="757575"/>
                </a:solidFill>
                <a:latin typeface="+mn-lt"/>
              </a:rPr>
              <a:t>FLUJO DE CAJA</a:t>
            </a:r>
          </a:p>
        </c:rich>
      </c:tx>
      <c:overlay val="0"/>
    </c:title>
    <c:autoTitleDeleted val="0"/>
    <c:plotArea>
      <c:layout/>
      <c:barChart>
        <c:barDir val="col"/>
        <c:grouping val="clustered"/>
        <c:varyColors val="1"/>
        <c:ser>
          <c:idx val="0"/>
          <c:order val="0"/>
          <c:tx>
            <c:v>MES</c:v>
          </c:tx>
          <c:spPr>
            <a:solidFill>
              <a:srgbClr val="5B9BD5"/>
            </a:solidFill>
            <a:ln cmpd="sng">
              <a:solidFill>
                <a:srgbClr val="000000"/>
              </a:solidFill>
            </a:ln>
          </c:spPr>
          <c:invertIfNegative val="1"/>
          <c:val>
            <c:numRef>
              <c:f>'Flujo De Caja'!$B$14:$B$74</c:f>
              <c:numCache>
                <c:formatCode>General</c:formatCode>
                <c:ptCount val="61"/>
                <c:pt idx="0">
                  <c:v>0</c:v>
                </c:pt>
                <c:pt idx="1">
                  <c:v>1</c:v>
                </c:pt>
                <c:pt idx="2">
                  <c:v>2</c:v>
                </c:pt>
                <c:pt idx="3">
                  <c:v>3</c:v>
                </c:pt>
                <c:pt idx="4">
                  <c:v>4</c:v>
                </c:pt>
                <c:pt idx="5">
                  <c:v>5</c:v>
                </c:pt>
                <c:pt idx="6">
                  <c:v>6</c:v>
                </c:pt>
                <c:pt idx="7">
                  <c:v>7</c:v>
                </c:pt>
                <c:pt idx="8">
                  <c:v>8</c:v>
                </c:pt>
                <c:pt idx="9">
                  <c:v>9</c:v>
                </c:pt>
                <c:pt idx="10">
                  <c:v>10</c:v>
                </c:pt>
                <c:pt idx="11">
                  <c:v>11</c:v>
                </c:pt>
                <c:pt idx="12">
                  <c:v>12</c:v>
                </c:pt>
                <c:pt idx="13">
                  <c:v>1</c:v>
                </c:pt>
                <c:pt idx="14">
                  <c:v>2</c:v>
                </c:pt>
                <c:pt idx="15">
                  <c:v>3</c:v>
                </c:pt>
                <c:pt idx="16">
                  <c:v>4</c:v>
                </c:pt>
                <c:pt idx="17">
                  <c:v>5</c:v>
                </c:pt>
                <c:pt idx="18">
                  <c:v>6</c:v>
                </c:pt>
                <c:pt idx="19">
                  <c:v>7</c:v>
                </c:pt>
                <c:pt idx="20">
                  <c:v>8</c:v>
                </c:pt>
                <c:pt idx="21">
                  <c:v>9</c:v>
                </c:pt>
                <c:pt idx="22">
                  <c:v>10</c:v>
                </c:pt>
                <c:pt idx="23">
                  <c:v>11</c:v>
                </c:pt>
                <c:pt idx="24">
                  <c:v>12</c:v>
                </c:pt>
                <c:pt idx="25">
                  <c:v>1</c:v>
                </c:pt>
                <c:pt idx="26">
                  <c:v>2</c:v>
                </c:pt>
                <c:pt idx="27">
                  <c:v>3</c:v>
                </c:pt>
                <c:pt idx="28">
                  <c:v>4</c:v>
                </c:pt>
                <c:pt idx="29">
                  <c:v>5</c:v>
                </c:pt>
                <c:pt idx="30">
                  <c:v>6</c:v>
                </c:pt>
                <c:pt idx="31">
                  <c:v>7</c:v>
                </c:pt>
                <c:pt idx="32">
                  <c:v>8</c:v>
                </c:pt>
                <c:pt idx="33">
                  <c:v>9</c:v>
                </c:pt>
                <c:pt idx="34">
                  <c:v>10</c:v>
                </c:pt>
                <c:pt idx="35">
                  <c:v>11</c:v>
                </c:pt>
                <c:pt idx="36">
                  <c:v>12</c:v>
                </c:pt>
                <c:pt idx="37">
                  <c:v>1</c:v>
                </c:pt>
                <c:pt idx="38">
                  <c:v>2</c:v>
                </c:pt>
                <c:pt idx="39">
                  <c:v>3</c:v>
                </c:pt>
                <c:pt idx="40">
                  <c:v>4</c:v>
                </c:pt>
                <c:pt idx="41">
                  <c:v>5</c:v>
                </c:pt>
                <c:pt idx="42">
                  <c:v>6</c:v>
                </c:pt>
                <c:pt idx="43">
                  <c:v>7</c:v>
                </c:pt>
                <c:pt idx="44">
                  <c:v>8</c:v>
                </c:pt>
                <c:pt idx="45">
                  <c:v>9</c:v>
                </c:pt>
                <c:pt idx="46">
                  <c:v>10</c:v>
                </c:pt>
                <c:pt idx="47">
                  <c:v>11</c:v>
                </c:pt>
                <c:pt idx="48">
                  <c:v>12</c:v>
                </c:pt>
                <c:pt idx="49">
                  <c:v>1</c:v>
                </c:pt>
                <c:pt idx="50">
                  <c:v>2</c:v>
                </c:pt>
                <c:pt idx="51">
                  <c:v>3</c:v>
                </c:pt>
                <c:pt idx="52">
                  <c:v>4</c:v>
                </c:pt>
                <c:pt idx="53">
                  <c:v>5</c:v>
                </c:pt>
                <c:pt idx="54">
                  <c:v>6</c:v>
                </c:pt>
                <c:pt idx="55">
                  <c:v>7</c:v>
                </c:pt>
                <c:pt idx="56">
                  <c:v>8</c:v>
                </c:pt>
                <c:pt idx="57">
                  <c:v>9</c:v>
                </c:pt>
                <c:pt idx="58">
                  <c:v>10</c:v>
                </c:pt>
                <c:pt idx="59">
                  <c:v>11</c:v>
                </c:pt>
                <c:pt idx="60">
                  <c:v>12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8362-4198-963D-40B947C3F9B2}"/>
            </c:ext>
          </c:extLst>
        </c:ser>
        <c:ser>
          <c:idx val="1"/>
          <c:order val="1"/>
          <c:tx>
            <c:v>FC</c:v>
          </c:tx>
          <c:spPr>
            <a:solidFill>
              <a:srgbClr val="ED7D31"/>
            </a:solidFill>
            <a:ln cmpd="sng">
              <a:solidFill>
                <a:srgbClr val="000000"/>
              </a:solidFill>
            </a:ln>
          </c:spPr>
          <c:invertIfNegative val="1"/>
          <c:val>
            <c:numRef>
              <c:f>'Flujo De Caja'!$I$14:$I$74</c:f>
              <c:numCache>
                <c:formatCode>_-"$"\ * #,##0.00_-;\-"$"\ * #,##0.00_-;_-"$"\ * "-"??_-;_-@</c:formatCode>
                <c:ptCount val="61"/>
                <c:pt idx="0">
                  <c:v>-883107481.2154907</c:v>
                </c:pt>
                <c:pt idx="1">
                  <c:v>126413950.41860232</c:v>
                </c:pt>
                <c:pt idx="2">
                  <c:v>122133270.14747696</c:v>
                </c:pt>
                <c:pt idx="3">
                  <c:v>117883750.42427588</c:v>
                </c:pt>
                <c:pt idx="4">
                  <c:v>112738364.94824618</c:v>
                </c:pt>
                <c:pt idx="5">
                  <c:v>107886407.96517187</c:v>
                </c:pt>
                <c:pt idx="6">
                  <c:v>102726740.57134348</c:v>
                </c:pt>
                <c:pt idx="7">
                  <c:v>97743649.61575374</c:v>
                </c:pt>
                <c:pt idx="8">
                  <c:v>92224337.564630136</c:v>
                </c:pt>
                <c:pt idx="9">
                  <c:v>86990663.869481057</c:v>
                </c:pt>
                <c:pt idx="10">
                  <c:v>82173762.502821892</c:v>
                </c:pt>
                <c:pt idx="11">
                  <c:v>76258451.821824878</c:v>
                </c:pt>
                <c:pt idx="12">
                  <c:v>46751417.524893351</c:v>
                </c:pt>
                <c:pt idx="13">
                  <c:v>188210434.63173759</c:v>
                </c:pt>
                <c:pt idx="14">
                  <c:v>181477685.57269722</c:v>
                </c:pt>
                <c:pt idx="15">
                  <c:v>174890545.24238548</c:v>
                </c:pt>
                <c:pt idx="16">
                  <c:v>167011127.44460982</c:v>
                </c:pt>
                <c:pt idx="17">
                  <c:v>159528824.36154759</c:v>
                </c:pt>
                <c:pt idx="18">
                  <c:v>151588184.71192044</c:v>
                </c:pt>
                <c:pt idx="19">
                  <c:v>143897396.40363345</c:v>
                </c:pt>
                <c:pt idx="20">
                  <c:v>135452090.13739091</c:v>
                </c:pt>
                <c:pt idx="21">
                  <c:v>127352604.60187846</c:v>
                </c:pt>
                <c:pt idx="22">
                  <c:v>119812388.95625389</c:v>
                </c:pt>
                <c:pt idx="23">
                  <c:v>110794575.64296585</c:v>
                </c:pt>
                <c:pt idx="24">
                  <c:v>78255716.904518276</c:v>
                </c:pt>
                <c:pt idx="25">
                  <c:v>272234196.8752563</c:v>
                </c:pt>
                <c:pt idx="26">
                  <c:v>261999490.92997652</c:v>
                </c:pt>
                <c:pt idx="27">
                  <c:v>251756600.4937368</c:v>
                </c:pt>
                <c:pt idx="28">
                  <c:v>240058916.78938544</c:v>
                </c:pt>
                <c:pt idx="29">
                  <c:v>228885040.50646403</c:v>
                </c:pt>
                <c:pt idx="30">
                  <c:v>217048220.45579514</c:v>
                </c:pt>
                <c:pt idx="31">
                  <c:v>205555149.02543986</c:v>
                </c:pt>
                <c:pt idx="32">
                  <c:v>193026739.48866504</c:v>
                </c:pt>
                <c:pt idx="33">
                  <c:v>180893231.64070195</c:v>
                </c:pt>
                <c:pt idx="34">
                  <c:v>169496327.97912508</c:v>
                </c:pt>
                <c:pt idx="35">
                  <c:v>156157653.83732569</c:v>
                </c:pt>
                <c:pt idx="36">
                  <c:v>119391831.5493397</c:v>
                </c:pt>
                <c:pt idx="37">
                  <c:v>386286251.75359637</c:v>
                </c:pt>
                <c:pt idx="38">
                  <c:v>371108068.15084267</c:v>
                </c:pt>
                <c:pt idx="39">
                  <c:v>356568835.1108911</c:v>
                </c:pt>
                <c:pt idx="40">
                  <c:v>339488716.95349282</c:v>
                </c:pt>
                <c:pt idx="41">
                  <c:v>323097273.13810325</c:v>
                </c:pt>
                <c:pt idx="42">
                  <c:v>305761077.51779163</c:v>
                </c:pt>
                <c:pt idx="43">
                  <c:v>288892285.4220202</c:v>
                </c:pt>
                <c:pt idx="44">
                  <c:v>270616310.37470853</c:v>
                </c:pt>
                <c:pt idx="45">
                  <c:v>252777904.58441231</c:v>
                </c:pt>
                <c:pt idx="46">
                  <c:v>235889222.97695857</c:v>
                </c:pt>
                <c:pt idx="47">
                  <c:v>216479545.76374012</c:v>
                </c:pt>
                <c:pt idx="48">
                  <c:v>173766375.30856198</c:v>
                </c:pt>
                <c:pt idx="49">
                  <c:v>540617267.9572289</c:v>
                </c:pt>
                <c:pt idx="50">
                  <c:v>518442597.10587788</c:v>
                </c:pt>
                <c:pt idx="51">
                  <c:v>497360771.95873147</c:v>
                </c:pt>
                <c:pt idx="52">
                  <c:v>472774713.30353713</c:v>
                </c:pt>
                <c:pt idx="53">
                  <c:v>449082531.16183591</c:v>
                </c:pt>
                <c:pt idx="54">
                  <c:v>424059928.16284275</c:v>
                </c:pt>
                <c:pt idx="55">
                  <c:v>399666899.31953239</c:v>
                </c:pt>
                <c:pt idx="56">
                  <c:v>373376238.94093198</c:v>
                </c:pt>
                <c:pt idx="57">
                  <c:v>347536971.35319793</c:v>
                </c:pt>
                <c:pt idx="58">
                  <c:v>322921215.80386704</c:v>
                </c:pt>
                <c:pt idx="59">
                  <c:v>295059589.72547221</c:v>
                </c:pt>
                <c:pt idx="60">
                  <c:v>244056641.03626025</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8362-4198-963D-40B947C3F9B2}"/>
            </c:ext>
          </c:extLst>
        </c:ser>
        <c:dLbls>
          <c:showLegendKey val="0"/>
          <c:showVal val="0"/>
          <c:showCatName val="0"/>
          <c:showSerName val="0"/>
          <c:showPercent val="0"/>
          <c:showBubbleSize val="0"/>
        </c:dLbls>
        <c:gapWidth val="150"/>
        <c:axId val="1796287783"/>
        <c:axId val="932968993"/>
      </c:barChart>
      <c:catAx>
        <c:axId val="1796287783"/>
        <c:scaling>
          <c:orientation val="minMax"/>
        </c:scaling>
        <c:delete val="0"/>
        <c:axPos val="b"/>
        <c:title>
          <c:tx>
            <c:rich>
              <a:bodyPr/>
              <a:lstStyle/>
              <a:p>
                <a:pPr lvl="0">
                  <a:defRPr sz="1800" b="1" i="0">
                    <a:solidFill>
                      <a:srgbClr val="000000"/>
                    </a:solidFill>
                    <a:latin typeface="+mn-lt"/>
                  </a:defRPr>
                </a:pPr>
                <a:r>
                  <a:rPr lang="es-CO" sz="1800" b="1" i="0">
                    <a:solidFill>
                      <a:srgbClr val="000000"/>
                    </a:solidFill>
                    <a:latin typeface="+mn-lt"/>
                  </a:rPr>
                  <a:t>MES</a:t>
                </a:r>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s-CO"/>
          </a:p>
        </c:txPr>
        <c:crossAx val="932968993"/>
        <c:crosses val="autoZero"/>
        <c:auto val="1"/>
        <c:lblAlgn val="ctr"/>
        <c:lblOffset val="100"/>
        <c:noMultiLvlLbl val="1"/>
      </c:catAx>
      <c:valAx>
        <c:axId val="932968993"/>
        <c:scaling>
          <c:orientation val="minMax"/>
        </c:scaling>
        <c:delete val="0"/>
        <c:axPos val="l"/>
        <c:majorGridlines>
          <c:spPr>
            <a:ln>
              <a:solidFill>
                <a:srgbClr val="B7B7B7"/>
              </a:solidFill>
            </a:ln>
          </c:spPr>
        </c:majorGridlines>
        <c:title>
          <c:tx>
            <c:rich>
              <a:bodyPr/>
              <a:lstStyle/>
              <a:p>
                <a:pPr lvl="0">
                  <a:defRPr sz="1800" b="1" i="0">
                    <a:solidFill>
                      <a:srgbClr val="000000"/>
                    </a:solidFill>
                    <a:latin typeface="+mn-lt"/>
                  </a:defRPr>
                </a:pPr>
                <a:r>
                  <a:rPr lang="es-CO" sz="1800" b="1" i="0">
                    <a:solidFill>
                      <a:srgbClr val="000000"/>
                    </a:solidFill>
                    <a:latin typeface="+mn-lt"/>
                  </a:rPr>
                  <a:t>VALOR (COP)</a:t>
                </a:r>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s-CO"/>
          </a:p>
        </c:txPr>
        <c:crossAx val="1796287783"/>
        <c:crosses val="autoZero"/>
        <c:crossBetween val="between"/>
      </c:valAx>
    </c:plotArea>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oneCellAnchor>
    <xdr:from>
      <xdr:col>6</xdr:col>
      <xdr:colOff>495300</xdr:colOff>
      <xdr:row>16</xdr:row>
      <xdr:rowOff>152400</xdr:rowOff>
    </xdr:from>
    <xdr:ext cx="5257800" cy="2857500"/>
    <xdr:graphicFrame macro="">
      <xdr:nvGraphicFramePr>
        <xdr:cNvPr id="1095726600" name="Chart 1">
          <a:extLst>
            <a:ext uri="{FF2B5EF4-FFF2-40B4-BE49-F238E27FC236}">
              <a16:creationId xmlns:a16="http://schemas.microsoft.com/office/drawing/2014/main" id="{00000000-0008-0000-0300-000008764F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dr:oneCellAnchor>
    <xdr:from>
      <xdr:col>10</xdr:col>
      <xdr:colOff>676275</xdr:colOff>
      <xdr:row>12</xdr:row>
      <xdr:rowOff>390525</xdr:rowOff>
    </xdr:from>
    <xdr:ext cx="11191875" cy="5038725"/>
    <xdr:graphicFrame macro="">
      <xdr:nvGraphicFramePr>
        <xdr:cNvPr id="1157823584" name="Chart 2">
          <a:extLst>
            <a:ext uri="{FF2B5EF4-FFF2-40B4-BE49-F238E27FC236}">
              <a16:creationId xmlns:a16="http://schemas.microsoft.com/office/drawing/2014/main" id="{00000000-0008-0000-0700-000060FC02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10</xdr:col>
      <xdr:colOff>695325</xdr:colOff>
      <xdr:row>2</xdr:row>
      <xdr:rowOff>85725</xdr:rowOff>
    </xdr:from>
    <xdr:ext cx="5057775" cy="2466975"/>
    <xdr:pic>
      <xdr:nvPicPr>
        <xdr:cNvPr id="2" name="image1.png">
          <a:extLst>
            <a:ext uri="{FF2B5EF4-FFF2-40B4-BE49-F238E27FC236}">
              <a16:creationId xmlns:a16="http://schemas.microsoft.com/office/drawing/2014/main" id="{00000000-0008-0000-0700-00000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4:I16">
  <tableColumns count="9">
    <tableColumn id="1" xr3:uid="{00000000-0010-0000-0000-000001000000}" name="PATINETA 500W" dataDxfId="23"/>
    <tableColumn id="2" xr3:uid="{00000000-0010-0000-0000-000002000000}" name="PATINETA 800W" dataDxfId="22"/>
    <tableColumn id="3" xr3:uid="{00000000-0010-0000-0000-000003000000}" name="PATINETA 2000W" dataDxfId="21"/>
    <tableColumn id="4" xr3:uid="{00000000-0010-0000-0000-000004000000}" name="COMPONENTE" dataDxfId="20"/>
    <tableColumn id="5" xr3:uid="{00000000-0010-0000-0000-000005000000}" name="PRECIO UNITARIO (USD)" dataDxfId="19"/>
    <tableColumn id="6" xr3:uid="{00000000-0010-0000-0000-000006000000}" name="CANTIDAD" dataDxfId="18"/>
    <tableColumn id="7" xr3:uid="{00000000-0010-0000-0000-000007000000}" name="TOTAL (USD)" dataDxfId="17"/>
    <tableColumn id="8" xr3:uid="{00000000-0010-0000-0000-000008000000}" name="DESCRIPCIÓN" dataDxfId="16"/>
    <tableColumn id="9" xr3:uid="{00000000-0010-0000-0000-000009000000}" name="TIENDA" dataDxfId="15"/>
  </tableColumns>
  <tableStyleInfo name="Componentes Patinetas-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5:B10" headerRowDxfId="25" totalsRowDxfId="24">
  <tableColumns count="2">
    <tableColumn id="1" xr3:uid="{00000000-0010-0000-0100-000001000000}" name="CONCEPTO" dataDxfId="27"/>
    <tableColumn id="2" xr3:uid="{00000000-0010-0000-0100-000002000000}" name="TOTAL" dataDxfId="26"/>
  </tableColumns>
  <tableStyleInfo name="Propuesta Automatización-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14:D20">
  <tableColumns count="4">
    <tableColumn id="1" xr3:uid="{00000000-0010-0000-0200-000001000000}" name=" Honorarios Equipo de Ingenieros"/>
    <tableColumn id="2" xr3:uid="{00000000-0010-0000-0200-000002000000}" name="Precio x hora (COP)"/>
    <tableColumn id="3" xr3:uid="{00000000-0010-0000-0200-000003000000}" name="Cantidad de Horas"/>
    <tableColumn id="4" xr3:uid="{00000000-0010-0000-0200-000004000000}" name="Precio total (COP)"/>
  </tableColumns>
  <tableStyleInfo name="Propuesta Automatización-style 2"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23:D29">
  <tableColumns count="4">
    <tableColumn id="1" xr3:uid="{00000000-0010-0000-0300-000001000000}" name="Licencia/Software"/>
    <tableColumn id="2" xr3:uid="{00000000-0010-0000-0300-000002000000}" name="Duración"/>
    <tableColumn id="3" xr3:uid="{00000000-0010-0000-0300-000003000000}" name="Costo (USD)"/>
    <tableColumn id="4" xr3:uid="{00000000-0010-0000-0300-000004000000}" name="Costo (COP)"/>
  </tableColumns>
  <tableStyleInfo name="Propuesta Automatización-style 3"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4:G79">
  <tableColumns count="7">
    <tableColumn id="1" xr3:uid="{00000000-0010-0000-0400-000001000000}" name="ID" dataDxfId="34"/>
    <tableColumn id="2" xr3:uid="{00000000-0010-0000-0400-000002000000}" name="DESCRIPCIÓN" dataDxfId="33"/>
    <tableColumn id="3" xr3:uid="{00000000-0010-0000-0400-000003000000}" name="REFERENCIA" dataDxfId="32"/>
    <tableColumn id="4" xr3:uid="{00000000-0010-0000-0400-000004000000}" name="PRECIO (USD)" dataDxfId="31"/>
    <tableColumn id="5" xr3:uid="{00000000-0010-0000-0400-000005000000}" name="PRECIO (COP)" dataDxfId="30"/>
    <tableColumn id="6" xr3:uid="{00000000-0010-0000-0400-000006000000}" name="CANTIDAD" dataDxfId="29"/>
    <tableColumn id="7" xr3:uid="{00000000-0010-0000-0400-000007000000}" name="TOTAL (COP)" dataDxfId="28"/>
  </tableColumns>
  <tableStyleInfo name="TableStyleLight9"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5:H15" headerRowDxfId="8" dataDxfId="14" totalsRowDxfId="7" headerRowBorderDxfId="12" tableBorderDxfId="13">
  <tableColumns count="8">
    <tableColumn id="1" xr3:uid="{00000000-0010-0000-0500-000001000000}" name="ID" dataDxfId="11"/>
    <tableColumn id="2" xr3:uid="{00000000-0010-0000-0500-000002000000}" name="DESCRIPCIÓN" dataDxfId="10"/>
    <tableColumn id="3" xr3:uid="{00000000-0010-0000-0500-000003000000}" name="REFERENCIA" dataDxfId="6"/>
    <tableColumn id="4" xr3:uid="{00000000-0010-0000-0500-000004000000}" name="PRECIO UNITARIO (USD)" dataDxfId="4"/>
    <tableColumn id="5" xr3:uid="{00000000-0010-0000-0500-000005000000}" name="PRECIO UNITARIO (COP)" dataDxfId="5">
      <calculatedColumnFormula>Table_6[[#This Row],[PRECIO UNITARIO (USD)]]*TRM__HOY</calculatedColumnFormula>
    </tableColumn>
    <tableColumn id="6" xr3:uid="{00000000-0010-0000-0500-000006000000}" name="CANTIDAD" dataDxfId="9"/>
    <tableColumn id="7" xr3:uid="{00000000-0010-0000-0500-000007000000}" name="TOTAL (COP)" dataDxfId="3">
      <calculatedColumnFormula>Table_6[[#This Row],[PRECIO UNITARIO (COP)]]*Table_6[[#This Row],[CANTIDAD]]</calculatedColumnFormula>
    </tableColumn>
    <tableColumn id="8" xr3:uid="{00000000-0010-0000-0500-000008000000}" name="TIENDA" dataDxfId="2"/>
  </tableColumns>
  <tableStyleInfo name="Celda Robótic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www.nanrobot.com/products/nanrobot-electric-scooter-handlebar?srsltid=AfmBOori6bVWB4T1U3fMTIaYa9gs6pTyGMgzLRnNUv0q-XZ2ARYlkj7X&amp;utm_source=chatgpt.com&amp;variant=44158963253503" TargetMode="External"/><Relationship Id="rId13" Type="http://schemas.openxmlformats.org/officeDocument/2006/relationships/table" Target="../tables/table1.xml"/><Relationship Id="rId3" Type="http://schemas.openxmlformats.org/officeDocument/2006/relationships/hyperlink" Target="https://gotrax.com/products/electric-scooter-seats?srsltid=AfmBOooXoMSqvC8xVF62LJx1qifrELy3JA2YdAk3480T2xFubij4OqZS&amp;utm_source=chatgpt.com" TargetMode="External"/><Relationship Id="rId7" Type="http://schemas.openxmlformats.org/officeDocument/2006/relationships/hyperlink" Target="https://www.mercadolibre.com.co/juego-completo-de-manillares-8in-para-scooter-electrico/p/MCO2004232752" TargetMode="External"/><Relationship Id="rId12" Type="http://schemas.openxmlformats.org/officeDocument/2006/relationships/printerSettings" Target="../printerSettings/printerSettings1.bin"/><Relationship Id="rId2" Type="http://schemas.openxmlformats.org/officeDocument/2006/relationships/hyperlink" Target="https://geofought.com/" TargetMode="External"/><Relationship Id="rId1" Type="http://schemas.openxmlformats.org/officeDocument/2006/relationships/hyperlink" Target="https://geofought.com/" TargetMode="External"/><Relationship Id="rId6" Type="http://schemas.openxmlformats.org/officeDocument/2006/relationships/hyperlink" Target="https://impormotor.com/neumaticos-llantas-quad/819-llanta-neumatico-miniquad-7-pulgadas.html" TargetMode="External"/><Relationship Id="rId11" Type="http://schemas.openxmlformats.org/officeDocument/2006/relationships/hyperlink" Target="https://ebay.us/m/i5A3hU" TargetMode="External"/><Relationship Id="rId5" Type="http://schemas.openxmlformats.org/officeDocument/2006/relationships/hyperlink" Target="https://spanish.alibaba.com/product-detail/KENDA-145-70-6-Tire-for-1601038096968.html" TargetMode="External"/><Relationship Id="rId10" Type="http://schemas.openxmlformats.org/officeDocument/2006/relationships/hyperlink" Target="https://ebay.us/m/XC7inh" TargetMode="External"/><Relationship Id="rId4" Type="http://schemas.openxmlformats.org/officeDocument/2006/relationships/hyperlink" Target="https://www.ebay.com/itm/167548637328?_skw=electric+scooter+soporte+sillin&amp;itmmeta=01JXWQPWDFGVKXD5Y9NKH5J538&amp;hash=item2702ad5090:g:CBAAAeSw23ZoOKTy&amp;itmprp=enc%3AAQAKAAABAFkggFvd1GGDu0w3yXCmi1dPi4s1W2HChS8AYH4GGDRyxWp0r8TURX60k1FMv4x7sJMSXrzaGPjNRNAIrWoExkke69Ojl%2BRCMUWUAtMKKZOn%2BrYbG50ifOaZgRDduplSPKN%2BfXPOZ%2BTFZMBv6BHBctaQJkF0lI%2Ft1Bl4ykEtBkwQzo6BNx1YfXUcBgLAI4Ofu%2FBpZJtFH8yTGVJzc7p6VWfXpvU4bMUojaYwMBECcVf9X4i4LlsKSwDHpIsc%2FQ2uUKaEnkXFZZwkIk4%2Bvp1rU1gnjMbKcKvIwaB4CsZHetO%2BtvDtT3ZWx9AY%2B2I9P6gqZ13Z%2B2SLEcIUcp6GUmVkJpw%3D%7Ctkp%3ABk9SR9bJ25fvZQ" TargetMode="External"/><Relationship Id="rId9" Type="http://schemas.openxmlformats.org/officeDocument/2006/relationships/hyperlink" Target="https://www.ebay.com/itm/405890858450?_skw=electric+scooter+kit&amp;itmmeta=01JXWQFZZJP57AY6Q99A17T3CG&amp;hash=item5e80fafdd2:g:ZmMAAOSw0RBk1fc-&amp;itmprp=enc%3AAQAKAAAA8IUNi59bckQcV2ImusJGAkHSwAlyP1WG6Ofc8f4A9DN6mweHY1Rl5gGGOhEVE2%2BM9QJGqCtD8l7UF%2BfebpiaXoQ0HW1cjO8BlDjS544fZbFzuv8PgznE1bY%2FzVCZQHsy3qr%2BC57H%2BVhVqx%2BmSoBZ2tL8JMpgmnxj%2FwNq0J2j9tN0Ln3%2FWJymjC93S4uk6oV2bpa1%2FGLaw%2FxJ0ZrTE2avIsrQaOIdnXVDNX3iOfrCIAG98hiekAJoXLh3LRSMb%2BTdyv1kcJjvqzBm7gPVEFomTXa0zYwXv7XogpctpjxZMYKfEvOYT6tSVRFhr5N83CYh%2Fw%3D%3D%7Ctkp%3ABFBM-P-_l-9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4.bin"/><Relationship Id="rId4" Type="http://schemas.openxmlformats.org/officeDocument/2006/relationships/table" Target="../tables/table4.xml"/></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hyperlink" Target="https://articulo.mercadolibre.com.co/MCO-1646682002-barrera-perimetral-fotoelectrica-a-100mts-6-rayos-exterior-_JM?matt_tool=69323373&amp;matt_word=&amp;matt_source=google&amp;matt_campaign_id=22126928543&amp;matt_ad_group_id=171342873297&amp;matt_match_type=&amp;matt_network=g&amp;matt_device=c&amp;matt_creative=729836840398&amp;matt_keyword=&amp;matt_ad_position=&amp;matt_ad_type=pla&amp;matt_merchant_id=129727709&amp;matt_product_id=MCO1646682002&amp;matt_product_partition_id=2387145049582&amp;matt_target_id=pla-2387145049582&amp;cq_src=google_ads&amp;cq_cmp=22126928543&amp;cq_net=g&amp;cq_plt=gp&amp;cq_med=pla&amp;gad_source=1&amp;gad_campaignid=22126928543&amp;gclid=CjwKCAjw7fzDBhA7EiwAOqJkhwKXl3t6HLxior1YjXhyH9PDj5AQovQPIe_rrwQMNz8C5VUd4hJgrhoChcoQAvD_BwE" TargetMode="External"/><Relationship Id="rId2" Type="http://schemas.openxmlformats.org/officeDocument/2006/relationships/hyperlink" Target="https://www.grainger.com/product/835M59?gucid=N%3AN%3AFPL%3AFree%3AGGL%3ACSM-1946%3Atew63h3%3A20501231&amp;utm_source=chatgpt.com" TargetMode="External"/><Relationship Id="rId1" Type="http://schemas.openxmlformats.org/officeDocument/2006/relationships/hyperlink" Target="https://www.durespo.com/producto/fujita-compresor-aire-2hp-24-l/" TargetMode="External"/><Relationship Id="rId6" Type="http://schemas.openxmlformats.org/officeDocument/2006/relationships/table" Target="../tables/table6.xml"/><Relationship Id="rId5" Type="http://schemas.openxmlformats.org/officeDocument/2006/relationships/printerSettings" Target="../printerSettings/printerSettings6.bin"/><Relationship Id="rId4" Type="http://schemas.openxmlformats.org/officeDocument/2006/relationships/hyperlink" Target="https://www.amazon.com/-/es/RVPICPLT/dp/B0F7FJTQZ1?th=1"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000"/>
  <sheetViews>
    <sheetView workbookViewId="0"/>
  </sheetViews>
  <sheetFormatPr baseColWidth="10" defaultColWidth="14.44140625" defaultRowHeight="15" customHeight="1" x14ac:dyDescent="0.3"/>
  <cols>
    <col min="1" max="1" width="4.33203125" customWidth="1"/>
    <col min="2" max="2" width="11.33203125" customWidth="1"/>
    <col min="3" max="3" width="16.109375" customWidth="1"/>
    <col min="4" max="26" width="10.6640625" customWidth="1"/>
  </cols>
  <sheetData>
    <row r="1" spans="1:3" ht="14.25" customHeight="1" x14ac:dyDescent="0.3"/>
    <row r="2" spans="1:3" ht="14.25" customHeight="1" x14ac:dyDescent="0.3">
      <c r="B2" s="1" t="s">
        <v>0</v>
      </c>
      <c r="C2" s="2">
        <f>4026.27</f>
        <v>4026.27</v>
      </c>
    </row>
    <row r="3" spans="1:3" ht="14.25" customHeight="1" x14ac:dyDescent="0.3"/>
    <row r="4" spans="1:3" ht="14.25" customHeight="1" x14ac:dyDescent="0.3">
      <c r="A4" s="3" t="s">
        <v>1</v>
      </c>
      <c r="B4" s="3" t="s">
        <v>2</v>
      </c>
      <c r="C4" s="3" t="s">
        <v>3</v>
      </c>
    </row>
    <row r="5" spans="1:3" ht="14.25" customHeight="1" x14ac:dyDescent="0.3">
      <c r="A5" s="4">
        <v>1</v>
      </c>
      <c r="B5" s="4">
        <v>1</v>
      </c>
      <c r="C5" s="2">
        <v>4211.1000000000004</v>
      </c>
    </row>
    <row r="6" spans="1:3" ht="14.25" customHeight="1" x14ac:dyDescent="0.3">
      <c r="A6" s="4">
        <v>1</v>
      </c>
      <c r="B6" s="4">
        <v>2</v>
      </c>
      <c r="C6" s="2">
        <v>4244.07</v>
      </c>
    </row>
    <row r="7" spans="1:3" ht="14.25" customHeight="1" x14ac:dyDescent="0.3">
      <c r="A7" s="4">
        <v>1</v>
      </c>
      <c r="B7" s="4">
        <v>3</v>
      </c>
      <c r="C7" s="2">
        <v>4276.8</v>
      </c>
    </row>
    <row r="8" spans="1:3" ht="14.25" customHeight="1" x14ac:dyDescent="0.3">
      <c r="A8" s="4">
        <v>1</v>
      </c>
      <c r="B8" s="4">
        <v>4</v>
      </c>
      <c r="C8" s="2">
        <v>4316.43</v>
      </c>
    </row>
    <row r="9" spans="1:3" ht="14.25" customHeight="1" x14ac:dyDescent="0.3">
      <c r="A9" s="4">
        <v>1</v>
      </c>
      <c r="B9" s="4">
        <v>5</v>
      </c>
      <c r="C9" s="2">
        <v>4353.8</v>
      </c>
    </row>
    <row r="10" spans="1:3" ht="14.25" customHeight="1" x14ac:dyDescent="0.3">
      <c r="A10" s="4">
        <v>1</v>
      </c>
      <c r="B10" s="4">
        <v>6</v>
      </c>
      <c r="C10" s="2">
        <v>4393.54</v>
      </c>
    </row>
    <row r="11" spans="1:3" ht="14.25" customHeight="1" x14ac:dyDescent="0.3">
      <c r="A11" s="4">
        <v>1</v>
      </c>
      <c r="B11" s="4">
        <v>7</v>
      </c>
      <c r="C11" s="2">
        <v>4431.92</v>
      </c>
    </row>
    <row r="12" spans="1:3" ht="14.25" customHeight="1" x14ac:dyDescent="0.3">
      <c r="A12" s="4">
        <v>1</v>
      </c>
      <c r="B12" s="4">
        <v>8</v>
      </c>
      <c r="C12" s="2">
        <v>4474.43</v>
      </c>
    </row>
    <row r="13" spans="1:3" ht="14.25" customHeight="1" x14ac:dyDescent="0.3">
      <c r="A13" s="4">
        <v>1</v>
      </c>
      <c r="B13" s="4">
        <v>9</v>
      </c>
      <c r="C13" s="2">
        <v>4514.74</v>
      </c>
    </row>
    <row r="14" spans="1:3" ht="14.25" customHeight="1" x14ac:dyDescent="0.3">
      <c r="A14" s="4">
        <v>1</v>
      </c>
      <c r="B14" s="4">
        <v>10</v>
      </c>
      <c r="C14" s="2">
        <v>4551.84</v>
      </c>
    </row>
    <row r="15" spans="1:3" ht="14.25" customHeight="1" x14ac:dyDescent="0.3">
      <c r="A15" s="4">
        <v>1</v>
      </c>
      <c r="B15" s="4">
        <v>11</v>
      </c>
      <c r="C15" s="2">
        <v>4597.3999999999996</v>
      </c>
    </row>
    <row r="16" spans="1:3" ht="14.25" customHeight="1" x14ac:dyDescent="0.3">
      <c r="A16" s="4">
        <v>1</v>
      </c>
      <c r="B16" s="4">
        <v>12</v>
      </c>
      <c r="C16" s="2">
        <v>4641.58</v>
      </c>
    </row>
    <row r="17" spans="1:3" ht="14.25" customHeight="1" x14ac:dyDescent="0.3">
      <c r="A17" s="4">
        <v>2</v>
      </c>
      <c r="B17" s="4">
        <v>1</v>
      </c>
      <c r="C17" s="2">
        <v>4688.28</v>
      </c>
    </row>
    <row r="18" spans="1:3" ht="14.25" customHeight="1" x14ac:dyDescent="0.3">
      <c r="A18" s="4">
        <v>2</v>
      </c>
      <c r="B18" s="4">
        <v>2</v>
      </c>
      <c r="C18" s="2">
        <v>4728.97</v>
      </c>
    </row>
    <row r="19" spans="1:3" ht="14.25" customHeight="1" x14ac:dyDescent="0.3">
      <c r="A19" s="4">
        <v>2</v>
      </c>
      <c r="B19" s="4">
        <v>3</v>
      </c>
      <c r="C19" s="2">
        <v>4768.78</v>
      </c>
    </row>
    <row r="20" spans="1:3" ht="14.25" customHeight="1" x14ac:dyDescent="0.3">
      <c r="A20" s="4">
        <v>2</v>
      </c>
      <c r="B20" s="4">
        <v>4</v>
      </c>
      <c r="C20" s="2">
        <v>4816.3999999999996</v>
      </c>
    </row>
    <row r="21" spans="1:3" ht="14.25" customHeight="1" x14ac:dyDescent="0.3">
      <c r="A21" s="4">
        <v>2</v>
      </c>
      <c r="B21" s="4">
        <v>5</v>
      </c>
      <c r="C21" s="2">
        <v>4861.62</v>
      </c>
    </row>
    <row r="22" spans="1:3" ht="14.25" customHeight="1" x14ac:dyDescent="0.3">
      <c r="A22" s="4">
        <v>2</v>
      </c>
      <c r="B22" s="4">
        <v>6</v>
      </c>
      <c r="C22" s="2">
        <v>4909.6099999999997</v>
      </c>
    </row>
    <row r="23" spans="1:3" ht="14.25" customHeight="1" x14ac:dyDescent="0.3">
      <c r="A23" s="4">
        <v>2</v>
      </c>
      <c r="B23" s="4">
        <v>7</v>
      </c>
      <c r="C23" s="2">
        <v>4956.09</v>
      </c>
    </row>
    <row r="24" spans="1:3" ht="14.25" customHeight="1" x14ac:dyDescent="0.3">
      <c r="A24" s="4">
        <v>2</v>
      </c>
      <c r="B24" s="4">
        <v>8</v>
      </c>
      <c r="C24" s="2">
        <v>5007.13</v>
      </c>
    </row>
    <row r="25" spans="1:3" ht="14.25" customHeight="1" x14ac:dyDescent="0.3">
      <c r="A25" s="4">
        <v>2</v>
      </c>
      <c r="B25" s="4">
        <v>9</v>
      </c>
      <c r="C25" s="2">
        <v>5056.08</v>
      </c>
    </row>
    <row r="26" spans="1:3" ht="14.25" customHeight="1" x14ac:dyDescent="0.3">
      <c r="A26" s="4">
        <v>2</v>
      </c>
      <c r="B26" s="4">
        <v>10</v>
      </c>
      <c r="C26" s="2">
        <v>5101.6499999999996</v>
      </c>
    </row>
    <row r="27" spans="1:3" ht="14.25" customHeight="1" x14ac:dyDescent="0.3">
      <c r="A27" s="4">
        <v>2</v>
      </c>
      <c r="B27" s="4">
        <v>11</v>
      </c>
      <c r="C27" s="2">
        <v>5156.1499999999996</v>
      </c>
    </row>
    <row r="28" spans="1:3" ht="14.25" customHeight="1" x14ac:dyDescent="0.3">
      <c r="A28" s="4">
        <v>2</v>
      </c>
      <c r="B28" s="4">
        <v>12</v>
      </c>
      <c r="C28" s="2">
        <v>5209.1400000000003</v>
      </c>
    </row>
    <row r="29" spans="1:3" ht="14.25" customHeight="1" x14ac:dyDescent="0.3">
      <c r="A29" s="4">
        <v>3</v>
      </c>
      <c r="B29" s="4">
        <v>1</v>
      </c>
      <c r="C29" s="2">
        <v>5265.09</v>
      </c>
    </row>
    <row r="30" spans="1:3" ht="14.25" customHeight="1" x14ac:dyDescent="0.3">
      <c r="A30" s="4">
        <v>3</v>
      </c>
      <c r="B30" s="4">
        <v>2</v>
      </c>
      <c r="C30" s="2">
        <v>5315.11</v>
      </c>
    </row>
    <row r="31" spans="1:3" ht="14.25" customHeight="1" x14ac:dyDescent="0.3">
      <c r="A31" s="4">
        <v>3</v>
      </c>
      <c r="B31" s="4">
        <v>3</v>
      </c>
      <c r="C31" s="2">
        <v>5365.17</v>
      </c>
    </row>
    <row r="32" spans="1:3" ht="14.25" customHeight="1" x14ac:dyDescent="0.3">
      <c r="A32" s="4">
        <v>3</v>
      </c>
      <c r="B32" s="4">
        <v>4</v>
      </c>
      <c r="C32" s="2">
        <v>5422.34</v>
      </c>
    </row>
    <row r="33" spans="1:3" ht="14.25" customHeight="1" x14ac:dyDescent="0.3">
      <c r="A33" s="4">
        <v>3</v>
      </c>
      <c r="B33" s="4">
        <v>5</v>
      </c>
      <c r="C33" s="2">
        <v>5476.95</v>
      </c>
    </row>
    <row r="34" spans="1:3" ht="14.25" customHeight="1" x14ac:dyDescent="0.3">
      <c r="A34" s="4">
        <v>3</v>
      </c>
      <c r="B34" s="4">
        <v>6</v>
      </c>
      <c r="C34" s="2">
        <v>5534.8</v>
      </c>
    </row>
    <row r="35" spans="1:3" ht="14.25" customHeight="1" x14ac:dyDescent="0.3">
      <c r="A35" s="4">
        <v>3</v>
      </c>
      <c r="B35" s="4">
        <v>7</v>
      </c>
      <c r="C35" s="2">
        <v>5590.97</v>
      </c>
    </row>
    <row r="36" spans="1:3" ht="14.25" customHeight="1" x14ac:dyDescent="0.3">
      <c r="A36" s="4">
        <v>3</v>
      </c>
      <c r="B36" s="4">
        <v>8</v>
      </c>
      <c r="C36" s="2">
        <v>5652.2</v>
      </c>
    </row>
    <row r="37" spans="1:3" ht="14.25" customHeight="1" x14ac:dyDescent="0.3">
      <c r="A37" s="4">
        <v>3</v>
      </c>
      <c r="B37" s="4">
        <v>9</v>
      </c>
      <c r="C37" s="2">
        <v>5711.5</v>
      </c>
    </row>
    <row r="38" spans="1:3" ht="14.25" customHeight="1" x14ac:dyDescent="0.3">
      <c r="A38" s="4">
        <v>3</v>
      </c>
      <c r="B38" s="4">
        <v>10</v>
      </c>
      <c r="C38" s="2">
        <v>5767.2</v>
      </c>
    </row>
    <row r="39" spans="1:3" ht="14.25" customHeight="1" x14ac:dyDescent="0.3">
      <c r="A39" s="4">
        <v>3</v>
      </c>
      <c r="B39" s="4">
        <v>11</v>
      </c>
      <c r="C39" s="2">
        <v>5832.39</v>
      </c>
    </row>
    <row r="40" spans="1:3" ht="14.25" customHeight="1" x14ac:dyDescent="0.3">
      <c r="A40" s="4">
        <v>3</v>
      </c>
      <c r="B40" s="4">
        <v>12</v>
      </c>
      <c r="C40" s="2">
        <v>5895.9</v>
      </c>
    </row>
    <row r="41" spans="1:3" ht="14.25" customHeight="1" x14ac:dyDescent="0.3">
      <c r="A41" s="4">
        <v>4</v>
      </c>
      <c r="B41" s="4">
        <v>1</v>
      </c>
      <c r="C41" s="2">
        <v>5962.9</v>
      </c>
    </row>
    <row r="42" spans="1:3" ht="14.25" customHeight="1" x14ac:dyDescent="0.3">
      <c r="A42" s="4">
        <v>4</v>
      </c>
      <c r="B42" s="4">
        <v>2</v>
      </c>
      <c r="C42" s="2">
        <v>6023.95</v>
      </c>
    </row>
    <row r="43" spans="1:3" ht="14.25" customHeight="1" x14ac:dyDescent="0.3">
      <c r="A43" s="4">
        <v>4</v>
      </c>
      <c r="B43" s="4">
        <v>3</v>
      </c>
      <c r="C43" s="2">
        <v>6082.43</v>
      </c>
    </row>
    <row r="44" spans="1:3" ht="14.25" customHeight="1" x14ac:dyDescent="0.3">
      <c r="A44" s="4">
        <v>4</v>
      </c>
      <c r="B44" s="4">
        <v>4</v>
      </c>
      <c r="C44" s="2">
        <v>6151.13</v>
      </c>
    </row>
    <row r="45" spans="1:3" ht="14.25" customHeight="1" x14ac:dyDescent="0.3">
      <c r="A45" s="4">
        <v>4</v>
      </c>
      <c r="B45" s="4">
        <v>5</v>
      </c>
      <c r="C45" s="2">
        <v>6217.06</v>
      </c>
    </row>
    <row r="46" spans="1:3" ht="14.25" customHeight="1" x14ac:dyDescent="0.3">
      <c r="A46" s="4">
        <v>4</v>
      </c>
      <c r="B46" s="4">
        <v>6</v>
      </c>
      <c r="C46" s="2">
        <v>6286.79</v>
      </c>
    </row>
    <row r="47" spans="1:3" ht="14.25" customHeight="1" x14ac:dyDescent="0.3">
      <c r="A47" s="4">
        <v>4</v>
      </c>
      <c r="B47" s="4">
        <v>7</v>
      </c>
      <c r="C47" s="2">
        <v>6354.64</v>
      </c>
    </row>
    <row r="48" spans="1:3" ht="14.25" customHeight="1" x14ac:dyDescent="0.3">
      <c r="A48" s="4">
        <v>4</v>
      </c>
      <c r="B48" s="4">
        <v>8</v>
      </c>
      <c r="C48" s="2">
        <v>6428.15</v>
      </c>
    </row>
    <row r="49" spans="1:3" ht="14.25" customHeight="1" x14ac:dyDescent="0.3">
      <c r="A49" s="4">
        <v>4</v>
      </c>
      <c r="B49" s="4">
        <v>9</v>
      </c>
      <c r="C49" s="2">
        <v>6499.9</v>
      </c>
    </row>
    <row r="50" spans="1:3" ht="14.25" customHeight="1" x14ac:dyDescent="0.3">
      <c r="A50" s="4">
        <v>4</v>
      </c>
      <c r="B50" s="4">
        <v>10</v>
      </c>
      <c r="C50" s="2">
        <v>6567.83</v>
      </c>
    </row>
    <row r="51" spans="1:3" ht="14.25" customHeight="1" x14ac:dyDescent="0.3">
      <c r="A51" s="4">
        <v>4</v>
      </c>
      <c r="B51" s="4">
        <v>11</v>
      </c>
      <c r="C51" s="2">
        <v>6645.9</v>
      </c>
    </row>
    <row r="52" spans="1:3" ht="14.25" customHeight="1" x14ac:dyDescent="0.3">
      <c r="A52" s="4">
        <v>4</v>
      </c>
      <c r="B52" s="4">
        <v>12</v>
      </c>
      <c r="C52" s="2">
        <v>6722.09</v>
      </c>
    </row>
    <row r="53" spans="1:3" ht="14.25" customHeight="1" x14ac:dyDescent="0.3">
      <c r="A53" s="4">
        <v>5</v>
      </c>
      <c r="B53" s="4">
        <v>1</v>
      </c>
      <c r="C53" s="2">
        <v>6802.41</v>
      </c>
    </row>
    <row r="54" spans="1:3" ht="14.25" customHeight="1" x14ac:dyDescent="0.3">
      <c r="A54" s="4">
        <v>5</v>
      </c>
      <c r="B54" s="4">
        <v>2</v>
      </c>
      <c r="C54" s="2">
        <v>6877.08</v>
      </c>
    </row>
    <row r="55" spans="1:3" ht="14.25" customHeight="1" x14ac:dyDescent="0.3">
      <c r="A55" s="4">
        <v>5</v>
      </c>
      <c r="B55" s="4">
        <v>3</v>
      </c>
      <c r="C55" s="2">
        <v>6948.07</v>
      </c>
    </row>
    <row r="56" spans="1:3" ht="14.25" customHeight="1" x14ac:dyDescent="0.3">
      <c r="A56" s="4">
        <v>5</v>
      </c>
      <c r="B56" s="4">
        <v>4</v>
      </c>
      <c r="C56" s="2">
        <v>7030.86</v>
      </c>
    </row>
    <row r="57" spans="1:3" ht="14.25" customHeight="1" x14ac:dyDescent="0.3">
      <c r="A57" s="4">
        <v>5</v>
      </c>
      <c r="B57" s="4">
        <v>5</v>
      </c>
      <c r="C57" s="2">
        <v>7110.64</v>
      </c>
    </row>
    <row r="58" spans="1:3" ht="14.25" customHeight="1" x14ac:dyDescent="0.3">
      <c r="A58" s="4">
        <v>5</v>
      </c>
      <c r="B58" s="4">
        <v>6</v>
      </c>
      <c r="C58" s="2">
        <v>7194.9</v>
      </c>
    </row>
    <row r="59" spans="1:3" ht="14.25" customHeight="1" x14ac:dyDescent="0.3">
      <c r="A59" s="4">
        <v>5</v>
      </c>
      <c r="B59" s="4">
        <v>7</v>
      </c>
      <c r="C59" s="2">
        <v>7277.04</v>
      </c>
    </row>
    <row r="60" spans="1:3" ht="14.25" customHeight="1" x14ac:dyDescent="0.3">
      <c r="A60" s="4">
        <v>5</v>
      </c>
      <c r="B60" s="4">
        <v>8</v>
      </c>
      <c r="C60" s="2">
        <v>7365.57</v>
      </c>
    </row>
    <row r="61" spans="1:3" ht="14.25" customHeight="1" x14ac:dyDescent="0.3">
      <c r="A61" s="4">
        <v>5</v>
      </c>
      <c r="B61" s="4">
        <v>9</v>
      </c>
      <c r="C61" s="2">
        <v>7452.58</v>
      </c>
    </row>
    <row r="62" spans="1:3" ht="14.25" customHeight="1" x14ac:dyDescent="0.3">
      <c r="A62" s="4">
        <v>5</v>
      </c>
      <c r="B62" s="4">
        <v>10</v>
      </c>
      <c r="C62" s="2">
        <v>7535.47</v>
      </c>
    </row>
    <row r="63" spans="1:3" ht="14.25" customHeight="1" x14ac:dyDescent="0.3">
      <c r="A63" s="4">
        <v>5</v>
      </c>
      <c r="B63" s="4">
        <v>11</v>
      </c>
      <c r="C63" s="2">
        <v>7629.29</v>
      </c>
    </row>
    <row r="64" spans="1:3" ht="14.25" customHeight="1" x14ac:dyDescent="0.3">
      <c r="A64" s="4">
        <v>5</v>
      </c>
      <c r="B64" s="4">
        <v>12</v>
      </c>
      <c r="C64" s="2">
        <v>7720.99</v>
      </c>
    </row>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J1003"/>
  <sheetViews>
    <sheetView zoomScale="62" zoomScaleNormal="62" workbookViewId="0">
      <selection activeCell="E22" sqref="E22"/>
    </sheetView>
  </sheetViews>
  <sheetFormatPr baseColWidth="10" defaultColWidth="14.44140625" defaultRowHeight="15" customHeight="1" x14ac:dyDescent="0.3"/>
  <cols>
    <col min="1" max="1" width="13.88671875" customWidth="1"/>
    <col min="2" max="2" width="15.88671875" customWidth="1"/>
    <col min="3" max="3" width="14.88671875" customWidth="1"/>
    <col min="4" max="4" width="29" customWidth="1"/>
    <col min="5" max="5" width="21.88671875" customWidth="1"/>
    <col min="6" max="7" width="18.109375" customWidth="1"/>
    <col min="8" max="8" width="42" customWidth="1"/>
    <col min="9" max="9" width="59.33203125" customWidth="1"/>
    <col min="10" max="26" width="8.88671875" customWidth="1"/>
  </cols>
  <sheetData>
    <row r="1" spans="1:10" ht="15" customHeight="1" x14ac:dyDescent="0.3">
      <c r="A1" s="83" t="s">
        <v>4</v>
      </c>
      <c r="B1" s="84"/>
      <c r="C1" s="84"/>
      <c r="D1" s="84"/>
      <c r="E1" s="84"/>
      <c r="F1" s="84"/>
      <c r="G1" s="84"/>
      <c r="H1" s="84"/>
      <c r="I1" s="85"/>
      <c r="J1" s="5"/>
    </row>
    <row r="2" spans="1:10" ht="49.5" customHeight="1" x14ac:dyDescent="0.3">
      <c r="A2" s="86" t="s">
        <v>5</v>
      </c>
      <c r="B2" s="84"/>
      <c r="C2" s="84"/>
      <c r="D2" s="84"/>
      <c r="E2" s="84"/>
      <c r="F2" s="84"/>
      <c r="G2" s="84"/>
      <c r="H2" s="84"/>
      <c r="I2" s="85"/>
      <c r="J2" s="5"/>
    </row>
    <row r="4" spans="1:10" ht="28.5" customHeight="1" x14ac:dyDescent="0.3">
      <c r="A4" s="174" t="s">
        <v>6</v>
      </c>
      <c r="B4" s="175" t="s">
        <v>7</v>
      </c>
      <c r="C4" s="175" t="s">
        <v>8</v>
      </c>
      <c r="D4" s="175" t="s">
        <v>9</v>
      </c>
      <c r="E4" s="175" t="s">
        <v>10</v>
      </c>
      <c r="F4" s="175" t="s">
        <v>11</v>
      </c>
      <c r="G4" s="176" t="s">
        <v>12</v>
      </c>
      <c r="H4" s="175" t="s">
        <v>13</v>
      </c>
      <c r="I4" s="177" t="s">
        <v>14</v>
      </c>
    </row>
    <row r="5" spans="1:10" ht="14.4" x14ac:dyDescent="0.3">
      <c r="A5" s="103">
        <v>-1</v>
      </c>
      <c r="B5" s="103">
        <v>-1</v>
      </c>
      <c r="C5" s="103">
        <v>1</v>
      </c>
      <c r="D5" s="178" t="s">
        <v>15</v>
      </c>
      <c r="E5" s="179">
        <v>625</v>
      </c>
      <c r="F5" s="180">
        <v>1</v>
      </c>
      <c r="G5" s="181">
        <f>'Componentes Patinetas'!$E5*'Componentes Patinetas'!$F5</f>
        <v>625</v>
      </c>
      <c r="H5" s="182" t="s">
        <v>16</v>
      </c>
      <c r="I5" s="183" t="s">
        <v>17</v>
      </c>
    </row>
    <row r="6" spans="1:10" ht="14.25" customHeight="1" x14ac:dyDescent="0.3">
      <c r="A6" s="103">
        <v>-1</v>
      </c>
      <c r="B6" s="103">
        <v>1</v>
      </c>
      <c r="C6" s="103">
        <v>-1</v>
      </c>
      <c r="D6" s="178" t="s">
        <v>18</v>
      </c>
      <c r="E6" s="179">
        <v>585</v>
      </c>
      <c r="F6" s="180">
        <v>1</v>
      </c>
      <c r="G6" s="181">
        <f>'Componentes Patinetas'!$E6*'Componentes Patinetas'!$F6</f>
        <v>585</v>
      </c>
      <c r="H6" s="178" t="s">
        <v>19</v>
      </c>
      <c r="I6" s="183" t="s">
        <v>17</v>
      </c>
    </row>
    <row r="7" spans="1:10" ht="14.25" customHeight="1" x14ac:dyDescent="0.3">
      <c r="A7" s="103">
        <v>1</v>
      </c>
      <c r="B7" s="103">
        <v>-1</v>
      </c>
      <c r="C7" s="103">
        <v>-1</v>
      </c>
      <c r="D7" s="178" t="s">
        <v>20</v>
      </c>
      <c r="E7" s="179">
        <v>200</v>
      </c>
      <c r="F7" s="180">
        <v>1</v>
      </c>
      <c r="G7" s="181">
        <f>'Componentes Patinetas'!$E7*'Componentes Patinetas'!$F7</f>
        <v>200</v>
      </c>
      <c r="H7" s="178"/>
      <c r="I7" s="183"/>
    </row>
    <row r="8" spans="1:10" ht="14.4" x14ac:dyDescent="0.3">
      <c r="A8" s="103">
        <v>-1</v>
      </c>
      <c r="B8" s="103">
        <v>1</v>
      </c>
      <c r="C8" s="103">
        <v>-1</v>
      </c>
      <c r="D8" s="178" t="s">
        <v>21</v>
      </c>
      <c r="E8" s="184">
        <v>90</v>
      </c>
      <c r="F8" s="180">
        <v>1</v>
      </c>
      <c r="G8" s="181">
        <f>'Componentes Patinetas'!$E8*'Componentes Patinetas'!$F8</f>
        <v>90</v>
      </c>
      <c r="H8" s="178" t="s">
        <v>22</v>
      </c>
      <c r="I8" s="183" t="s">
        <v>23</v>
      </c>
    </row>
    <row r="9" spans="1:10" ht="28.8" x14ac:dyDescent="0.3">
      <c r="A9" s="103">
        <v>-1</v>
      </c>
      <c r="B9" s="103">
        <v>-1</v>
      </c>
      <c r="C9" s="103">
        <v>1</v>
      </c>
      <c r="D9" s="178" t="s">
        <v>24</v>
      </c>
      <c r="E9" s="179">
        <v>121.81</v>
      </c>
      <c r="F9" s="180">
        <v>1</v>
      </c>
      <c r="G9" s="181">
        <f>'Componentes Patinetas'!$E9*'Componentes Patinetas'!$F9</f>
        <v>121.81</v>
      </c>
      <c r="H9" s="178" t="s">
        <v>25</v>
      </c>
      <c r="I9" s="183" t="s">
        <v>26</v>
      </c>
    </row>
    <row r="10" spans="1:10" ht="14.25" customHeight="1" x14ac:dyDescent="0.3">
      <c r="A10" s="103">
        <v>1</v>
      </c>
      <c r="B10" s="103">
        <v>1</v>
      </c>
      <c r="C10" s="103">
        <v>1</v>
      </c>
      <c r="D10" s="178" t="s">
        <v>27</v>
      </c>
      <c r="E10" s="179">
        <v>47.5</v>
      </c>
      <c r="F10" s="185">
        <v>2</v>
      </c>
      <c r="G10" s="181">
        <f>'Componentes Patinetas'!$E10*'Componentes Patinetas'!$F10</f>
        <v>95</v>
      </c>
      <c r="H10" s="178" t="s">
        <v>28</v>
      </c>
      <c r="I10" s="183" t="s">
        <v>29</v>
      </c>
    </row>
    <row r="11" spans="1:10" ht="14.25" customHeight="1" x14ac:dyDescent="0.3">
      <c r="A11" s="103">
        <v>1</v>
      </c>
      <c r="B11" s="103">
        <v>1</v>
      </c>
      <c r="C11" s="103">
        <v>1</v>
      </c>
      <c r="D11" s="178" t="s">
        <v>30</v>
      </c>
      <c r="E11" s="179">
        <v>70</v>
      </c>
      <c r="F11" s="185">
        <v>2</v>
      </c>
      <c r="G11" s="181">
        <f>'Componentes Patinetas'!$E11*'Componentes Patinetas'!$F11</f>
        <v>140</v>
      </c>
      <c r="H11" s="178" t="s">
        <v>31</v>
      </c>
      <c r="I11" s="183" t="s">
        <v>32</v>
      </c>
    </row>
    <row r="12" spans="1:10" ht="90" customHeight="1" x14ac:dyDescent="0.3">
      <c r="A12" s="103">
        <v>1</v>
      </c>
      <c r="B12" s="103">
        <v>1</v>
      </c>
      <c r="C12" s="103">
        <v>1</v>
      </c>
      <c r="D12" s="178" t="s">
        <v>33</v>
      </c>
      <c r="E12" s="184">
        <v>130</v>
      </c>
      <c r="F12" s="180">
        <v>1</v>
      </c>
      <c r="G12" s="181">
        <f>'Componentes Patinetas'!$E12*'Componentes Patinetas'!$F12</f>
        <v>130</v>
      </c>
      <c r="H12" s="178" t="s">
        <v>34</v>
      </c>
      <c r="I12" s="183" t="s">
        <v>35</v>
      </c>
    </row>
    <row r="13" spans="1:10" ht="14.25" customHeight="1" x14ac:dyDescent="0.3">
      <c r="A13" s="103">
        <v>1</v>
      </c>
      <c r="B13" s="103">
        <v>1</v>
      </c>
      <c r="C13" s="103">
        <v>1</v>
      </c>
      <c r="D13" s="178" t="s">
        <v>36</v>
      </c>
      <c r="E13" s="179">
        <v>80</v>
      </c>
      <c r="F13" s="180">
        <v>1</v>
      </c>
      <c r="G13" s="181">
        <f>'Componentes Patinetas'!$E13*'Componentes Patinetas'!$F13</f>
        <v>80</v>
      </c>
      <c r="H13" s="178" t="s">
        <v>37</v>
      </c>
      <c r="I13" s="183" t="s">
        <v>38</v>
      </c>
    </row>
    <row r="14" spans="1:10" ht="28.8" x14ac:dyDescent="0.3">
      <c r="A14" s="103">
        <v>-1</v>
      </c>
      <c r="B14" s="103">
        <v>-1</v>
      </c>
      <c r="C14" s="103">
        <v>1</v>
      </c>
      <c r="D14" s="178" t="s">
        <v>39</v>
      </c>
      <c r="E14" s="179">
        <v>229.3</v>
      </c>
      <c r="F14" s="180">
        <v>1</v>
      </c>
      <c r="G14" s="181">
        <f>'Componentes Patinetas'!$E14*'Componentes Patinetas'!$F14</f>
        <v>229.3</v>
      </c>
      <c r="H14" s="178" t="s">
        <v>40</v>
      </c>
      <c r="I14" s="183" t="s">
        <v>41</v>
      </c>
    </row>
    <row r="15" spans="1:10" ht="43.2" x14ac:dyDescent="0.3">
      <c r="A15" s="103">
        <v>-1</v>
      </c>
      <c r="B15" s="103">
        <v>1</v>
      </c>
      <c r="C15" s="103">
        <v>-1</v>
      </c>
      <c r="D15" s="178" t="s">
        <v>42</v>
      </c>
      <c r="E15" s="179">
        <v>226.03</v>
      </c>
      <c r="F15" s="180">
        <v>1</v>
      </c>
      <c r="G15" s="181">
        <f>'Componentes Patinetas'!$E15*'Componentes Patinetas'!$F15</f>
        <v>226.03</v>
      </c>
      <c r="H15" s="178" t="s">
        <v>43</v>
      </c>
      <c r="I15" s="183" t="s">
        <v>44</v>
      </c>
    </row>
    <row r="16" spans="1:10" ht="28.8" x14ac:dyDescent="0.3">
      <c r="A16" s="103">
        <v>1</v>
      </c>
      <c r="B16" s="103">
        <v>-1</v>
      </c>
      <c r="C16" s="103">
        <v>-1</v>
      </c>
      <c r="D16" s="178" t="s">
        <v>45</v>
      </c>
      <c r="E16" s="179">
        <v>129.76</v>
      </c>
      <c r="F16" s="180">
        <v>1</v>
      </c>
      <c r="G16" s="181">
        <f>'Componentes Patinetas'!$E16*'Componentes Patinetas'!$F16</f>
        <v>129.76</v>
      </c>
      <c r="H16" s="178" t="s">
        <v>46</v>
      </c>
      <c r="I16" s="186" t="s">
        <v>47</v>
      </c>
    </row>
    <row r="17" spans="1:7" ht="14.25" customHeight="1" x14ac:dyDescent="0.3">
      <c r="G17" s="6"/>
    </row>
    <row r="18" spans="1:7" ht="14.25" customHeight="1" x14ac:dyDescent="0.3">
      <c r="G18" s="6"/>
    </row>
    <row r="19" spans="1:7" ht="14.25" customHeight="1" x14ac:dyDescent="0.3">
      <c r="A19" s="7"/>
      <c r="B19" s="7"/>
      <c r="C19" s="7"/>
      <c r="D19" s="5"/>
      <c r="G19" s="6"/>
    </row>
    <row r="20" spans="1:7" ht="14.25" customHeight="1" x14ac:dyDescent="0.3">
      <c r="A20" s="5"/>
      <c r="B20" s="5"/>
      <c r="C20" s="5"/>
      <c r="D20" s="8"/>
      <c r="G20" s="6"/>
    </row>
    <row r="21" spans="1:7" ht="14.25" customHeight="1" x14ac:dyDescent="0.3">
      <c r="A21" s="5"/>
      <c r="B21" s="5"/>
      <c r="C21" s="5"/>
      <c r="D21" s="8"/>
      <c r="G21" s="6"/>
    </row>
    <row r="22" spans="1:7" ht="14.25" customHeight="1" x14ac:dyDescent="0.3">
      <c r="A22" s="5"/>
      <c r="B22" s="5"/>
      <c r="C22" s="5"/>
      <c r="D22" s="8"/>
      <c r="G22" s="6"/>
    </row>
    <row r="23" spans="1:7" ht="14.25" customHeight="1" x14ac:dyDescent="0.3">
      <c r="G23" s="6"/>
    </row>
    <row r="24" spans="1:7" ht="14.25" customHeight="1" x14ac:dyDescent="0.3">
      <c r="G24" s="6"/>
    </row>
    <row r="25" spans="1:7" ht="14.25" customHeight="1" x14ac:dyDescent="0.3">
      <c r="G25" s="6"/>
    </row>
    <row r="26" spans="1:7" ht="14.25" customHeight="1" x14ac:dyDescent="0.3">
      <c r="G26" s="6"/>
    </row>
    <row r="27" spans="1:7" ht="14.25" customHeight="1" x14ac:dyDescent="0.3">
      <c r="G27" s="6"/>
    </row>
    <row r="28" spans="1:7" ht="14.25" customHeight="1" x14ac:dyDescent="0.3">
      <c r="G28" s="6"/>
    </row>
    <row r="29" spans="1:7" ht="14.25" customHeight="1" x14ac:dyDescent="0.3">
      <c r="G29" s="6"/>
    </row>
    <row r="30" spans="1:7" ht="14.25" customHeight="1" x14ac:dyDescent="0.3">
      <c r="G30" s="6"/>
    </row>
    <row r="31" spans="1:7" ht="14.25" customHeight="1" x14ac:dyDescent="0.3">
      <c r="G31" s="6"/>
    </row>
    <row r="32" spans="1:7" ht="14.25" customHeight="1" x14ac:dyDescent="0.3">
      <c r="G32" s="6"/>
    </row>
    <row r="33" spans="7:7" ht="14.25" customHeight="1" x14ac:dyDescent="0.3">
      <c r="G33" s="6"/>
    </row>
    <row r="34" spans="7:7" ht="14.25" customHeight="1" x14ac:dyDescent="0.3">
      <c r="G34" s="6"/>
    </row>
    <row r="35" spans="7:7" ht="14.25" customHeight="1" x14ac:dyDescent="0.3">
      <c r="G35" s="6"/>
    </row>
    <row r="36" spans="7:7" ht="14.25" customHeight="1" x14ac:dyDescent="0.3">
      <c r="G36" s="6"/>
    </row>
    <row r="37" spans="7:7" ht="14.25" customHeight="1" x14ac:dyDescent="0.3">
      <c r="G37" s="6"/>
    </row>
    <row r="38" spans="7:7" ht="14.25" customHeight="1" x14ac:dyDescent="0.3">
      <c r="G38" s="6"/>
    </row>
    <row r="39" spans="7:7" ht="14.25" customHeight="1" x14ac:dyDescent="0.3">
      <c r="G39" s="6"/>
    </row>
    <row r="40" spans="7:7" ht="14.25" customHeight="1" x14ac:dyDescent="0.3">
      <c r="G40" s="6"/>
    </row>
    <row r="41" spans="7:7" ht="14.25" customHeight="1" x14ac:dyDescent="0.3">
      <c r="G41" s="6"/>
    </row>
    <row r="42" spans="7:7" ht="14.25" customHeight="1" x14ac:dyDescent="0.3">
      <c r="G42" s="6"/>
    </row>
    <row r="43" spans="7:7" ht="14.25" customHeight="1" x14ac:dyDescent="0.3">
      <c r="G43" s="6"/>
    </row>
    <row r="44" spans="7:7" ht="14.25" customHeight="1" x14ac:dyDescent="0.3">
      <c r="G44" s="6"/>
    </row>
    <row r="45" spans="7:7" ht="14.25" customHeight="1" x14ac:dyDescent="0.3">
      <c r="G45" s="6"/>
    </row>
    <row r="46" spans="7:7" ht="14.25" customHeight="1" x14ac:dyDescent="0.3">
      <c r="G46" s="6"/>
    </row>
    <row r="47" spans="7:7" ht="14.25" customHeight="1" x14ac:dyDescent="0.3">
      <c r="G47" s="6"/>
    </row>
    <row r="48" spans="7:7" ht="14.25" customHeight="1" x14ac:dyDescent="0.3">
      <c r="G48" s="6"/>
    </row>
    <row r="49" spans="7:7" ht="14.25" customHeight="1" x14ac:dyDescent="0.3">
      <c r="G49" s="6"/>
    </row>
    <row r="50" spans="7:7" ht="14.25" customHeight="1" x14ac:dyDescent="0.3">
      <c r="G50" s="6"/>
    </row>
    <row r="51" spans="7:7" ht="14.25" customHeight="1" x14ac:dyDescent="0.3">
      <c r="G51" s="6"/>
    </row>
    <row r="52" spans="7:7" ht="14.25" customHeight="1" x14ac:dyDescent="0.3">
      <c r="G52" s="6"/>
    </row>
    <row r="53" spans="7:7" ht="14.25" customHeight="1" x14ac:dyDescent="0.3">
      <c r="G53" s="6"/>
    </row>
    <row r="54" spans="7:7" ht="14.25" customHeight="1" x14ac:dyDescent="0.3">
      <c r="G54" s="6"/>
    </row>
    <row r="55" spans="7:7" ht="14.25" customHeight="1" x14ac:dyDescent="0.3">
      <c r="G55" s="6"/>
    </row>
    <row r="56" spans="7:7" ht="14.25" customHeight="1" x14ac:dyDescent="0.3">
      <c r="G56" s="6"/>
    </row>
    <row r="57" spans="7:7" ht="14.25" customHeight="1" x14ac:dyDescent="0.3">
      <c r="G57" s="6"/>
    </row>
    <row r="58" spans="7:7" ht="14.25" customHeight="1" x14ac:dyDescent="0.3">
      <c r="G58" s="6"/>
    </row>
    <row r="59" spans="7:7" ht="14.25" customHeight="1" x14ac:dyDescent="0.3">
      <c r="G59" s="6"/>
    </row>
    <row r="60" spans="7:7" ht="14.25" customHeight="1" x14ac:dyDescent="0.3">
      <c r="G60" s="6"/>
    </row>
    <row r="61" spans="7:7" ht="14.25" customHeight="1" x14ac:dyDescent="0.3">
      <c r="G61" s="6"/>
    </row>
    <row r="62" spans="7:7" ht="14.25" customHeight="1" x14ac:dyDescent="0.3">
      <c r="G62" s="6"/>
    </row>
    <row r="63" spans="7:7" ht="14.25" customHeight="1" x14ac:dyDescent="0.3">
      <c r="G63" s="6"/>
    </row>
    <row r="64" spans="7:7" ht="14.25" customHeight="1" x14ac:dyDescent="0.3">
      <c r="G64" s="6"/>
    </row>
    <row r="65" spans="7:7" ht="14.25" customHeight="1" x14ac:dyDescent="0.3">
      <c r="G65" s="6"/>
    </row>
    <row r="66" spans="7:7" ht="14.25" customHeight="1" x14ac:dyDescent="0.3">
      <c r="G66" s="6"/>
    </row>
    <row r="67" spans="7:7" ht="14.25" customHeight="1" x14ac:dyDescent="0.3">
      <c r="G67" s="6"/>
    </row>
    <row r="68" spans="7:7" ht="14.25" customHeight="1" x14ac:dyDescent="0.3">
      <c r="G68" s="6"/>
    </row>
    <row r="69" spans="7:7" ht="14.25" customHeight="1" x14ac:dyDescent="0.3">
      <c r="G69" s="6"/>
    </row>
    <row r="70" spans="7:7" ht="14.25" customHeight="1" x14ac:dyDescent="0.3">
      <c r="G70" s="6"/>
    </row>
    <row r="71" spans="7:7" ht="14.25" customHeight="1" x14ac:dyDescent="0.3">
      <c r="G71" s="6"/>
    </row>
    <row r="72" spans="7:7" ht="14.25" customHeight="1" x14ac:dyDescent="0.3">
      <c r="G72" s="6"/>
    </row>
    <row r="73" spans="7:7" ht="14.25" customHeight="1" x14ac:dyDescent="0.3">
      <c r="G73" s="6"/>
    </row>
    <row r="74" spans="7:7" ht="14.25" customHeight="1" x14ac:dyDescent="0.3">
      <c r="G74" s="6"/>
    </row>
    <row r="75" spans="7:7" ht="14.25" customHeight="1" x14ac:dyDescent="0.3">
      <c r="G75" s="6"/>
    </row>
    <row r="76" spans="7:7" ht="14.25" customHeight="1" x14ac:dyDescent="0.3">
      <c r="G76" s="6"/>
    </row>
    <row r="77" spans="7:7" ht="14.25" customHeight="1" x14ac:dyDescent="0.3">
      <c r="G77" s="6"/>
    </row>
    <row r="78" spans="7:7" ht="14.25" customHeight="1" x14ac:dyDescent="0.3">
      <c r="G78" s="6"/>
    </row>
    <row r="79" spans="7:7" ht="14.25" customHeight="1" x14ac:dyDescent="0.3">
      <c r="G79" s="6"/>
    </row>
    <row r="80" spans="7:7" ht="14.25" customHeight="1" x14ac:dyDescent="0.3">
      <c r="G80" s="6"/>
    </row>
    <row r="81" spans="7:7" ht="14.25" customHeight="1" x14ac:dyDescent="0.3">
      <c r="G81" s="6"/>
    </row>
    <row r="82" spans="7:7" ht="14.25" customHeight="1" x14ac:dyDescent="0.3">
      <c r="G82" s="6"/>
    </row>
    <row r="83" spans="7:7" ht="14.25" customHeight="1" x14ac:dyDescent="0.3">
      <c r="G83" s="6"/>
    </row>
    <row r="84" spans="7:7" ht="14.25" customHeight="1" x14ac:dyDescent="0.3">
      <c r="G84" s="6"/>
    </row>
    <row r="85" spans="7:7" ht="14.25" customHeight="1" x14ac:dyDescent="0.3">
      <c r="G85" s="6"/>
    </row>
    <row r="86" spans="7:7" ht="14.25" customHeight="1" x14ac:dyDescent="0.3">
      <c r="G86" s="6"/>
    </row>
    <row r="87" spans="7:7" ht="14.25" customHeight="1" x14ac:dyDescent="0.3">
      <c r="G87" s="6"/>
    </row>
    <row r="88" spans="7:7" ht="14.25" customHeight="1" x14ac:dyDescent="0.3">
      <c r="G88" s="6"/>
    </row>
    <row r="89" spans="7:7" ht="14.25" customHeight="1" x14ac:dyDescent="0.3">
      <c r="G89" s="6"/>
    </row>
    <row r="90" spans="7:7" ht="14.25" customHeight="1" x14ac:dyDescent="0.3">
      <c r="G90" s="6"/>
    </row>
    <row r="91" spans="7:7" ht="14.25" customHeight="1" x14ac:dyDescent="0.3">
      <c r="G91" s="6"/>
    </row>
    <row r="92" spans="7:7" ht="14.25" customHeight="1" x14ac:dyDescent="0.3">
      <c r="G92" s="6"/>
    </row>
    <row r="93" spans="7:7" ht="14.25" customHeight="1" x14ac:dyDescent="0.3">
      <c r="G93" s="6"/>
    </row>
    <row r="94" spans="7:7" ht="14.25" customHeight="1" x14ac:dyDescent="0.3">
      <c r="G94" s="6"/>
    </row>
    <row r="95" spans="7:7" ht="14.25" customHeight="1" x14ac:dyDescent="0.3">
      <c r="G95" s="6"/>
    </row>
    <row r="96" spans="7:7" ht="14.25" customHeight="1" x14ac:dyDescent="0.3">
      <c r="G96" s="6"/>
    </row>
    <row r="97" spans="7:7" ht="14.25" customHeight="1" x14ac:dyDescent="0.3">
      <c r="G97" s="6"/>
    </row>
    <row r="98" spans="7:7" ht="14.25" customHeight="1" x14ac:dyDescent="0.3">
      <c r="G98" s="6"/>
    </row>
    <row r="99" spans="7:7" ht="14.25" customHeight="1" x14ac:dyDescent="0.3">
      <c r="G99" s="6"/>
    </row>
    <row r="100" spans="7:7" ht="14.25" customHeight="1" x14ac:dyDescent="0.3">
      <c r="G100" s="6"/>
    </row>
    <row r="101" spans="7:7" ht="14.25" customHeight="1" x14ac:dyDescent="0.3">
      <c r="G101" s="6"/>
    </row>
    <row r="102" spans="7:7" ht="14.25" customHeight="1" x14ac:dyDescent="0.3">
      <c r="G102" s="6"/>
    </row>
    <row r="103" spans="7:7" ht="14.25" customHeight="1" x14ac:dyDescent="0.3">
      <c r="G103" s="6"/>
    </row>
    <row r="104" spans="7:7" ht="14.25" customHeight="1" x14ac:dyDescent="0.3">
      <c r="G104" s="6"/>
    </row>
    <row r="105" spans="7:7" ht="14.25" customHeight="1" x14ac:dyDescent="0.3">
      <c r="G105" s="6"/>
    </row>
    <row r="106" spans="7:7" ht="14.25" customHeight="1" x14ac:dyDescent="0.3">
      <c r="G106" s="6"/>
    </row>
    <row r="107" spans="7:7" ht="14.25" customHeight="1" x14ac:dyDescent="0.3">
      <c r="G107" s="6"/>
    </row>
    <row r="108" spans="7:7" ht="14.25" customHeight="1" x14ac:dyDescent="0.3">
      <c r="G108" s="6"/>
    </row>
    <row r="109" spans="7:7" ht="14.25" customHeight="1" x14ac:dyDescent="0.3">
      <c r="G109" s="6"/>
    </row>
    <row r="110" spans="7:7" ht="14.25" customHeight="1" x14ac:dyDescent="0.3">
      <c r="G110" s="6"/>
    </row>
    <row r="111" spans="7:7" ht="14.25" customHeight="1" x14ac:dyDescent="0.3">
      <c r="G111" s="6"/>
    </row>
    <row r="112" spans="7:7" ht="14.25" customHeight="1" x14ac:dyDescent="0.3">
      <c r="G112" s="6"/>
    </row>
    <row r="113" spans="7:7" ht="14.25" customHeight="1" x14ac:dyDescent="0.3">
      <c r="G113" s="6"/>
    </row>
    <row r="114" spans="7:7" ht="14.25" customHeight="1" x14ac:dyDescent="0.3">
      <c r="G114" s="6"/>
    </row>
    <row r="115" spans="7:7" ht="14.25" customHeight="1" x14ac:dyDescent="0.3">
      <c r="G115" s="6"/>
    </row>
    <row r="116" spans="7:7" ht="14.25" customHeight="1" x14ac:dyDescent="0.3">
      <c r="G116" s="6"/>
    </row>
    <row r="117" spans="7:7" ht="14.25" customHeight="1" x14ac:dyDescent="0.3">
      <c r="G117" s="6"/>
    </row>
    <row r="118" spans="7:7" ht="14.25" customHeight="1" x14ac:dyDescent="0.3">
      <c r="G118" s="6"/>
    </row>
    <row r="119" spans="7:7" ht="14.25" customHeight="1" x14ac:dyDescent="0.3">
      <c r="G119" s="6"/>
    </row>
    <row r="120" spans="7:7" ht="14.25" customHeight="1" x14ac:dyDescent="0.3">
      <c r="G120" s="6"/>
    </row>
    <row r="121" spans="7:7" ht="14.25" customHeight="1" x14ac:dyDescent="0.3">
      <c r="G121" s="6"/>
    </row>
    <row r="122" spans="7:7" ht="14.25" customHeight="1" x14ac:dyDescent="0.3">
      <c r="G122" s="6"/>
    </row>
    <row r="123" spans="7:7" ht="14.25" customHeight="1" x14ac:dyDescent="0.3">
      <c r="G123" s="6"/>
    </row>
    <row r="124" spans="7:7" ht="14.25" customHeight="1" x14ac:dyDescent="0.3">
      <c r="G124" s="6"/>
    </row>
    <row r="125" spans="7:7" ht="14.25" customHeight="1" x14ac:dyDescent="0.3">
      <c r="G125" s="6"/>
    </row>
    <row r="126" spans="7:7" ht="14.25" customHeight="1" x14ac:dyDescent="0.3">
      <c r="G126" s="6"/>
    </row>
    <row r="127" spans="7:7" ht="14.25" customHeight="1" x14ac:dyDescent="0.3">
      <c r="G127" s="6"/>
    </row>
    <row r="128" spans="7:7" ht="14.25" customHeight="1" x14ac:dyDescent="0.3">
      <c r="G128" s="6"/>
    </row>
    <row r="129" spans="7:7" ht="14.25" customHeight="1" x14ac:dyDescent="0.3">
      <c r="G129" s="6"/>
    </row>
    <row r="130" spans="7:7" ht="14.25" customHeight="1" x14ac:dyDescent="0.3">
      <c r="G130" s="6"/>
    </row>
    <row r="131" spans="7:7" ht="14.25" customHeight="1" x14ac:dyDescent="0.3">
      <c r="G131" s="6"/>
    </row>
    <row r="132" spans="7:7" ht="14.25" customHeight="1" x14ac:dyDescent="0.3">
      <c r="G132" s="6"/>
    </row>
    <row r="133" spans="7:7" ht="14.25" customHeight="1" x14ac:dyDescent="0.3">
      <c r="G133" s="6"/>
    </row>
    <row r="134" spans="7:7" ht="14.25" customHeight="1" x14ac:dyDescent="0.3">
      <c r="G134" s="6"/>
    </row>
    <row r="135" spans="7:7" ht="14.25" customHeight="1" x14ac:dyDescent="0.3">
      <c r="G135" s="6"/>
    </row>
    <row r="136" spans="7:7" ht="14.25" customHeight="1" x14ac:dyDescent="0.3">
      <c r="G136" s="6"/>
    </row>
    <row r="137" spans="7:7" ht="14.25" customHeight="1" x14ac:dyDescent="0.3">
      <c r="G137" s="6"/>
    </row>
    <row r="138" spans="7:7" ht="14.25" customHeight="1" x14ac:dyDescent="0.3">
      <c r="G138" s="6"/>
    </row>
    <row r="139" spans="7:7" ht="14.25" customHeight="1" x14ac:dyDescent="0.3">
      <c r="G139" s="6"/>
    </row>
    <row r="140" spans="7:7" ht="14.25" customHeight="1" x14ac:dyDescent="0.3">
      <c r="G140" s="6"/>
    </row>
    <row r="141" spans="7:7" ht="14.25" customHeight="1" x14ac:dyDescent="0.3">
      <c r="G141" s="6"/>
    </row>
    <row r="142" spans="7:7" ht="14.25" customHeight="1" x14ac:dyDescent="0.3">
      <c r="G142" s="6"/>
    </row>
    <row r="143" spans="7:7" ht="14.25" customHeight="1" x14ac:dyDescent="0.3">
      <c r="G143" s="6"/>
    </row>
    <row r="144" spans="7:7" ht="14.25" customHeight="1" x14ac:dyDescent="0.3">
      <c r="G144" s="6"/>
    </row>
    <row r="145" spans="7:7" ht="14.25" customHeight="1" x14ac:dyDescent="0.3">
      <c r="G145" s="6"/>
    </row>
    <row r="146" spans="7:7" ht="14.25" customHeight="1" x14ac:dyDescent="0.3">
      <c r="G146" s="6"/>
    </row>
    <row r="147" spans="7:7" ht="14.25" customHeight="1" x14ac:dyDescent="0.3">
      <c r="G147" s="6"/>
    </row>
    <row r="148" spans="7:7" ht="14.25" customHeight="1" x14ac:dyDescent="0.3">
      <c r="G148" s="6"/>
    </row>
    <row r="149" spans="7:7" ht="14.25" customHeight="1" x14ac:dyDescent="0.3">
      <c r="G149" s="6"/>
    </row>
    <row r="150" spans="7:7" ht="14.25" customHeight="1" x14ac:dyDescent="0.3">
      <c r="G150" s="6"/>
    </row>
    <row r="151" spans="7:7" ht="14.25" customHeight="1" x14ac:dyDescent="0.3">
      <c r="G151" s="6"/>
    </row>
    <row r="152" spans="7:7" ht="14.25" customHeight="1" x14ac:dyDescent="0.3">
      <c r="G152" s="6"/>
    </row>
    <row r="153" spans="7:7" ht="14.25" customHeight="1" x14ac:dyDescent="0.3">
      <c r="G153" s="6"/>
    </row>
    <row r="154" spans="7:7" ht="14.25" customHeight="1" x14ac:dyDescent="0.3">
      <c r="G154" s="6"/>
    </row>
    <row r="155" spans="7:7" ht="14.25" customHeight="1" x14ac:dyDescent="0.3">
      <c r="G155" s="6"/>
    </row>
    <row r="156" spans="7:7" ht="14.25" customHeight="1" x14ac:dyDescent="0.3">
      <c r="G156" s="6"/>
    </row>
    <row r="157" spans="7:7" ht="14.25" customHeight="1" x14ac:dyDescent="0.3">
      <c r="G157" s="6"/>
    </row>
    <row r="158" spans="7:7" ht="14.25" customHeight="1" x14ac:dyDescent="0.3">
      <c r="G158" s="6"/>
    </row>
    <row r="159" spans="7:7" ht="14.25" customHeight="1" x14ac:dyDescent="0.3">
      <c r="G159" s="6"/>
    </row>
    <row r="160" spans="7:7" ht="14.25" customHeight="1" x14ac:dyDescent="0.3">
      <c r="G160" s="6"/>
    </row>
    <row r="161" spans="7:7" ht="14.25" customHeight="1" x14ac:dyDescent="0.3">
      <c r="G161" s="6"/>
    </row>
    <row r="162" spans="7:7" ht="14.25" customHeight="1" x14ac:dyDescent="0.3">
      <c r="G162" s="6"/>
    </row>
    <row r="163" spans="7:7" ht="14.25" customHeight="1" x14ac:dyDescent="0.3">
      <c r="G163" s="6"/>
    </row>
    <row r="164" spans="7:7" ht="14.25" customHeight="1" x14ac:dyDescent="0.3">
      <c r="G164" s="6"/>
    </row>
    <row r="165" spans="7:7" ht="14.25" customHeight="1" x14ac:dyDescent="0.3">
      <c r="G165" s="6"/>
    </row>
    <row r="166" spans="7:7" ht="14.25" customHeight="1" x14ac:dyDescent="0.3">
      <c r="G166" s="6"/>
    </row>
    <row r="167" spans="7:7" ht="14.25" customHeight="1" x14ac:dyDescent="0.3">
      <c r="G167" s="6"/>
    </row>
    <row r="168" spans="7:7" ht="14.25" customHeight="1" x14ac:dyDescent="0.3">
      <c r="G168" s="6"/>
    </row>
    <row r="169" spans="7:7" ht="14.25" customHeight="1" x14ac:dyDescent="0.3">
      <c r="G169" s="6"/>
    </row>
    <row r="170" spans="7:7" ht="14.25" customHeight="1" x14ac:dyDescent="0.3">
      <c r="G170" s="6"/>
    </row>
    <row r="171" spans="7:7" ht="14.25" customHeight="1" x14ac:dyDescent="0.3">
      <c r="G171" s="6"/>
    </row>
    <row r="172" spans="7:7" ht="14.25" customHeight="1" x14ac:dyDescent="0.3">
      <c r="G172" s="6"/>
    </row>
    <row r="173" spans="7:7" ht="14.25" customHeight="1" x14ac:dyDescent="0.3">
      <c r="G173" s="6"/>
    </row>
    <row r="174" spans="7:7" ht="14.25" customHeight="1" x14ac:dyDescent="0.3">
      <c r="G174" s="6"/>
    </row>
    <row r="175" spans="7:7" ht="14.25" customHeight="1" x14ac:dyDescent="0.3">
      <c r="G175" s="6"/>
    </row>
    <row r="176" spans="7:7" ht="14.25" customHeight="1" x14ac:dyDescent="0.3">
      <c r="G176" s="6"/>
    </row>
    <row r="177" spans="7:7" ht="14.25" customHeight="1" x14ac:dyDescent="0.3">
      <c r="G177" s="6"/>
    </row>
    <row r="178" spans="7:7" ht="14.25" customHeight="1" x14ac:dyDescent="0.3">
      <c r="G178" s="6"/>
    </row>
    <row r="179" spans="7:7" ht="14.25" customHeight="1" x14ac:dyDescent="0.3">
      <c r="G179" s="6"/>
    </row>
    <row r="180" spans="7:7" ht="14.25" customHeight="1" x14ac:dyDescent="0.3">
      <c r="G180" s="6"/>
    </row>
    <row r="181" spans="7:7" ht="14.25" customHeight="1" x14ac:dyDescent="0.3">
      <c r="G181" s="6"/>
    </row>
    <row r="182" spans="7:7" ht="14.25" customHeight="1" x14ac:dyDescent="0.3">
      <c r="G182" s="6"/>
    </row>
    <row r="183" spans="7:7" ht="14.25" customHeight="1" x14ac:dyDescent="0.3">
      <c r="G183" s="6"/>
    </row>
    <row r="184" spans="7:7" ht="14.25" customHeight="1" x14ac:dyDescent="0.3">
      <c r="G184" s="6"/>
    </row>
    <row r="185" spans="7:7" ht="14.25" customHeight="1" x14ac:dyDescent="0.3">
      <c r="G185" s="6"/>
    </row>
    <row r="186" spans="7:7" ht="14.25" customHeight="1" x14ac:dyDescent="0.3">
      <c r="G186" s="6"/>
    </row>
    <row r="187" spans="7:7" ht="14.25" customHeight="1" x14ac:dyDescent="0.3">
      <c r="G187" s="6"/>
    </row>
    <row r="188" spans="7:7" ht="14.25" customHeight="1" x14ac:dyDescent="0.3">
      <c r="G188" s="6"/>
    </row>
    <row r="189" spans="7:7" ht="14.25" customHeight="1" x14ac:dyDescent="0.3">
      <c r="G189" s="6"/>
    </row>
    <row r="190" spans="7:7" ht="14.25" customHeight="1" x14ac:dyDescent="0.3">
      <c r="G190" s="6"/>
    </row>
    <row r="191" spans="7:7" ht="14.25" customHeight="1" x14ac:dyDescent="0.3">
      <c r="G191" s="6"/>
    </row>
    <row r="192" spans="7:7" ht="14.25" customHeight="1" x14ac:dyDescent="0.3">
      <c r="G192" s="6"/>
    </row>
    <row r="193" spans="7:7" ht="14.25" customHeight="1" x14ac:dyDescent="0.3">
      <c r="G193" s="6"/>
    </row>
    <row r="194" spans="7:7" ht="14.25" customHeight="1" x14ac:dyDescent="0.3">
      <c r="G194" s="6"/>
    </row>
    <row r="195" spans="7:7" ht="14.25" customHeight="1" x14ac:dyDescent="0.3">
      <c r="G195" s="6"/>
    </row>
    <row r="196" spans="7:7" ht="14.25" customHeight="1" x14ac:dyDescent="0.3">
      <c r="G196" s="6"/>
    </row>
    <row r="197" spans="7:7" ht="14.25" customHeight="1" x14ac:dyDescent="0.3">
      <c r="G197" s="6"/>
    </row>
    <row r="198" spans="7:7" ht="14.25" customHeight="1" x14ac:dyDescent="0.3">
      <c r="G198" s="6"/>
    </row>
    <row r="199" spans="7:7" ht="14.25" customHeight="1" x14ac:dyDescent="0.3">
      <c r="G199" s="6"/>
    </row>
    <row r="200" spans="7:7" ht="14.25" customHeight="1" x14ac:dyDescent="0.3">
      <c r="G200" s="6"/>
    </row>
    <row r="201" spans="7:7" ht="14.25" customHeight="1" x14ac:dyDescent="0.3">
      <c r="G201" s="6"/>
    </row>
    <row r="202" spans="7:7" ht="14.25" customHeight="1" x14ac:dyDescent="0.3">
      <c r="G202" s="6"/>
    </row>
    <row r="203" spans="7:7" ht="14.25" customHeight="1" x14ac:dyDescent="0.3">
      <c r="G203" s="6"/>
    </row>
    <row r="204" spans="7:7" ht="14.25" customHeight="1" x14ac:dyDescent="0.3">
      <c r="G204" s="6"/>
    </row>
    <row r="205" spans="7:7" ht="14.25" customHeight="1" x14ac:dyDescent="0.3">
      <c r="G205" s="6"/>
    </row>
    <row r="206" spans="7:7" ht="14.25" customHeight="1" x14ac:dyDescent="0.3">
      <c r="G206" s="6"/>
    </row>
    <row r="207" spans="7:7" ht="14.25" customHeight="1" x14ac:dyDescent="0.3">
      <c r="G207" s="6"/>
    </row>
    <row r="208" spans="7:7" ht="14.25" customHeight="1" x14ac:dyDescent="0.3">
      <c r="G208" s="6"/>
    </row>
    <row r="209" spans="7:7" ht="14.25" customHeight="1" x14ac:dyDescent="0.3">
      <c r="G209" s="6"/>
    </row>
    <row r="210" spans="7:7" ht="14.25" customHeight="1" x14ac:dyDescent="0.3">
      <c r="G210" s="6"/>
    </row>
    <row r="211" spans="7:7" ht="14.25" customHeight="1" x14ac:dyDescent="0.3">
      <c r="G211" s="6"/>
    </row>
    <row r="212" spans="7:7" ht="14.25" customHeight="1" x14ac:dyDescent="0.3">
      <c r="G212" s="6"/>
    </row>
    <row r="213" spans="7:7" ht="14.25" customHeight="1" x14ac:dyDescent="0.3">
      <c r="G213" s="6"/>
    </row>
    <row r="214" spans="7:7" ht="14.25" customHeight="1" x14ac:dyDescent="0.3">
      <c r="G214" s="6"/>
    </row>
    <row r="215" spans="7:7" ht="14.25" customHeight="1" x14ac:dyDescent="0.3">
      <c r="G215" s="6"/>
    </row>
    <row r="216" spans="7:7" ht="14.25" customHeight="1" x14ac:dyDescent="0.3">
      <c r="G216" s="6"/>
    </row>
    <row r="217" spans="7:7" ht="14.25" customHeight="1" x14ac:dyDescent="0.3">
      <c r="G217" s="6"/>
    </row>
    <row r="218" spans="7:7" ht="14.25" customHeight="1" x14ac:dyDescent="0.3">
      <c r="G218" s="6"/>
    </row>
    <row r="219" spans="7:7" ht="14.25" customHeight="1" x14ac:dyDescent="0.3">
      <c r="G219" s="6"/>
    </row>
    <row r="220" spans="7:7" ht="14.25" customHeight="1" x14ac:dyDescent="0.3">
      <c r="G220" s="6"/>
    </row>
    <row r="221" spans="7:7" ht="14.25" customHeight="1" x14ac:dyDescent="0.3">
      <c r="G221" s="6"/>
    </row>
    <row r="222" spans="7:7" ht="14.25" customHeight="1" x14ac:dyDescent="0.3">
      <c r="G222" s="6"/>
    </row>
    <row r="223" spans="7:7" ht="14.25" customHeight="1" x14ac:dyDescent="0.3">
      <c r="G223" s="6"/>
    </row>
    <row r="224" spans="7:7" ht="14.25" customHeight="1" x14ac:dyDescent="0.3">
      <c r="G224" s="6"/>
    </row>
    <row r="225" spans="7:7" ht="14.25" customHeight="1" x14ac:dyDescent="0.3">
      <c r="G225" s="6"/>
    </row>
    <row r="226" spans="7:7" ht="14.25" customHeight="1" x14ac:dyDescent="0.3">
      <c r="G226" s="6"/>
    </row>
    <row r="227" spans="7:7" ht="14.25" customHeight="1" x14ac:dyDescent="0.3">
      <c r="G227" s="6"/>
    </row>
    <row r="228" spans="7:7" ht="14.25" customHeight="1" x14ac:dyDescent="0.3">
      <c r="G228" s="6"/>
    </row>
    <row r="229" spans="7:7" ht="14.25" customHeight="1" x14ac:dyDescent="0.3">
      <c r="G229" s="6"/>
    </row>
    <row r="230" spans="7:7" ht="14.25" customHeight="1" x14ac:dyDescent="0.3">
      <c r="G230" s="6"/>
    </row>
    <row r="231" spans="7:7" ht="14.25" customHeight="1" x14ac:dyDescent="0.3">
      <c r="G231" s="6"/>
    </row>
    <row r="232" spans="7:7" ht="14.25" customHeight="1" x14ac:dyDescent="0.3">
      <c r="G232" s="6"/>
    </row>
    <row r="233" spans="7:7" ht="14.25" customHeight="1" x14ac:dyDescent="0.3">
      <c r="G233" s="6"/>
    </row>
    <row r="234" spans="7:7" ht="14.25" customHeight="1" x14ac:dyDescent="0.3">
      <c r="G234" s="6"/>
    </row>
    <row r="235" spans="7:7" ht="14.25" customHeight="1" x14ac:dyDescent="0.3">
      <c r="G235" s="6"/>
    </row>
    <row r="236" spans="7:7" ht="14.25" customHeight="1" x14ac:dyDescent="0.3">
      <c r="G236" s="6"/>
    </row>
    <row r="237" spans="7:7" ht="14.25" customHeight="1" x14ac:dyDescent="0.3">
      <c r="G237" s="6"/>
    </row>
    <row r="238" spans="7:7" ht="14.25" customHeight="1" x14ac:dyDescent="0.3">
      <c r="G238" s="6"/>
    </row>
    <row r="239" spans="7:7" ht="14.25" customHeight="1" x14ac:dyDescent="0.3">
      <c r="G239" s="6"/>
    </row>
    <row r="240" spans="7:7" ht="14.25" customHeight="1" x14ac:dyDescent="0.3">
      <c r="G240" s="6"/>
    </row>
    <row r="241" spans="7:7" ht="14.25" customHeight="1" x14ac:dyDescent="0.3">
      <c r="G241" s="6"/>
    </row>
    <row r="242" spans="7:7" ht="14.25" customHeight="1" x14ac:dyDescent="0.3">
      <c r="G242" s="6"/>
    </row>
    <row r="243" spans="7:7" ht="14.25" customHeight="1" x14ac:dyDescent="0.3">
      <c r="G243" s="6"/>
    </row>
    <row r="244" spans="7:7" ht="14.25" customHeight="1" x14ac:dyDescent="0.3">
      <c r="G244" s="6"/>
    </row>
    <row r="245" spans="7:7" ht="14.25" customHeight="1" x14ac:dyDescent="0.3">
      <c r="G245" s="6"/>
    </row>
    <row r="246" spans="7:7" ht="14.25" customHeight="1" x14ac:dyDescent="0.3">
      <c r="G246" s="6"/>
    </row>
    <row r="247" spans="7:7" ht="14.25" customHeight="1" x14ac:dyDescent="0.3">
      <c r="G247" s="6"/>
    </row>
    <row r="248" spans="7:7" ht="14.25" customHeight="1" x14ac:dyDescent="0.3">
      <c r="G248" s="6"/>
    </row>
    <row r="249" spans="7:7" ht="14.25" customHeight="1" x14ac:dyDescent="0.3">
      <c r="G249" s="6"/>
    </row>
    <row r="250" spans="7:7" ht="14.25" customHeight="1" x14ac:dyDescent="0.3">
      <c r="G250" s="6"/>
    </row>
    <row r="251" spans="7:7" ht="14.25" customHeight="1" x14ac:dyDescent="0.3">
      <c r="G251" s="6"/>
    </row>
    <row r="252" spans="7:7" ht="14.25" customHeight="1" x14ac:dyDescent="0.3">
      <c r="G252" s="6"/>
    </row>
    <row r="253" spans="7:7" ht="14.25" customHeight="1" x14ac:dyDescent="0.3">
      <c r="G253" s="6"/>
    </row>
    <row r="254" spans="7:7" ht="14.25" customHeight="1" x14ac:dyDescent="0.3">
      <c r="G254" s="6"/>
    </row>
    <row r="255" spans="7:7" ht="14.25" customHeight="1" x14ac:dyDescent="0.3">
      <c r="G255" s="6"/>
    </row>
    <row r="256" spans="7:7" ht="14.25" customHeight="1" x14ac:dyDescent="0.3">
      <c r="G256" s="6"/>
    </row>
    <row r="257" spans="7:7" ht="14.25" customHeight="1" x14ac:dyDescent="0.3">
      <c r="G257" s="6"/>
    </row>
    <row r="258" spans="7:7" ht="14.25" customHeight="1" x14ac:dyDescent="0.3">
      <c r="G258" s="6"/>
    </row>
    <row r="259" spans="7:7" ht="14.25" customHeight="1" x14ac:dyDescent="0.3">
      <c r="G259" s="6"/>
    </row>
    <row r="260" spans="7:7" ht="14.25" customHeight="1" x14ac:dyDescent="0.3">
      <c r="G260" s="6"/>
    </row>
    <row r="261" spans="7:7" ht="14.25" customHeight="1" x14ac:dyDescent="0.3">
      <c r="G261" s="6"/>
    </row>
    <row r="262" spans="7:7" ht="14.25" customHeight="1" x14ac:dyDescent="0.3">
      <c r="G262" s="6"/>
    </row>
    <row r="263" spans="7:7" ht="14.25" customHeight="1" x14ac:dyDescent="0.3">
      <c r="G263" s="6"/>
    </row>
    <row r="264" spans="7:7" ht="14.25" customHeight="1" x14ac:dyDescent="0.3">
      <c r="G264" s="6"/>
    </row>
    <row r="265" spans="7:7" ht="14.25" customHeight="1" x14ac:dyDescent="0.3">
      <c r="G265" s="6"/>
    </row>
    <row r="266" spans="7:7" ht="14.25" customHeight="1" x14ac:dyDescent="0.3">
      <c r="G266" s="6"/>
    </row>
    <row r="267" spans="7:7" ht="14.25" customHeight="1" x14ac:dyDescent="0.3">
      <c r="G267" s="6"/>
    </row>
    <row r="268" spans="7:7" ht="14.25" customHeight="1" x14ac:dyDescent="0.3">
      <c r="G268" s="6"/>
    </row>
    <row r="269" spans="7:7" ht="14.25" customHeight="1" x14ac:dyDescent="0.3">
      <c r="G269" s="6"/>
    </row>
    <row r="270" spans="7:7" ht="14.25" customHeight="1" x14ac:dyDescent="0.3">
      <c r="G270" s="6"/>
    </row>
    <row r="271" spans="7:7" ht="14.25" customHeight="1" x14ac:dyDescent="0.3">
      <c r="G271" s="6"/>
    </row>
    <row r="272" spans="7:7" ht="14.25" customHeight="1" x14ac:dyDescent="0.3">
      <c r="G272" s="6"/>
    </row>
    <row r="273" spans="7:7" ht="14.25" customHeight="1" x14ac:dyDescent="0.3">
      <c r="G273" s="6"/>
    </row>
    <row r="274" spans="7:7" ht="14.25" customHeight="1" x14ac:dyDescent="0.3">
      <c r="G274" s="6"/>
    </row>
    <row r="275" spans="7:7" ht="14.25" customHeight="1" x14ac:dyDescent="0.3">
      <c r="G275" s="6"/>
    </row>
    <row r="276" spans="7:7" ht="14.25" customHeight="1" x14ac:dyDescent="0.3">
      <c r="G276" s="6"/>
    </row>
    <row r="277" spans="7:7" ht="14.25" customHeight="1" x14ac:dyDescent="0.3">
      <c r="G277" s="6"/>
    </row>
    <row r="278" spans="7:7" ht="14.25" customHeight="1" x14ac:dyDescent="0.3">
      <c r="G278" s="6"/>
    </row>
    <row r="279" spans="7:7" ht="14.25" customHeight="1" x14ac:dyDescent="0.3">
      <c r="G279" s="6"/>
    </row>
    <row r="280" spans="7:7" ht="14.25" customHeight="1" x14ac:dyDescent="0.3">
      <c r="G280" s="6"/>
    </row>
    <row r="281" spans="7:7" ht="14.25" customHeight="1" x14ac:dyDescent="0.3">
      <c r="G281" s="6"/>
    </row>
    <row r="282" spans="7:7" ht="14.25" customHeight="1" x14ac:dyDescent="0.3">
      <c r="G282" s="6"/>
    </row>
    <row r="283" spans="7:7" ht="14.25" customHeight="1" x14ac:dyDescent="0.3">
      <c r="G283" s="6"/>
    </row>
    <row r="284" spans="7:7" ht="14.25" customHeight="1" x14ac:dyDescent="0.3">
      <c r="G284" s="6"/>
    </row>
    <row r="285" spans="7:7" ht="14.25" customHeight="1" x14ac:dyDescent="0.3">
      <c r="G285" s="6"/>
    </row>
    <row r="286" spans="7:7" ht="14.25" customHeight="1" x14ac:dyDescent="0.3">
      <c r="G286" s="6"/>
    </row>
    <row r="287" spans="7:7" ht="14.25" customHeight="1" x14ac:dyDescent="0.3">
      <c r="G287" s="6"/>
    </row>
    <row r="288" spans="7:7" ht="14.25" customHeight="1" x14ac:dyDescent="0.3">
      <c r="G288" s="6"/>
    </row>
    <row r="289" spans="7:7" ht="14.25" customHeight="1" x14ac:dyDescent="0.3">
      <c r="G289" s="6"/>
    </row>
    <row r="290" spans="7:7" ht="14.25" customHeight="1" x14ac:dyDescent="0.3">
      <c r="G290" s="6"/>
    </row>
    <row r="291" spans="7:7" ht="14.25" customHeight="1" x14ac:dyDescent="0.3">
      <c r="G291" s="6"/>
    </row>
    <row r="292" spans="7:7" ht="14.25" customHeight="1" x14ac:dyDescent="0.3">
      <c r="G292" s="6"/>
    </row>
    <row r="293" spans="7:7" ht="14.25" customHeight="1" x14ac:dyDescent="0.3">
      <c r="G293" s="6"/>
    </row>
    <row r="294" spans="7:7" ht="14.25" customHeight="1" x14ac:dyDescent="0.3">
      <c r="G294" s="6"/>
    </row>
    <row r="295" spans="7:7" ht="14.25" customHeight="1" x14ac:dyDescent="0.3">
      <c r="G295" s="6"/>
    </row>
    <row r="296" spans="7:7" ht="14.25" customHeight="1" x14ac:dyDescent="0.3">
      <c r="G296" s="6"/>
    </row>
    <row r="297" spans="7:7" ht="14.25" customHeight="1" x14ac:dyDescent="0.3">
      <c r="G297" s="6"/>
    </row>
    <row r="298" spans="7:7" ht="14.25" customHeight="1" x14ac:dyDescent="0.3">
      <c r="G298" s="6"/>
    </row>
    <row r="299" spans="7:7" ht="14.25" customHeight="1" x14ac:dyDescent="0.3">
      <c r="G299" s="6"/>
    </row>
    <row r="300" spans="7:7" ht="14.25" customHeight="1" x14ac:dyDescent="0.3">
      <c r="G300" s="6"/>
    </row>
    <row r="301" spans="7:7" ht="14.25" customHeight="1" x14ac:dyDescent="0.3">
      <c r="G301" s="6"/>
    </row>
    <row r="302" spans="7:7" ht="14.25" customHeight="1" x14ac:dyDescent="0.3">
      <c r="G302" s="6"/>
    </row>
    <row r="303" spans="7:7" ht="14.25" customHeight="1" x14ac:dyDescent="0.3">
      <c r="G303" s="6"/>
    </row>
    <row r="304" spans="7:7" ht="14.25" customHeight="1" x14ac:dyDescent="0.3">
      <c r="G304" s="6"/>
    </row>
    <row r="305" spans="7:7" ht="14.25" customHeight="1" x14ac:dyDescent="0.3">
      <c r="G305" s="6"/>
    </row>
    <row r="306" spans="7:7" ht="14.25" customHeight="1" x14ac:dyDescent="0.3">
      <c r="G306" s="6"/>
    </row>
    <row r="307" spans="7:7" ht="14.25" customHeight="1" x14ac:dyDescent="0.3">
      <c r="G307" s="6"/>
    </row>
    <row r="308" spans="7:7" ht="14.25" customHeight="1" x14ac:dyDescent="0.3">
      <c r="G308" s="6"/>
    </row>
    <row r="309" spans="7:7" ht="14.25" customHeight="1" x14ac:dyDescent="0.3">
      <c r="G309" s="6"/>
    </row>
    <row r="310" spans="7:7" ht="14.25" customHeight="1" x14ac:dyDescent="0.3">
      <c r="G310" s="6"/>
    </row>
    <row r="311" spans="7:7" ht="14.25" customHeight="1" x14ac:dyDescent="0.3">
      <c r="G311" s="6"/>
    </row>
    <row r="312" spans="7:7" ht="14.25" customHeight="1" x14ac:dyDescent="0.3">
      <c r="G312" s="6"/>
    </row>
    <row r="313" spans="7:7" ht="14.25" customHeight="1" x14ac:dyDescent="0.3">
      <c r="G313" s="6"/>
    </row>
    <row r="314" spans="7:7" ht="14.25" customHeight="1" x14ac:dyDescent="0.3">
      <c r="G314" s="6"/>
    </row>
    <row r="315" spans="7:7" ht="14.25" customHeight="1" x14ac:dyDescent="0.3">
      <c r="G315" s="6"/>
    </row>
    <row r="316" spans="7:7" ht="14.25" customHeight="1" x14ac:dyDescent="0.3">
      <c r="G316" s="6"/>
    </row>
    <row r="317" spans="7:7" ht="14.25" customHeight="1" x14ac:dyDescent="0.3">
      <c r="G317" s="6"/>
    </row>
    <row r="318" spans="7:7" ht="14.25" customHeight="1" x14ac:dyDescent="0.3">
      <c r="G318" s="6"/>
    </row>
    <row r="319" spans="7:7" ht="14.25" customHeight="1" x14ac:dyDescent="0.3">
      <c r="G319" s="6"/>
    </row>
    <row r="320" spans="7:7" ht="14.25" customHeight="1" x14ac:dyDescent="0.3">
      <c r="G320" s="6"/>
    </row>
    <row r="321" spans="7:7" ht="14.25" customHeight="1" x14ac:dyDescent="0.3">
      <c r="G321" s="6"/>
    </row>
    <row r="322" spans="7:7" ht="14.25" customHeight="1" x14ac:dyDescent="0.3">
      <c r="G322" s="6"/>
    </row>
    <row r="323" spans="7:7" ht="14.25" customHeight="1" x14ac:dyDescent="0.3">
      <c r="G323" s="6"/>
    </row>
    <row r="324" spans="7:7" ht="14.25" customHeight="1" x14ac:dyDescent="0.3">
      <c r="G324" s="6"/>
    </row>
    <row r="325" spans="7:7" ht="14.25" customHeight="1" x14ac:dyDescent="0.3">
      <c r="G325" s="6"/>
    </row>
    <row r="326" spans="7:7" ht="14.25" customHeight="1" x14ac:dyDescent="0.3">
      <c r="G326" s="6"/>
    </row>
    <row r="327" spans="7:7" ht="14.25" customHeight="1" x14ac:dyDescent="0.3">
      <c r="G327" s="6"/>
    </row>
    <row r="328" spans="7:7" ht="14.25" customHeight="1" x14ac:dyDescent="0.3">
      <c r="G328" s="6"/>
    </row>
    <row r="329" spans="7:7" ht="14.25" customHeight="1" x14ac:dyDescent="0.3">
      <c r="G329" s="6"/>
    </row>
    <row r="330" spans="7:7" ht="14.25" customHeight="1" x14ac:dyDescent="0.3">
      <c r="G330" s="6"/>
    </row>
    <row r="331" spans="7:7" ht="14.25" customHeight="1" x14ac:dyDescent="0.3">
      <c r="G331" s="6"/>
    </row>
    <row r="332" spans="7:7" ht="14.25" customHeight="1" x14ac:dyDescent="0.3">
      <c r="G332" s="6"/>
    </row>
    <row r="333" spans="7:7" ht="14.25" customHeight="1" x14ac:dyDescent="0.3">
      <c r="G333" s="6"/>
    </row>
    <row r="334" spans="7:7" ht="14.25" customHeight="1" x14ac:dyDescent="0.3">
      <c r="G334" s="6"/>
    </row>
    <row r="335" spans="7:7" ht="14.25" customHeight="1" x14ac:dyDescent="0.3">
      <c r="G335" s="6"/>
    </row>
    <row r="336" spans="7:7" ht="14.25" customHeight="1" x14ac:dyDescent="0.3">
      <c r="G336" s="6"/>
    </row>
    <row r="337" spans="7:7" ht="14.25" customHeight="1" x14ac:dyDescent="0.3">
      <c r="G337" s="6"/>
    </row>
    <row r="338" spans="7:7" ht="14.25" customHeight="1" x14ac:dyDescent="0.3">
      <c r="G338" s="6"/>
    </row>
    <row r="339" spans="7:7" ht="14.25" customHeight="1" x14ac:dyDescent="0.3">
      <c r="G339" s="6"/>
    </row>
    <row r="340" spans="7:7" ht="14.25" customHeight="1" x14ac:dyDescent="0.3">
      <c r="G340" s="6"/>
    </row>
    <row r="341" spans="7:7" ht="14.25" customHeight="1" x14ac:dyDescent="0.3">
      <c r="G341" s="6"/>
    </row>
    <row r="342" spans="7:7" ht="14.25" customHeight="1" x14ac:dyDescent="0.3">
      <c r="G342" s="6"/>
    </row>
    <row r="343" spans="7:7" ht="14.25" customHeight="1" x14ac:dyDescent="0.3">
      <c r="G343" s="6"/>
    </row>
    <row r="344" spans="7:7" ht="14.25" customHeight="1" x14ac:dyDescent="0.3">
      <c r="G344" s="6"/>
    </row>
    <row r="345" spans="7:7" ht="14.25" customHeight="1" x14ac:dyDescent="0.3">
      <c r="G345" s="6"/>
    </row>
    <row r="346" spans="7:7" ht="14.25" customHeight="1" x14ac:dyDescent="0.3">
      <c r="G346" s="6"/>
    </row>
    <row r="347" spans="7:7" ht="14.25" customHeight="1" x14ac:dyDescent="0.3">
      <c r="G347" s="6"/>
    </row>
    <row r="348" spans="7:7" ht="14.25" customHeight="1" x14ac:dyDescent="0.3">
      <c r="G348" s="6"/>
    </row>
    <row r="349" spans="7:7" ht="14.25" customHeight="1" x14ac:dyDescent="0.3">
      <c r="G349" s="6"/>
    </row>
    <row r="350" spans="7:7" ht="14.25" customHeight="1" x14ac:dyDescent="0.3">
      <c r="G350" s="6"/>
    </row>
    <row r="351" spans="7:7" ht="14.25" customHeight="1" x14ac:dyDescent="0.3">
      <c r="G351" s="6"/>
    </row>
    <row r="352" spans="7:7" ht="14.25" customHeight="1" x14ac:dyDescent="0.3">
      <c r="G352" s="6"/>
    </row>
    <row r="353" spans="7:7" ht="14.25" customHeight="1" x14ac:dyDescent="0.3">
      <c r="G353" s="6"/>
    </row>
    <row r="354" spans="7:7" ht="14.25" customHeight="1" x14ac:dyDescent="0.3">
      <c r="G354" s="6"/>
    </row>
    <row r="355" spans="7:7" ht="14.25" customHeight="1" x14ac:dyDescent="0.3">
      <c r="G355" s="6"/>
    </row>
    <row r="356" spans="7:7" ht="14.25" customHeight="1" x14ac:dyDescent="0.3">
      <c r="G356" s="6"/>
    </row>
    <row r="357" spans="7:7" ht="14.25" customHeight="1" x14ac:dyDescent="0.3">
      <c r="G357" s="6"/>
    </row>
    <row r="358" spans="7:7" ht="14.25" customHeight="1" x14ac:dyDescent="0.3">
      <c r="G358" s="6"/>
    </row>
    <row r="359" spans="7:7" ht="14.25" customHeight="1" x14ac:dyDescent="0.3">
      <c r="G359" s="6"/>
    </row>
    <row r="360" spans="7:7" ht="14.25" customHeight="1" x14ac:dyDescent="0.3">
      <c r="G360" s="6"/>
    </row>
    <row r="361" spans="7:7" ht="14.25" customHeight="1" x14ac:dyDescent="0.3">
      <c r="G361" s="6"/>
    </row>
    <row r="362" spans="7:7" ht="14.25" customHeight="1" x14ac:dyDescent="0.3">
      <c r="G362" s="6"/>
    </row>
    <row r="363" spans="7:7" ht="14.25" customHeight="1" x14ac:dyDescent="0.3">
      <c r="G363" s="6"/>
    </row>
    <row r="364" spans="7:7" ht="14.25" customHeight="1" x14ac:dyDescent="0.3">
      <c r="G364" s="6"/>
    </row>
    <row r="365" spans="7:7" ht="14.25" customHeight="1" x14ac:dyDescent="0.3">
      <c r="G365" s="6"/>
    </row>
    <row r="366" spans="7:7" ht="14.25" customHeight="1" x14ac:dyDescent="0.3">
      <c r="G366" s="6"/>
    </row>
    <row r="367" spans="7:7" ht="14.25" customHeight="1" x14ac:dyDescent="0.3">
      <c r="G367" s="6"/>
    </row>
    <row r="368" spans="7:7" ht="14.25" customHeight="1" x14ac:dyDescent="0.3">
      <c r="G368" s="6"/>
    </row>
    <row r="369" spans="7:7" ht="14.25" customHeight="1" x14ac:dyDescent="0.3">
      <c r="G369" s="6"/>
    </row>
    <row r="370" spans="7:7" ht="14.25" customHeight="1" x14ac:dyDescent="0.3">
      <c r="G370" s="6"/>
    </row>
    <row r="371" spans="7:7" ht="14.25" customHeight="1" x14ac:dyDescent="0.3">
      <c r="G371" s="6"/>
    </row>
    <row r="372" spans="7:7" ht="14.25" customHeight="1" x14ac:dyDescent="0.3">
      <c r="G372" s="6"/>
    </row>
    <row r="373" spans="7:7" ht="14.25" customHeight="1" x14ac:dyDescent="0.3">
      <c r="G373" s="6"/>
    </row>
    <row r="374" spans="7:7" ht="14.25" customHeight="1" x14ac:dyDescent="0.3">
      <c r="G374" s="6"/>
    </row>
    <row r="375" spans="7:7" ht="14.25" customHeight="1" x14ac:dyDescent="0.3">
      <c r="G375" s="6"/>
    </row>
    <row r="376" spans="7:7" ht="14.25" customHeight="1" x14ac:dyDescent="0.3">
      <c r="G376" s="6"/>
    </row>
    <row r="377" spans="7:7" ht="14.25" customHeight="1" x14ac:dyDescent="0.3">
      <c r="G377" s="6"/>
    </row>
    <row r="378" spans="7:7" ht="14.25" customHeight="1" x14ac:dyDescent="0.3">
      <c r="G378" s="6"/>
    </row>
    <row r="379" spans="7:7" ht="14.25" customHeight="1" x14ac:dyDescent="0.3">
      <c r="G379" s="6"/>
    </row>
    <row r="380" spans="7:7" ht="14.25" customHeight="1" x14ac:dyDescent="0.3">
      <c r="G380" s="6"/>
    </row>
    <row r="381" spans="7:7" ht="14.25" customHeight="1" x14ac:dyDescent="0.3">
      <c r="G381" s="6"/>
    </row>
    <row r="382" spans="7:7" ht="14.25" customHeight="1" x14ac:dyDescent="0.3">
      <c r="G382" s="6"/>
    </row>
    <row r="383" spans="7:7" ht="14.25" customHeight="1" x14ac:dyDescent="0.3">
      <c r="G383" s="6"/>
    </row>
    <row r="384" spans="7:7" ht="14.25" customHeight="1" x14ac:dyDescent="0.3">
      <c r="G384" s="6"/>
    </row>
    <row r="385" spans="7:7" ht="14.25" customHeight="1" x14ac:dyDescent="0.3">
      <c r="G385" s="6"/>
    </row>
    <row r="386" spans="7:7" ht="14.25" customHeight="1" x14ac:dyDescent="0.3">
      <c r="G386" s="6"/>
    </row>
    <row r="387" spans="7:7" ht="14.25" customHeight="1" x14ac:dyDescent="0.3">
      <c r="G387" s="6"/>
    </row>
    <row r="388" spans="7:7" ht="14.25" customHeight="1" x14ac:dyDescent="0.3">
      <c r="G388" s="6"/>
    </row>
    <row r="389" spans="7:7" ht="14.25" customHeight="1" x14ac:dyDescent="0.3">
      <c r="G389" s="6"/>
    </row>
    <row r="390" spans="7:7" ht="14.25" customHeight="1" x14ac:dyDescent="0.3">
      <c r="G390" s="6"/>
    </row>
    <row r="391" spans="7:7" ht="14.25" customHeight="1" x14ac:dyDescent="0.3">
      <c r="G391" s="6"/>
    </row>
    <row r="392" spans="7:7" ht="14.25" customHeight="1" x14ac:dyDescent="0.3">
      <c r="G392" s="6"/>
    </row>
    <row r="393" spans="7:7" ht="14.25" customHeight="1" x14ac:dyDescent="0.3">
      <c r="G393" s="6"/>
    </row>
    <row r="394" spans="7:7" ht="14.25" customHeight="1" x14ac:dyDescent="0.3">
      <c r="G394" s="6"/>
    </row>
    <row r="395" spans="7:7" ht="14.25" customHeight="1" x14ac:dyDescent="0.3">
      <c r="G395" s="6"/>
    </row>
    <row r="396" spans="7:7" ht="14.25" customHeight="1" x14ac:dyDescent="0.3">
      <c r="G396" s="6"/>
    </row>
    <row r="397" spans="7:7" ht="14.25" customHeight="1" x14ac:dyDescent="0.3">
      <c r="G397" s="6"/>
    </row>
    <row r="398" spans="7:7" ht="14.25" customHeight="1" x14ac:dyDescent="0.3">
      <c r="G398" s="6"/>
    </row>
    <row r="399" spans="7:7" ht="14.25" customHeight="1" x14ac:dyDescent="0.3">
      <c r="G399" s="6"/>
    </row>
    <row r="400" spans="7:7" ht="14.25" customHeight="1" x14ac:dyDescent="0.3">
      <c r="G400" s="6"/>
    </row>
    <row r="401" spans="7:7" ht="14.25" customHeight="1" x14ac:dyDescent="0.3">
      <c r="G401" s="6"/>
    </row>
    <row r="402" spans="7:7" ht="14.25" customHeight="1" x14ac:dyDescent="0.3">
      <c r="G402" s="6"/>
    </row>
    <row r="403" spans="7:7" ht="14.25" customHeight="1" x14ac:dyDescent="0.3">
      <c r="G403" s="6"/>
    </row>
    <row r="404" spans="7:7" ht="14.25" customHeight="1" x14ac:dyDescent="0.3">
      <c r="G404" s="6"/>
    </row>
    <row r="405" spans="7:7" ht="14.25" customHeight="1" x14ac:dyDescent="0.3">
      <c r="G405" s="6"/>
    </row>
    <row r="406" spans="7:7" ht="14.25" customHeight="1" x14ac:dyDescent="0.3">
      <c r="G406" s="6"/>
    </row>
    <row r="407" spans="7:7" ht="14.25" customHeight="1" x14ac:dyDescent="0.3">
      <c r="G407" s="6"/>
    </row>
    <row r="408" spans="7:7" ht="14.25" customHeight="1" x14ac:dyDescent="0.3">
      <c r="G408" s="6"/>
    </row>
    <row r="409" spans="7:7" ht="14.25" customHeight="1" x14ac:dyDescent="0.3">
      <c r="G409" s="6"/>
    </row>
    <row r="410" spans="7:7" ht="14.25" customHeight="1" x14ac:dyDescent="0.3">
      <c r="G410" s="6"/>
    </row>
    <row r="411" spans="7:7" ht="14.25" customHeight="1" x14ac:dyDescent="0.3">
      <c r="G411" s="6"/>
    </row>
    <row r="412" spans="7:7" ht="14.25" customHeight="1" x14ac:dyDescent="0.3">
      <c r="G412" s="6"/>
    </row>
    <row r="413" spans="7:7" ht="14.25" customHeight="1" x14ac:dyDescent="0.3">
      <c r="G413" s="6"/>
    </row>
    <row r="414" spans="7:7" ht="14.25" customHeight="1" x14ac:dyDescent="0.3">
      <c r="G414" s="6"/>
    </row>
    <row r="415" spans="7:7" ht="14.25" customHeight="1" x14ac:dyDescent="0.3">
      <c r="G415" s="6"/>
    </row>
    <row r="416" spans="7:7" ht="14.25" customHeight="1" x14ac:dyDescent="0.3">
      <c r="G416" s="6"/>
    </row>
    <row r="417" spans="7:7" ht="14.25" customHeight="1" x14ac:dyDescent="0.3">
      <c r="G417" s="6"/>
    </row>
    <row r="418" spans="7:7" ht="14.25" customHeight="1" x14ac:dyDescent="0.3">
      <c r="G418" s="6"/>
    </row>
    <row r="419" spans="7:7" ht="14.25" customHeight="1" x14ac:dyDescent="0.3">
      <c r="G419" s="6"/>
    </row>
    <row r="420" spans="7:7" ht="14.25" customHeight="1" x14ac:dyDescent="0.3">
      <c r="G420" s="6"/>
    </row>
    <row r="421" spans="7:7" ht="14.25" customHeight="1" x14ac:dyDescent="0.3">
      <c r="G421" s="6"/>
    </row>
    <row r="422" spans="7:7" ht="14.25" customHeight="1" x14ac:dyDescent="0.3">
      <c r="G422" s="6"/>
    </row>
    <row r="423" spans="7:7" ht="14.25" customHeight="1" x14ac:dyDescent="0.3">
      <c r="G423" s="6"/>
    </row>
    <row r="424" spans="7:7" ht="14.25" customHeight="1" x14ac:dyDescent="0.3">
      <c r="G424" s="6"/>
    </row>
    <row r="425" spans="7:7" ht="14.25" customHeight="1" x14ac:dyDescent="0.3">
      <c r="G425" s="6"/>
    </row>
    <row r="426" spans="7:7" ht="14.25" customHeight="1" x14ac:dyDescent="0.3">
      <c r="G426" s="6"/>
    </row>
    <row r="427" spans="7:7" ht="14.25" customHeight="1" x14ac:dyDescent="0.3">
      <c r="G427" s="6"/>
    </row>
    <row r="428" spans="7:7" ht="14.25" customHeight="1" x14ac:dyDescent="0.3">
      <c r="G428" s="6"/>
    </row>
    <row r="429" spans="7:7" ht="14.25" customHeight="1" x14ac:dyDescent="0.3">
      <c r="G429" s="6"/>
    </row>
    <row r="430" spans="7:7" ht="14.25" customHeight="1" x14ac:dyDescent="0.3">
      <c r="G430" s="6"/>
    </row>
    <row r="431" spans="7:7" ht="14.25" customHeight="1" x14ac:dyDescent="0.3">
      <c r="G431" s="6"/>
    </row>
    <row r="432" spans="7:7" ht="14.25" customHeight="1" x14ac:dyDescent="0.3">
      <c r="G432" s="6"/>
    </row>
    <row r="433" spans="7:7" ht="14.25" customHeight="1" x14ac:dyDescent="0.3">
      <c r="G433" s="6"/>
    </row>
    <row r="434" spans="7:7" ht="14.25" customHeight="1" x14ac:dyDescent="0.3">
      <c r="G434" s="6"/>
    </row>
    <row r="435" spans="7:7" ht="14.25" customHeight="1" x14ac:dyDescent="0.3">
      <c r="G435" s="6"/>
    </row>
    <row r="436" spans="7:7" ht="14.25" customHeight="1" x14ac:dyDescent="0.3">
      <c r="G436" s="6"/>
    </row>
    <row r="437" spans="7:7" ht="14.25" customHeight="1" x14ac:dyDescent="0.3">
      <c r="G437" s="6"/>
    </row>
    <row r="438" spans="7:7" ht="14.25" customHeight="1" x14ac:dyDescent="0.3">
      <c r="G438" s="6"/>
    </row>
    <row r="439" spans="7:7" ht="14.25" customHeight="1" x14ac:dyDescent="0.3">
      <c r="G439" s="6"/>
    </row>
    <row r="440" spans="7:7" ht="14.25" customHeight="1" x14ac:dyDescent="0.3">
      <c r="G440" s="6"/>
    </row>
    <row r="441" spans="7:7" ht="14.25" customHeight="1" x14ac:dyDescent="0.3">
      <c r="G441" s="6"/>
    </row>
    <row r="442" spans="7:7" ht="14.25" customHeight="1" x14ac:dyDescent="0.3">
      <c r="G442" s="6"/>
    </row>
    <row r="443" spans="7:7" ht="14.25" customHeight="1" x14ac:dyDescent="0.3">
      <c r="G443" s="6"/>
    </row>
    <row r="444" spans="7:7" ht="14.25" customHeight="1" x14ac:dyDescent="0.3">
      <c r="G444" s="6"/>
    </row>
    <row r="445" spans="7:7" ht="14.25" customHeight="1" x14ac:dyDescent="0.3">
      <c r="G445" s="6"/>
    </row>
    <row r="446" spans="7:7" ht="14.25" customHeight="1" x14ac:dyDescent="0.3">
      <c r="G446" s="6"/>
    </row>
    <row r="447" spans="7:7" ht="14.25" customHeight="1" x14ac:dyDescent="0.3">
      <c r="G447" s="6"/>
    </row>
    <row r="448" spans="7:7" ht="14.25" customHeight="1" x14ac:dyDescent="0.3">
      <c r="G448" s="6"/>
    </row>
    <row r="449" spans="7:7" ht="14.25" customHeight="1" x14ac:dyDescent="0.3">
      <c r="G449" s="6"/>
    </row>
    <row r="450" spans="7:7" ht="14.25" customHeight="1" x14ac:dyDescent="0.3">
      <c r="G450" s="6"/>
    </row>
    <row r="451" spans="7:7" ht="14.25" customHeight="1" x14ac:dyDescent="0.3">
      <c r="G451" s="6"/>
    </row>
    <row r="452" spans="7:7" ht="14.25" customHeight="1" x14ac:dyDescent="0.3">
      <c r="G452" s="6"/>
    </row>
    <row r="453" spans="7:7" ht="14.25" customHeight="1" x14ac:dyDescent="0.3">
      <c r="G453" s="6"/>
    </row>
    <row r="454" spans="7:7" ht="14.25" customHeight="1" x14ac:dyDescent="0.3">
      <c r="G454" s="6"/>
    </row>
    <row r="455" spans="7:7" ht="14.25" customHeight="1" x14ac:dyDescent="0.3">
      <c r="G455" s="6"/>
    </row>
    <row r="456" spans="7:7" ht="14.25" customHeight="1" x14ac:dyDescent="0.3">
      <c r="G456" s="6"/>
    </row>
    <row r="457" spans="7:7" ht="14.25" customHeight="1" x14ac:dyDescent="0.3">
      <c r="G457" s="6"/>
    </row>
    <row r="458" spans="7:7" ht="14.25" customHeight="1" x14ac:dyDescent="0.3">
      <c r="G458" s="6"/>
    </row>
    <row r="459" spans="7:7" ht="14.25" customHeight="1" x14ac:dyDescent="0.3">
      <c r="G459" s="6"/>
    </row>
    <row r="460" spans="7:7" ht="14.25" customHeight="1" x14ac:dyDescent="0.3">
      <c r="G460" s="6"/>
    </row>
    <row r="461" spans="7:7" ht="14.25" customHeight="1" x14ac:dyDescent="0.3">
      <c r="G461" s="6"/>
    </row>
    <row r="462" spans="7:7" ht="14.25" customHeight="1" x14ac:dyDescent="0.3">
      <c r="G462" s="6"/>
    </row>
    <row r="463" spans="7:7" ht="14.25" customHeight="1" x14ac:dyDescent="0.3">
      <c r="G463" s="6"/>
    </row>
    <row r="464" spans="7:7" ht="14.25" customHeight="1" x14ac:dyDescent="0.3">
      <c r="G464" s="6"/>
    </row>
    <row r="465" spans="7:7" ht="14.25" customHeight="1" x14ac:dyDescent="0.3">
      <c r="G465" s="6"/>
    </row>
    <row r="466" spans="7:7" ht="14.25" customHeight="1" x14ac:dyDescent="0.3">
      <c r="G466" s="6"/>
    </row>
    <row r="467" spans="7:7" ht="14.25" customHeight="1" x14ac:dyDescent="0.3">
      <c r="G467" s="6"/>
    </row>
    <row r="468" spans="7:7" ht="14.25" customHeight="1" x14ac:dyDescent="0.3">
      <c r="G468" s="6"/>
    </row>
    <row r="469" spans="7:7" ht="14.25" customHeight="1" x14ac:dyDescent="0.3">
      <c r="G469" s="6"/>
    </row>
    <row r="470" spans="7:7" ht="14.25" customHeight="1" x14ac:dyDescent="0.3">
      <c r="G470" s="6"/>
    </row>
    <row r="471" spans="7:7" ht="14.25" customHeight="1" x14ac:dyDescent="0.3">
      <c r="G471" s="6"/>
    </row>
    <row r="472" spans="7:7" ht="14.25" customHeight="1" x14ac:dyDescent="0.3">
      <c r="G472" s="6"/>
    </row>
    <row r="473" spans="7:7" ht="14.25" customHeight="1" x14ac:dyDescent="0.3">
      <c r="G473" s="6"/>
    </row>
    <row r="474" spans="7:7" ht="14.25" customHeight="1" x14ac:dyDescent="0.3">
      <c r="G474" s="6"/>
    </row>
    <row r="475" spans="7:7" ht="14.25" customHeight="1" x14ac:dyDescent="0.3">
      <c r="G475" s="6"/>
    </row>
    <row r="476" spans="7:7" ht="14.25" customHeight="1" x14ac:dyDescent="0.3">
      <c r="G476" s="6"/>
    </row>
    <row r="477" spans="7:7" ht="14.25" customHeight="1" x14ac:dyDescent="0.3">
      <c r="G477" s="6"/>
    </row>
    <row r="478" spans="7:7" ht="14.25" customHeight="1" x14ac:dyDescent="0.3">
      <c r="G478" s="6"/>
    </row>
    <row r="479" spans="7:7" ht="14.25" customHeight="1" x14ac:dyDescent="0.3">
      <c r="G479" s="6"/>
    </row>
    <row r="480" spans="7:7" ht="14.25" customHeight="1" x14ac:dyDescent="0.3">
      <c r="G480" s="6"/>
    </row>
    <row r="481" spans="7:7" ht="14.25" customHeight="1" x14ac:dyDescent="0.3">
      <c r="G481" s="6"/>
    </row>
    <row r="482" spans="7:7" ht="14.25" customHeight="1" x14ac:dyDescent="0.3">
      <c r="G482" s="6"/>
    </row>
    <row r="483" spans="7:7" ht="14.25" customHeight="1" x14ac:dyDescent="0.3">
      <c r="G483" s="6"/>
    </row>
    <row r="484" spans="7:7" ht="14.25" customHeight="1" x14ac:dyDescent="0.3">
      <c r="G484" s="6"/>
    </row>
    <row r="485" spans="7:7" ht="14.25" customHeight="1" x14ac:dyDescent="0.3">
      <c r="G485" s="6"/>
    </row>
    <row r="486" spans="7:7" ht="14.25" customHeight="1" x14ac:dyDescent="0.3">
      <c r="G486" s="6"/>
    </row>
    <row r="487" spans="7:7" ht="14.25" customHeight="1" x14ac:dyDescent="0.3">
      <c r="G487" s="6"/>
    </row>
    <row r="488" spans="7:7" ht="14.25" customHeight="1" x14ac:dyDescent="0.3">
      <c r="G488" s="6"/>
    </row>
    <row r="489" spans="7:7" ht="14.25" customHeight="1" x14ac:dyDescent="0.3">
      <c r="G489" s="6"/>
    </row>
    <row r="490" spans="7:7" ht="14.25" customHeight="1" x14ac:dyDescent="0.3">
      <c r="G490" s="6"/>
    </row>
    <row r="491" spans="7:7" ht="14.25" customHeight="1" x14ac:dyDescent="0.3">
      <c r="G491" s="6"/>
    </row>
    <row r="492" spans="7:7" ht="14.25" customHeight="1" x14ac:dyDescent="0.3">
      <c r="G492" s="6"/>
    </row>
    <row r="493" spans="7:7" ht="14.25" customHeight="1" x14ac:dyDescent="0.3">
      <c r="G493" s="6"/>
    </row>
    <row r="494" spans="7:7" ht="14.25" customHeight="1" x14ac:dyDescent="0.3">
      <c r="G494" s="6"/>
    </row>
    <row r="495" spans="7:7" ht="14.25" customHeight="1" x14ac:dyDescent="0.3">
      <c r="G495" s="6"/>
    </row>
    <row r="496" spans="7:7" ht="14.25" customHeight="1" x14ac:dyDescent="0.3">
      <c r="G496" s="6"/>
    </row>
    <row r="497" spans="7:7" ht="14.25" customHeight="1" x14ac:dyDescent="0.3">
      <c r="G497" s="6"/>
    </row>
    <row r="498" spans="7:7" ht="14.25" customHeight="1" x14ac:dyDescent="0.3">
      <c r="G498" s="6"/>
    </row>
    <row r="499" spans="7:7" ht="14.25" customHeight="1" x14ac:dyDescent="0.3">
      <c r="G499" s="6"/>
    </row>
    <row r="500" spans="7:7" ht="14.25" customHeight="1" x14ac:dyDescent="0.3">
      <c r="G500" s="6"/>
    </row>
    <row r="501" spans="7:7" ht="14.25" customHeight="1" x14ac:dyDescent="0.3">
      <c r="G501" s="6"/>
    </row>
    <row r="502" spans="7:7" ht="14.25" customHeight="1" x14ac:dyDescent="0.3">
      <c r="G502" s="6"/>
    </row>
    <row r="503" spans="7:7" ht="14.25" customHeight="1" x14ac:dyDescent="0.3">
      <c r="G503" s="6"/>
    </row>
    <row r="504" spans="7:7" ht="14.25" customHeight="1" x14ac:dyDescent="0.3">
      <c r="G504" s="6"/>
    </row>
    <row r="505" spans="7:7" ht="14.25" customHeight="1" x14ac:dyDescent="0.3">
      <c r="G505" s="6"/>
    </row>
    <row r="506" spans="7:7" ht="14.25" customHeight="1" x14ac:dyDescent="0.3">
      <c r="G506" s="6"/>
    </row>
    <row r="507" spans="7:7" ht="14.25" customHeight="1" x14ac:dyDescent="0.3">
      <c r="G507" s="6"/>
    </row>
    <row r="508" spans="7:7" ht="14.25" customHeight="1" x14ac:dyDescent="0.3">
      <c r="G508" s="6"/>
    </row>
    <row r="509" spans="7:7" ht="14.25" customHeight="1" x14ac:dyDescent="0.3">
      <c r="G509" s="6"/>
    </row>
    <row r="510" spans="7:7" ht="14.25" customHeight="1" x14ac:dyDescent="0.3">
      <c r="G510" s="6"/>
    </row>
    <row r="511" spans="7:7" ht="14.25" customHeight="1" x14ac:dyDescent="0.3">
      <c r="G511" s="6"/>
    </row>
    <row r="512" spans="7:7" ht="14.25" customHeight="1" x14ac:dyDescent="0.3">
      <c r="G512" s="6"/>
    </row>
    <row r="513" spans="7:7" ht="14.25" customHeight="1" x14ac:dyDescent="0.3">
      <c r="G513" s="6"/>
    </row>
    <row r="514" spans="7:7" ht="14.25" customHeight="1" x14ac:dyDescent="0.3">
      <c r="G514" s="6"/>
    </row>
    <row r="515" spans="7:7" ht="14.25" customHeight="1" x14ac:dyDescent="0.3">
      <c r="G515" s="6"/>
    </row>
    <row r="516" spans="7:7" ht="14.25" customHeight="1" x14ac:dyDescent="0.3">
      <c r="G516" s="6"/>
    </row>
    <row r="517" spans="7:7" ht="14.25" customHeight="1" x14ac:dyDescent="0.3">
      <c r="G517" s="6"/>
    </row>
    <row r="518" spans="7:7" ht="14.25" customHeight="1" x14ac:dyDescent="0.3">
      <c r="G518" s="6"/>
    </row>
    <row r="519" spans="7:7" ht="14.25" customHeight="1" x14ac:dyDescent="0.3">
      <c r="G519" s="6"/>
    </row>
    <row r="520" spans="7:7" ht="14.25" customHeight="1" x14ac:dyDescent="0.3">
      <c r="G520" s="6"/>
    </row>
    <row r="521" spans="7:7" ht="14.25" customHeight="1" x14ac:dyDescent="0.3">
      <c r="G521" s="6"/>
    </row>
    <row r="522" spans="7:7" ht="14.25" customHeight="1" x14ac:dyDescent="0.3">
      <c r="G522" s="6"/>
    </row>
    <row r="523" spans="7:7" ht="14.25" customHeight="1" x14ac:dyDescent="0.3">
      <c r="G523" s="6"/>
    </row>
    <row r="524" spans="7:7" ht="14.25" customHeight="1" x14ac:dyDescent="0.3">
      <c r="G524" s="6"/>
    </row>
    <row r="525" spans="7:7" ht="14.25" customHeight="1" x14ac:dyDescent="0.3">
      <c r="G525" s="6"/>
    </row>
    <row r="526" spans="7:7" ht="14.25" customHeight="1" x14ac:dyDescent="0.3">
      <c r="G526" s="6"/>
    </row>
    <row r="527" spans="7:7" ht="14.25" customHeight="1" x14ac:dyDescent="0.3">
      <c r="G527" s="6"/>
    </row>
    <row r="528" spans="7:7" ht="14.25" customHeight="1" x14ac:dyDescent="0.3">
      <c r="G528" s="6"/>
    </row>
    <row r="529" spans="7:7" ht="14.25" customHeight="1" x14ac:dyDescent="0.3">
      <c r="G529" s="6"/>
    </row>
    <row r="530" spans="7:7" ht="14.25" customHeight="1" x14ac:dyDescent="0.3">
      <c r="G530" s="6"/>
    </row>
    <row r="531" spans="7:7" ht="14.25" customHeight="1" x14ac:dyDescent="0.3">
      <c r="G531" s="6"/>
    </row>
    <row r="532" spans="7:7" ht="14.25" customHeight="1" x14ac:dyDescent="0.3">
      <c r="G532" s="6"/>
    </row>
    <row r="533" spans="7:7" ht="14.25" customHeight="1" x14ac:dyDescent="0.3">
      <c r="G533" s="6"/>
    </row>
    <row r="534" spans="7:7" ht="14.25" customHeight="1" x14ac:dyDescent="0.3">
      <c r="G534" s="6"/>
    </row>
    <row r="535" spans="7:7" ht="14.25" customHeight="1" x14ac:dyDescent="0.3">
      <c r="G535" s="6"/>
    </row>
    <row r="536" spans="7:7" ht="14.25" customHeight="1" x14ac:dyDescent="0.3">
      <c r="G536" s="6"/>
    </row>
    <row r="537" spans="7:7" ht="14.25" customHeight="1" x14ac:dyDescent="0.3">
      <c r="G537" s="6"/>
    </row>
    <row r="538" spans="7:7" ht="14.25" customHeight="1" x14ac:dyDescent="0.3">
      <c r="G538" s="6"/>
    </row>
    <row r="539" spans="7:7" ht="14.25" customHeight="1" x14ac:dyDescent="0.3">
      <c r="G539" s="6"/>
    </row>
    <row r="540" spans="7:7" ht="14.25" customHeight="1" x14ac:dyDescent="0.3">
      <c r="G540" s="6"/>
    </row>
    <row r="541" spans="7:7" ht="14.25" customHeight="1" x14ac:dyDescent="0.3">
      <c r="G541" s="6"/>
    </row>
    <row r="542" spans="7:7" ht="14.25" customHeight="1" x14ac:dyDescent="0.3">
      <c r="G542" s="6"/>
    </row>
    <row r="543" spans="7:7" ht="14.25" customHeight="1" x14ac:dyDescent="0.3">
      <c r="G543" s="6"/>
    </row>
    <row r="544" spans="7:7" ht="14.25" customHeight="1" x14ac:dyDescent="0.3">
      <c r="G544" s="6"/>
    </row>
    <row r="545" spans="7:7" ht="14.25" customHeight="1" x14ac:dyDescent="0.3">
      <c r="G545" s="6"/>
    </row>
    <row r="546" spans="7:7" ht="14.25" customHeight="1" x14ac:dyDescent="0.3">
      <c r="G546" s="6"/>
    </row>
    <row r="547" spans="7:7" ht="14.25" customHeight="1" x14ac:dyDescent="0.3">
      <c r="G547" s="6"/>
    </row>
    <row r="548" spans="7:7" ht="14.25" customHeight="1" x14ac:dyDescent="0.3">
      <c r="G548" s="6"/>
    </row>
    <row r="549" spans="7:7" ht="14.25" customHeight="1" x14ac:dyDescent="0.3">
      <c r="G549" s="6"/>
    </row>
    <row r="550" spans="7:7" ht="14.25" customHeight="1" x14ac:dyDescent="0.3">
      <c r="G550" s="6"/>
    </row>
    <row r="551" spans="7:7" ht="14.25" customHeight="1" x14ac:dyDescent="0.3">
      <c r="G551" s="6"/>
    </row>
    <row r="552" spans="7:7" ht="14.25" customHeight="1" x14ac:dyDescent="0.3">
      <c r="G552" s="6"/>
    </row>
    <row r="553" spans="7:7" ht="14.25" customHeight="1" x14ac:dyDescent="0.3">
      <c r="G553" s="6"/>
    </row>
    <row r="554" spans="7:7" ht="14.25" customHeight="1" x14ac:dyDescent="0.3">
      <c r="G554" s="6"/>
    </row>
    <row r="555" spans="7:7" ht="14.25" customHeight="1" x14ac:dyDescent="0.3">
      <c r="G555" s="6"/>
    </row>
    <row r="556" spans="7:7" ht="14.25" customHeight="1" x14ac:dyDescent="0.3">
      <c r="G556" s="6"/>
    </row>
    <row r="557" spans="7:7" ht="14.25" customHeight="1" x14ac:dyDescent="0.3">
      <c r="G557" s="6"/>
    </row>
    <row r="558" spans="7:7" ht="14.25" customHeight="1" x14ac:dyDescent="0.3">
      <c r="G558" s="6"/>
    </row>
    <row r="559" spans="7:7" ht="14.25" customHeight="1" x14ac:dyDescent="0.3">
      <c r="G559" s="6"/>
    </row>
    <row r="560" spans="7:7" ht="14.25" customHeight="1" x14ac:dyDescent="0.3">
      <c r="G560" s="6"/>
    </row>
    <row r="561" spans="7:7" ht="14.25" customHeight="1" x14ac:dyDescent="0.3">
      <c r="G561" s="6"/>
    </row>
    <row r="562" spans="7:7" ht="14.25" customHeight="1" x14ac:dyDescent="0.3">
      <c r="G562" s="6"/>
    </row>
    <row r="563" spans="7:7" ht="14.25" customHeight="1" x14ac:dyDescent="0.3">
      <c r="G563" s="6"/>
    </row>
    <row r="564" spans="7:7" ht="14.25" customHeight="1" x14ac:dyDescent="0.3">
      <c r="G564" s="6"/>
    </row>
    <row r="565" spans="7:7" ht="14.25" customHeight="1" x14ac:dyDescent="0.3">
      <c r="G565" s="6"/>
    </row>
    <row r="566" spans="7:7" ht="14.25" customHeight="1" x14ac:dyDescent="0.3">
      <c r="G566" s="6"/>
    </row>
    <row r="567" spans="7:7" ht="14.25" customHeight="1" x14ac:dyDescent="0.3">
      <c r="G567" s="6"/>
    </row>
    <row r="568" spans="7:7" ht="14.25" customHeight="1" x14ac:dyDescent="0.3">
      <c r="G568" s="6"/>
    </row>
    <row r="569" spans="7:7" ht="14.25" customHeight="1" x14ac:dyDescent="0.3">
      <c r="G569" s="6"/>
    </row>
    <row r="570" spans="7:7" ht="14.25" customHeight="1" x14ac:dyDescent="0.3">
      <c r="G570" s="6"/>
    </row>
    <row r="571" spans="7:7" ht="14.25" customHeight="1" x14ac:dyDescent="0.3">
      <c r="G571" s="6"/>
    </row>
    <row r="572" spans="7:7" ht="14.25" customHeight="1" x14ac:dyDescent="0.3">
      <c r="G572" s="6"/>
    </row>
    <row r="573" spans="7:7" ht="14.25" customHeight="1" x14ac:dyDescent="0.3">
      <c r="G573" s="6"/>
    </row>
    <row r="574" spans="7:7" ht="14.25" customHeight="1" x14ac:dyDescent="0.3">
      <c r="G574" s="6"/>
    </row>
    <row r="575" spans="7:7" ht="14.25" customHeight="1" x14ac:dyDescent="0.3">
      <c r="G575" s="6"/>
    </row>
    <row r="576" spans="7:7" ht="14.25" customHeight="1" x14ac:dyDescent="0.3">
      <c r="G576" s="6"/>
    </row>
    <row r="577" spans="7:7" ht="14.25" customHeight="1" x14ac:dyDescent="0.3">
      <c r="G577" s="6"/>
    </row>
    <row r="578" spans="7:7" ht="14.25" customHeight="1" x14ac:dyDescent="0.3">
      <c r="G578" s="6"/>
    </row>
    <row r="579" spans="7:7" ht="14.25" customHeight="1" x14ac:dyDescent="0.3">
      <c r="G579" s="6"/>
    </row>
    <row r="580" spans="7:7" ht="14.25" customHeight="1" x14ac:dyDescent="0.3">
      <c r="G580" s="6"/>
    </row>
    <row r="581" spans="7:7" ht="14.25" customHeight="1" x14ac:dyDescent="0.3">
      <c r="G581" s="6"/>
    </row>
    <row r="582" spans="7:7" ht="14.25" customHeight="1" x14ac:dyDescent="0.3">
      <c r="G582" s="6"/>
    </row>
    <row r="583" spans="7:7" ht="14.25" customHeight="1" x14ac:dyDescent="0.3">
      <c r="G583" s="6"/>
    </row>
    <row r="584" spans="7:7" ht="14.25" customHeight="1" x14ac:dyDescent="0.3">
      <c r="G584" s="6"/>
    </row>
    <row r="585" spans="7:7" ht="14.25" customHeight="1" x14ac:dyDescent="0.3">
      <c r="G585" s="6"/>
    </row>
    <row r="586" spans="7:7" ht="14.25" customHeight="1" x14ac:dyDescent="0.3">
      <c r="G586" s="6"/>
    </row>
    <row r="587" spans="7:7" ht="14.25" customHeight="1" x14ac:dyDescent="0.3">
      <c r="G587" s="6"/>
    </row>
    <row r="588" spans="7:7" ht="14.25" customHeight="1" x14ac:dyDescent="0.3">
      <c r="G588" s="6"/>
    </row>
    <row r="589" spans="7:7" ht="14.25" customHeight="1" x14ac:dyDescent="0.3">
      <c r="G589" s="6"/>
    </row>
    <row r="590" spans="7:7" ht="14.25" customHeight="1" x14ac:dyDescent="0.3">
      <c r="G590" s="6"/>
    </row>
    <row r="591" spans="7:7" ht="14.25" customHeight="1" x14ac:dyDescent="0.3">
      <c r="G591" s="6"/>
    </row>
    <row r="592" spans="7:7" ht="14.25" customHeight="1" x14ac:dyDescent="0.3">
      <c r="G592" s="6"/>
    </row>
    <row r="593" spans="7:7" ht="14.25" customHeight="1" x14ac:dyDescent="0.3">
      <c r="G593" s="6"/>
    </row>
    <row r="594" spans="7:7" ht="14.25" customHeight="1" x14ac:dyDescent="0.3">
      <c r="G594" s="6"/>
    </row>
    <row r="595" spans="7:7" ht="14.25" customHeight="1" x14ac:dyDescent="0.3">
      <c r="G595" s="6"/>
    </row>
    <row r="596" spans="7:7" ht="14.25" customHeight="1" x14ac:dyDescent="0.3">
      <c r="G596" s="6"/>
    </row>
    <row r="597" spans="7:7" ht="14.25" customHeight="1" x14ac:dyDescent="0.3">
      <c r="G597" s="6"/>
    </row>
    <row r="598" spans="7:7" ht="14.25" customHeight="1" x14ac:dyDescent="0.3">
      <c r="G598" s="6"/>
    </row>
    <row r="599" spans="7:7" ht="14.25" customHeight="1" x14ac:dyDescent="0.3">
      <c r="G599" s="6"/>
    </row>
    <row r="600" spans="7:7" ht="14.25" customHeight="1" x14ac:dyDescent="0.3">
      <c r="G600" s="6"/>
    </row>
    <row r="601" spans="7:7" ht="14.25" customHeight="1" x14ac:dyDescent="0.3">
      <c r="G601" s="6"/>
    </row>
    <row r="602" spans="7:7" ht="14.25" customHeight="1" x14ac:dyDescent="0.3">
      <c r="G602" s="6"/>
    </row>
    <row r="603" spans="7:7" ht="14.25" customHeight="1" x14ac:dyDescent="0.3">
      <c r="G603" s="6"/>
    </row>
    <row r="604" spans="7:7" ht="14.25" customHeight="1" x14ac:dyDescent="0.3">
      <c r="G604" s="6"/>
    </row>
    <row r="605" spans="7:7" ht="14.25" customHeight="1" x14ac:dyDescent="0.3">
      <c r="G605" s="6"/>
    </row>
    <row r="606" spans="7:7" ht="14.25" customHeight="1" x14ac:dyDescent="0.3">
      <c r="G606" s="6"/>
    </row>
    <row r="607" spans="7:7" ht="14.25" customHeight="1" x14ac:dyDescent="0.3">
      <c r="G607" s="6"/>
    </row>
    <row r="608" spans="7:7" ht="14.25" customHeight="1" x14ac:dyDescent="0.3">
      <c r="G608" s="6"/>
    </row>
    <row r="609" spans="7:7" ht="14.25" customHeight="1" x14ac:dyDescent="0.3">
      <c r="G609" s="6"/>
    </row>
    <row r="610" spans="7:7" ht="14.25" customHeight="1" x14ac:dyDescent="0.3">
      <c r="G610" s="6"/>
    </row>
    <row r="611" spans="7:7" ht="14.25" customHeight="1" x14ac:dyDescent="0.3">
      <c r="G611" s="6"/>
    </row>
    <row r="612" spans="7:7" ht="14.25" customHeight="1" x14ac:dyDescent="0.3">
      <c r="G612" s="6"/>
    </row>
    <row r="613" spans="7:7" ht="14.25" customHeight="1" x14ac:dyDescent="0.3">
      <c r="G613" s="6"/>
    </row>
    <row r="614" spans="7:7" ht="14.25" customHeight="1" x14ac:dyDescent="0.3">
      <c r="G614" s="6"/>
    </row>
    <row r="615" spans="7:7" ht="14.25" customHeight="1" x14ac:dyDescent="0.3">
      <c r="G615" s="6"/>
    </row>
    <row r="616" spans="7:7" ht="14.25" customHeight="1" x14ac:dyDescent="0.3">
      <c r="G616" s="6"/>
    </row>
    <row r="617" spans="7:7" ht="14.25" customHeight="1" x14ac:dyDescent="0.3">
      <c r="G617" s="6"/>
    </row>
    <row r="618" spans="7:7" ht="14.25" customHeight="1" x14ac:dyDescent="0.3">
      <c r="G618" s="6"/>
    </row>
    <row r="619" spans="7:7" ht="14.25" customHeight="1" x14ac:dyDescent="0.3">
      <c r="G619" s="6"/>
    </row>
    <row r="620" spans="7:7" ht="14.25" customHeight="1" x14ac:dyDescent="0.3">
      <c r="G620" s="6"/>
    </row>
    <row r="621" spans="7:7" ht="14.25" customHeight="1" x14ac:dyDescent="0.3">
      <c r="G621" s="6"/>
    </row>
    <row r="622" spans="7:7" ht="14.25" customHeight="1" x14ac:dyDescent="0.3">
      <c r="G622" s="6"/>
    </row>
    <row r="623" spans="7:7" ht="14.25" customHeight="1" x14ac:dyDescent="0.3">
      <c r="G623" s="6"/>
    </row>
    <row r="624" spans="7:7" ht="14.25" customHeight="1" x14ac:dyDescent="0.3">
      <c r="G624" s="6"/>
    </row>
    <row r="625" spans="7:7" ht="14.25" customHeight="1" x14ac:dyDescent="0.3">
      <c r="G625" s="6"/>
    </row>
    <row r="626" spans="7:7" ht="14.25" customHeight="1" x14ac:dyDescent="0.3">
      <c r="G626" s="6"/>
    </row>
    <row r="627" spans="7:7" ht="14.25" customHeight="1" x14ac:dyDescent="0.3">
      <c r="G627" s="6"/>
    </row>
    <row r="628" spans="7:7" ht="14.25" customHeight="1" x14ac:dyDescent="0.3">
      <c r="G628" s="6"/>
    </row>
    <row r="629" spans="7:7" ht="14.25" customHeight="1" x14ac:dyDescent="0.3">
      <c r="G629" s="6"/>
    </row>
    <row r="630" spans="7:7" ht="14.25" customHeight="1" x14ac:dyDescent="0.3">
      <c r="G630" s="6"/>
    </row>
    <row r="631" spans="7:7" ht="14.25" customHeight="1" x14ac:dyDescent="0.3">
      <c r="G631" s="6"/>
    </row>
    <row r="632" spans="7:7" ht="14.25" customHeight="1" x14ac:dyDescent="0.3">
      <c r="G632" s="6"/>
    </row>
    <row r="633" spans="7:7" ht="14.25" customHeight="1" x14ac:dyDescent="0.3">
      <c r="G633" s="6"/>
    </row>
    <row r="634" spans="7:7" ht="14.25" customHeight="1" x14ac:dyDescent="0.3">
      <c r="G634" s="6"/>
    </row>
    <row r="635" spans="7:7" ht="14.25" customHeight="1" x14ac:dyDescent="0.3">
      <c r="G635" s="6"/>
    </row>
    <row r="636" spans="7:7" ht="14.25" customHeight="1" x14ac:dyDescent="0.3">
      <c r="G636" s="6"/>
    </row>
    <row r="637" spans="7:7" ht="14.25" customHeight="1" x14ac:dyDescent="0.3">
      <c r="G637" s="6"/>
    </row>
    <row r="638" spans="7:7" ht="14.25" customHeight="1" x14ac:dyDescent="0.3">
      <c r="G638" s="6"/>
    </row>
    <row r="639" spans="7:7" ht="14.25" customHeight="1" x14ac:dyDescent="0.3">
      <c r="G639" s="6"/>
    </row>
    <row r="640" spans="7:7" ht="14.25" customHeight="1" x14ac:dyDescent="0.3">
      <c r="G640" s="6"/>
    </row>
    <row r="641" spans="7:7" ht="14.25" customHeight="1" x14ac:dyDescent="0.3">
      <c r="G641" s="6"/>
    </row>
    <row r="642" spans="7:7" ht="14.25" customHeight="1" x14ac:dyDescent="0.3">
      <c r="G642" s="6"/>
    </row>
    <row r="643" spans="7:7" ht="14.25" customHeight="1" x14ac:dyDescent="0.3">
      <c r="G643" s="6"/>
    </row>
    <row r="644" spans="7:7" ht="14.25" customHeight="1" x14ac:dyDescent="0.3">
      <c r="G644" s="6"/>
    </row>
    <row r="645" spans="7:7" ht="14.25" customHeight="1" x14ac:dyDescent="0.3">
      <c r="G645" s="6"/>
    </row>
    <row r="646" spans="7:7" ht="14.25" customHeight="1" x14ac:dyDescent="0.3">
      <c r="G646" s="6"/>
    </row>
    <row r="647" spans="7:7" ht="14.25" customHeight="1" x14ac:dyDescent="0.3">
      <c r="G647" s="6"/>
    </row>
    <row r="648" spans="7:7" ht="14.25" customHeight="1" x14ac:dyDescent="0.3">
      <c r="G648" s="6"/>
    </row>
    <row r="649" spans="7:7" ht="14.25" customHeight="1" x14ac:dyDescent="0.3">
      <c r="G649" s="6"/>
    </row>
    <row r="650" spans="7:7" ht="14.25" customHeight="1" x14ac:dyDescent="0.3">
      <c r="G650" s="6"/>
    </row>
    <row r="651" spans="7:7" ht="14.25" customHeight="1" x14ac:dyDescent="0.3">
      <c r="G651" s="6"/>
    </row>
    <row r="652" spans="7:7" ht="14.25" customHeight="1" x14ac:dyDescent="0.3">
      <c r="G652" s="6"/>
    </row>
    <row r="653" spans="7:7" ht="14.25" customHeight="1" x14ac:dyDescent="0.3">
      <c r="G653" s="6"/>
    </row>
    <row r="654" spans="7:7" ht="14.25" customHeight="1" x14ac:dyDescent="0.3">
      <c r="G654" s="6"/>
    </row>
    <row r="655" spans="7:7" ht="14.25" customHeight="1" x14ac:dyDescent="0.3">
      <c r="G655" s="6"/>
    </row>
    <row r="656" spans="7:7" ht="14.25" customHeight="1" x14ac:dyDescent="0.3">
      <c r="G656" s="6"/>
    </row>
    <row r="657" spans="7:7" ht="14.25" customHeight="1" x14ac:dyDescent="0.3">
      <c r="G657" s="6"/>
    </row>
    <row r="658" spans="7:7" ht="14.25" customHeight="1" x14ac:dyDescent="0.3">
      <c r="G658" s="6"/>
    </row>
    <row r="659" spans="7:7" ht="14.25" customHeight="1" x14ac:dyDescent="0.3">
      <c r="G659" s="6"/>
    </row>
    <row r="660" spans="7:7" ht="14.25" customHeight="1" x14ac:dyDescent="0.3">
      <c r="G660" s="6"/>
    </row>
    <row r="661" spans="7:7" ht="14.25" customHeight="1" x14ac:dyDescent="0.3">
      <c r="G661" s="6"/>
    </row>
    <row r="662" spans="7:7" ht="14.25" customHeight="1" x14ac:dyDescent="0.3">
      <c r="G662" s="6"/>
    </row>
    <row r="663" spans="7:7" ht="14.25" customHeight="1" x14ac:dyDescent="0.3">
      <c r="G663" s="6"/>
    </row>
    <row r="664" spans="7:7" ht="14.25" customHeight="1" x14ac:dyDescent="0.3">
      <c r="G664" s="6"/>
    </row>
    <row r="665" spans="7:7" ht="14.25" customHeight="1" x14ac:dyDescent="0.3">
      <c r="G665" s="6"/>
    </row>
    <row r="666" spans="7:7" ht="14.25" customHeight="1" x14ac:dyDescent="0.3">
      <c r="G666" s="6"/>
    </row>
    <row r="667" spans="7:7" ht="14.25" customHeight="1" x14ac:dyDescent="0.3">
      <c r="G667" s="6"/>
    </row>
    <row r="668" spans="7:7" ht="14.25" customHeight="1" x14ac:dyDescent="0.3">
      <c r="G668" s="6"/>
    </row>
    <row r="669" spans="7:7" ht="14.25" customHeight="1" x14ac:dyDescent="0.3">
      <c r="G669" s="6"/>
    </row>
    <row r="670" spans="7:7" ht="14.25" customHeight="1" x14ac:dyDescent="0.3">
      <c r="G670" s="6"/>
    </row>
    <row r="671" spans="7:7" ht="14.25" customHeight="1" x14ac:dyDescent="0.3">
      <c r="G671" s="6"/>
    </row>
    <row r="672" spans="7:7" ht="14.25" customHeight="1" x14ac:dyDescent="0.3">
      <c r="G672" s="6"/>
    </row>
    <row r="673" spans="7:7" ht="14.25" customHeight="1" x14ac:dyDescent="0.3">
      <c r="G673" s="6"/>
    </row>
    <row r="674" spans="7:7" ht="14.25" customHeight="1" x14ac:dyDescent="0.3">
      <c r="G674" s="6"/>
    </row>
    <row r="675" spans="7:7" ht="14.25" customHeight="1" x14ac:dyDescent="0.3">
      <c r="G675" s="6"/>
    </row>
    <row r="676" spans="7:7" ht="14.25" customHeight="1" x14ac:dyDescent="0.3">
      <c r="G676" s="6"/>
    </row>
    <row r="677" spans="7:7" ht="14.25" customHeight="1" x14ac:dyDescent="0.3">
      <c r="G677" s="6"/>
    </row>
    <row r="678" spans="7:7" ht="14.25" customHeight="1" x14ac:dyDescent="0.3">
      <c r="G678" s="6"/>
    </row>
    <row r="679" spans="7:7" ht="14.25" customHeight="1" x14ac:dyDescent="0.3">
      <c r="G679" s="6"/>
    </row>
    <row r="680" spans="7:7" ht="14.25" customHeight="1" x14ac:dyDescent="0.3">
      <c r="G680" s="6"/>
    </row>
    <row r="681" spans="7:7" ht="14.25" customHeight="1" x14ac:dyDescent="0.3">
      <c r="G681" s="6"/>
    </row>
    <row r="682" spans="7:7" ht="14.25" customHeight="1" x14ac:dyDescent="0.3">
      <c r="G682" s="6"/>
    </row>
    <row r="683" spans="7:7" ht="14.25" customHeight="1" x14ac:dyDescent="0.3">
      <c r="G683" s="6"/>
    </row>
    <row r="684" spans="7:7" ht="14.25" customHeight="1" x14ac:dyDescent="0.3">
      <c r="G684" s="6"/>
    </row>
    <row r="685" spans="7:7" ht="14.25" customHeight="1" x14ac:dyDescent="0.3">
      <c r="G685" s="6"/>
    </row>
    <row r="686" spans="7:7" ht="14.25" customHeight="1" x14ac:dyDescent="0.3">
      <c r="G686" s="6"/>
    </row>
    <row r="687" spans="7:7" ht="14.25" customHeight="1" x14ac:dyDescent="0.3">
      <c r="G687" s="6"/>
    </row>
    <row r="688" spans="7:7" ht="14.25" customHeight="1" x14ac:dyDescent="0.3">
      <c r="G688" s="6"/>
    </row>
    <row r="689" spans="7:7" ht="14.25" customHeight="1" x14ac:dyDescent="0.3">
      <c r="G689" s="6"/>
    </row>
    <row r="690" spans="7:7" ht="14.25" customHeight="1" x14ac:dyDescent="0.3">
      <c r="G690" s="6"/>
    </row>
    <row r="691" spans="7:7" ht="14.25" customHeight="1" x14ac:dyDescent="0.3">
      <c r="G691" s="6"/>
    </row>
    <row r="692" spans="7:7" ht="14.25" customHeight="1" x14ac:dyDescent="0.3">
      <c r="G692" s="6"/>
    </row>
    <row r="693" spans="7:7" ht="14.25" customHeight="1" x14ac:dyDescent="0.3">
      <c r="G693" s="6"/>
    </row>
    <row r="694" spans="7:7" ht="14.25" customHeight="1" x14ac:dyDescent="0.3">
      <c r="G694" s="6"/>
    </row>
    <row r="695" spans="7:7" ht="14.25" customHeight="1" x14ac:dyDescent="0.3">
      <c r="G695" s="6"/>
    </row>
    <row r="696" spans="7:7" ht="14.25" customHeight="1" x14ac:dyDescent="0.3">
      <c r="G696" s="6"/>
    </row>
    <row r="697" spans="7:7" ht="14.25" customHeight="1" x14ac:dyDescent="0.3">
      <c r="G697" s="6"/>
    </row>
    <row r="698" spans="7:7" ht="14.25" customHeight="1" x14ac:dyDescent="0.3">
      <c r="G698" s="6"/>
    </row>
    <row r="699" spans="7:7" ht="14.25" customHeight="1" x14ac:dyDescent="0.3">
      <c r="G699" s="6"/>
    </row>
    <row r="700" spans="7:7" ht="14.25" customHeight="1" x14ac:dyDescent="0.3">
      <c r="G700" s="6"/>
    </row>
    <row r="701" spans="7:7" ht="14.25" customHeight="1" x14ac:dyDescent="0.3">
      <c r="G701" s="6"/>
    </row>
    <row r="702" spans="7:7" ht="14.25" customHeight="1" x14ac:dyDescent="0.3">
      <c r="G702" s="6"/>
    </row>
    <row r="703" spans="7:7" ht="14.25" customHeight="1" x14ac:dyDescent="0.3">
      <c r="G703" s="6"/>
    </row>
    <row r="704" spans="7:7" ht="14.25" customHeight="1" x14ac:dyDescent="0.3">
      <c r="G704" s="6"/>
    </row>
    <row r="705" spans="7:7" ht="14.25" customHeight="1" x14ac:dyDescent="0.3">
      <c r="G705" s="6"/>
    </row>
    <row r="706" spans="7:7" ht="14.25" customHeight="1" x14ac:dyDescent="0.3">
      <c r="G706" s="6"/>
    </row>
    <row r="707" spans="7:7" ht="14.25" customHeight="1" x14ac:dyDescent="0.3">
      <c r="G707" s="6"/>
    </row>
    <row r="708" spans="7:7" ht="14.25" customHeight="1" x14ac:dyDescent="0.3">
      <c r="G708" s="6"/>
    </row>
    <row r="709" spans="7:7" ht="14.25" customHeight="1" x14ac:dyDescent="0.3">
      <c r="G709" s="6"/>
    </row>
    <row r="710" spans="7:7" ht="14.25" customHeight="1" x14ac:dyDescent="0.3">
      <c r="G710" s="6"/>
    </row>
    <row r="711" spans="7:7" ht="14.25" customHeight="1" x14ac:dyDescent="0.3">
      <c r="G711" s="6"/>
    </row>
    <row r="712" spans="7:7" ht="14.25" customHeight="1" x14ac:dyDescent="0.3">
      <c r="G712" s="6"/>
    </row>
    <row r="713" spans="7:7" ht="14.25" customHeight="1" x14ac:dyDescent="0.3">
      <c r="G713" s="6"/>
    </row>
    <row r="714" spans="7:7" ht="14.25" customHeight="1" x14ac:dyDescent="0.3">
      <c r="G714" s="6"/>
    </row>
    <row r="715" spans="7:7" ht="14.25" customHeight="1" x14ac:dyDescent="0.3">
      <c r="G715" s="6"/>
    </row>
    <row r="716" spans="7:7" ht="14.25" customHeight="1" x14ac:dyDescent="0.3">
      <c r="G716" s="6"/>
    </row>
    <row r="717" spans="7:7" ht="14.25" customHeight="1" x14ac:dyDescent="0.3">
      <c r="G717" s="6"/>
    </row>
    <row r="718" spans="7:7" ht="14.25" customHeight="1" x14ac:dyDescent="0.3">
      <c r="G718" s="6"/>
    </row>
    <row r="719" spans="7:7" ht="14.25" customHeight="1" x14ac:dyDescent="0.3">
      <c r="G719" s="6"/>
    </row>
    <row r="720" spans="7:7" ht="14.25" customHeight="1" x14ac:dyDescent="0.3">
      <c r="G720" s="6"/>
    </row>
    <row r="721" spans="7:7" ht="14.25" customHeight="1" x14ac:dyDescent="0.3">
      <c r="G721" s="6"/>
    </row>
    <row r="722" spans="7:7" ht="14.25" customHeight="1" x14ac:dyDescent="0.3">
      <c r="G722" s="6"/>
    </row>
    <row r="723" spans="7:7" ht="14.25" customHeight="1" x14ac:dyDescent="0.3">
      <c r="G723" s="6"/>
    </row>
    <row r="724" spans="7:7" ht="14.25" customHeight="1" x14ac:dyDescent="0.3">
      <c r="G724" s="6"/>
    </row>
    <row r="725" spans="7:7" ht="14.25" customHeight="1" x14ac:dyDescent="0.3">
      <c r="G725" s="6"/>
    </row>
    <row r="726" spans="7:7" ht="14.25" customHeight="1" x14ac:dyDescent="0.3">
      <c r="G726" s="6"/>
    </row>
    <row r="727" spans="7:7" ht="14.25" customHeight="1" x14ac:dyDescent="0.3">
      <c r="G727" s="6"/>
    </row>
    <row r="728" spans="7:7" ht="14.25" customHeight="1" x14ac:dyDescent="0.3">
      <c r="G728" s="6"/>
    </row>
    <row r="729" spans="7:7" ht="14.25" customHeight="1" x14ac:dyDescent="0.3">
      <c r="G729" s="6"/>
    </row>
    <row r="730" spans="7:7" ht="14.25" customHeight="1" x14ac:dyDescent="0.3">
      <c r="G730" s="6"/>
    </row>
    <row r="731" spans="7:7" ht="14.25" customHeight="1" x14ac:dyDescent="0.3">
      <c r="G731" s="6"/>
    </row>
    <row r="732" spans="7:7" ht="14.25" customHeight="1" x14ac:dyDescent="0.3">
      <c r="G732" s="6"/>
    </row>
    <row r="733" spans="7:7" ht="14.25" customHeight="1" x14ac:dyDescent="0.3">
      <c r="G733" s="6"/>
    </row>
    <row r="734" spans="7:7" ht="14.25" customHeight="1" x14ac:dyDescent="0.3">
      <c r="G734" s="6"/>
    </row>
    <row r="735" spans="7:7" ht="14.25" customHeight="1" x14ac:dyDescent="0.3">
      <c r="G735" s="6"/>
    </row>
    <row r="736" spans="7:7" ht="14.25" customHeight="1" x14ac:dyDescent="0.3">
      <c r="G736" s="6"/>
    </row>
    <row r="737" spans="7:7" ht="14.25" customHeight="1" x14ac:dyDescent="0.3">
      <c r="G737" s="6"/>
    </row>
    <row r="738" spans="7:7" ht="14.25" customHeight="1" x14ac:dyDescent="0.3">
      <c r="G738" s="6"/>
    </row>
    <row r="739" spans="7:7" ht="14.25" customHeight="1" x14ac:dyDescent="0.3">
      <c r="G739" s="6"/>
    </row>
    <row r="740" spans="7:7" ht="14.25" customHeight="1" x14ac:dyDescent="0.3">
      <c r="G740" s="6"/>
    </row>
    <row r="741" spans="7:7" ht="14.25" customHeight="1" x14ac:dyDescent="0.3">
      <c r="G741" s="6"/>
    </row>
    <row r="742" spans="7:7" ht="14.25" customHeight="1" x14ac:dyDescent="0.3">
      <c r="G742" s="6"/>
    </row>
    <row r="743" spans="7:7" ht="14.25" customHeight="1" x14ac:dyDescent="0.3">
      <c r="G743" s="6"/>
    </row>
    <row r="744" spans="7:7" ht="14.25" customHeight="1" x14ac:dyDescent="0.3">
      <c r="G744" s="6"/>
    </row>
    <row r="745" spans="7:7" ht="14.25" customHeight="1" x14ac:dyDescent="0.3">
      <c r="G745" s="6"/>
    </row>
    <row r="746" spans="7:7" ht="14.25" customHeight="1" x14ac:dyDescent="0.3">
      <c r="G746" s="6"/>
    </row>
    <row r="747" spans="7:7" ht="14.25" customHeight="1" x14ac:dyDescent="0.3">
      <c r="G747" s="6"/>
    </row>
    <row r="748" spans="7:7" ht="14.25" customHeight="1" x14ac:dyDescent="0.3">
      <c r="G748" s="6"/>
    </row>
    <row r="749" spans="7:7" ht="14.25" customHeight="1" x14ac:dyDescent="0.3">
      <c r="G749" s="6"/>
    </row>
    <row r="750" spans="7:7" ht="14.25" customHeight="1" x14ac:dyDescent="0.3">
      <c r="G750" s="6"/>
    </row>
    <row r="751" spans="7:7" ht="14.25" customHeight="1" x14ac:dyDescent="0.3">
      <c r="G751" s="6"/>
    </row>
    <row r="752" spans="7:7" ht="14.25" customHeight="1" x14ac:dyDescent="0.3">
      <c r="G752" s="6"/>
    </row>
    <row r="753" spans="7:7" ht="14.25" customHeight="1" x14ac:dyDescent="0.3">
      <c r="G753" s="6"/>
    </row>
    <row r="754" spans="7:7" ht="14.25" customHeight="1" x14ac:dyDescent="0.3">
      <c r="G754" s="6"/>
    </row>
    <row r="755" spans="7:7" ht="14.25" customHeight="1" x14ac:dyDescent="0.3">
      <c r="G755" s="6"/>
    </row>
    <row r="756" spans="7:7" ht="14.25" customHeight="1" x14ac:dyDescent="0.3">
      <c r="G756" s="6"/>
    </row>
    <row r="757" spans="7:7" ht="14.25" customHeight="1" x14ac:dyDescent="0.3">
      <c r="G757" s="6"/>
    </row>
    <row r="758" spans="7:7" ht="14.25" customHeight="1" x14ac:dyDescent="0.3">
      <c r="G758" s="6"/>
    </row>
    <row r="759" spans="7:7" ht="14.25" customHeight="1" x14ac:dyDescent="0.3">
      <c r="G759" s="6"/>
    </row>
    <row r="760" spans="7:7" ht="14.25" customHeight="1" x14ac:dyDescent="0.3">
      <c r="G760" s="6"/>
    </row>
    <row r="761" spans="7:7" ht="14.25" customHeight="1" x14ac:dyDescent="0.3">
      <c r="G761" s="6"/>
    </row>
    <row r="762" spans="7:7" ht="14.25" customHeight="1" x14ac:dyDescent="0.3">
      <c r="G762" s="6"/>
    </row>
    <row r="763" spans="7:7" ht="14.25" customHeight="1" x14ac:dyDescent="0.3">
      <c r="G763" s="6"/>
    </row>
    <row r="764" spans="7:7" ht="14.25" customHeight="1" x14ac:dyDescent="0.3">
      <c r="G764" s="6"/>
    </row>
    <row r="765" spans="7:7" ht="14.25" customHeight="1" x14ac:dyDescent="0.3">
      <c r="G765" s="6"/>
    </row>
    <row r="766" spans="7:7" ht="14.25" customHeight="1" x14ac:dyDescent="0.3">
      <c r="G766" s="6"/>
    </row>
    <row r="767" spans="7:7" ht="14.25" customHeight="1" x14ac:dyDescent="0.3">
      <c r="G767" s="6"/>
    </row>
    <row r="768" spans="7:7" ht="14.25" customHeight="1" x14ac:dyDescent="0.3">
      <c r="G768" s="6"/>
    </row>
    <row r="769" spans="7:7" ht="14.25" customHeight="1" x14ac:dyDescent="0.3">
      <c r="G769" s="6"/>
    </row>
    <row r="770" spans="7:7" ht="14.25" customHeight="1" x14ac:dyDescent="0.3">
      <c r="G770" s="6"/>
    </row>
    <row r="771" spans="7:7" ht="14.25" customHeight="1" x14ac:dyDescent="0.3">
      <c r="G771" s="6"/>
    </row>
    <row r="772" spans="7:7" ht="14.25" customHeight="1" x14ac:dyDescent="0.3">
      <c r="G772" s="6"/>
    </row>
    <row r="773" spans="7:7" ht="14.25" customHeight="1" x14ac:dyDescent="0.3">
      <c r="G773" s="6"/>
    </row>
    <row r="774" spans="7:7" ht="14.25" customHeight="1" x14ac:dyDescent="0.3">
      <c r="G774" s="6"/>
    </row>
    <row r="775" spans="7:7" ht="14.25" customHeight="1" x14ac:dyDescent="0.3">
      <c r="G775" s="6"/>
    </row>
    <row r="776" spans="7:7" ht="14.25" customHeight="1" x14ac:dyDescent="0.3">
      <c r="G776" s="6"/>
    </row>
    <row r="777" spans="7:7" ht="14.25" customHeight="1" x14ac:dyDescent="0.3">
      <c r="G777" s="6"/>
    </row>
    <row r="778" spans="7:7" ht="14.25" customHeight="1" x14ac:dyDescent="0.3">
      <c r="G778" s="6"/>
    </row>
    <row r="779" spans="7:7" ht="14.25" customHeight="1" x14ac:dyDescent="0.3">
      <c r="G779" s="6"/>
    </row>
    <row r="780" spans="7:7" ht="14.25" customHeight="1" x14ac:dyDescent="0.3">
      <c r="G780" s="6"/>
    </row>
    <row r="781" spans="7:7" ht="14.25" customHeight="1" x14ac:dyDescent="0.3">
      <c r="G781" s="6"/>
    </row>
    <row r="782" spans="7:7" ht="14.25" customHeight="1" x14ac:dyDescent="0.3">
      <c r="G782" s="6"/>
    </row>
    <row r="783" spans="7:7" ht="14.25" customHeight="1" x14ac:dyDescent="0.3">
      <c r="G783" s="6"/>
    </row>
    <row r="784" spans="7:7" ht="14.25" customHeight="1" x14ac:dyDescent="0.3">
      <c r="G784" s="6"/>
    </row>
    <row r="785" spans="7:7" ht="14.25" customHeight="1" x14ac:dyDescent="0.3">
      <c r="G785" s="6"/>
    </row>
    <row r="786" spans="7:7" ht="14.25" customHeight="1" x14ac:dyDescent="0.3">
      <c r="G786" s="6"/>
    </row>
    <row r="787" spans="7:7" ht="14.25" customHeight="1" x14ac:dyDescent="0.3">
      <c r="G787" s="6"/>
    </row>
    <row r="788" spans="7:7" ht="14.25" customHeight="1" x14ac:dyDescent="0.3">
      <c r="G788" s="6"/>
    </row>
    <row r="789" spans="7:7" ht="14.25" customHeight="1" x14ac:dyDescent="0.3">
      <c r="G789" s="6"/>
    </row>
    <row r="790" spans="7:7" ht="14.25" customHeight="1" x14ac:dyDescent="0.3">
      <c r="G790" s="6"/>
    </row>
    <row r="791" spans="7:7" ht="14.25" customHeight="1" x14ac:dyDescent="0.3">
      <c r="G791" s="6"/>
    </row>
    <row r="792" spans="7:7" ht="14.25" customHeight="1" x14ac:dyDescent="0.3">
      <c r="G792" s="6"/>
    </row>
    <row r="793" spans="7:7" ht="14.25" customHeight="1" x14ac:dyDescent="0.3">
      <c r="G793" s="6"/>
    </row>
    <row r="794" spans="7:7" ht="14.25" customHeight="1" x14ac:dyDescent="0.3">
      <c r="G794" s="6"/>
    </row>
    <row r="795" spans="7:7" ht="14.25" customHeight="1" x14ac:dyDescent="0.3">
      <c r="G795" s="6"/>
    </row>
    <row r="796" spans="7:7" ht="14.25" customHeight="1" x14ac:dyDescent="0.3">
      <c r="G796" s="6"/>
    </row>
    <row r="797" spans="7:7" ht="14.25" customHeight="1" x14ac:dyDescent="0.3">
      <c r="G797" s="6"/>
    </row>
    <row r="798" spans="7:7" ht="14.25" customHeight="1" x14ac:dyDescent="0.3">
      <c r="G798" s="6"/>
    </row>
    <row r="799" spans="7:7" ht="14.25" customHeight="1" x14ac:dyDescent="0.3">
      <c r="G799" s="6"/>
    </row>
    <row r="800" spans="7:7" ht="14.25" customHeight="1" x14ac:dyDescent="0.3">
      <c r="G800" s="6"/>
    </row>
    <row r="801" spans="7:7" ht="14.25" customHeight="1" x14ac:dyDescent="0.3">
      <c r="G801" s="6"/>
    </row>
    <row r="802" spans="7:7" ht="14.25" customHeight="1" x14ac:dyDescent="0.3">
      <c r="G802" s="6"/>
    </row>
    <row r="803" spans="7:7" ht="14.25" customHeight="1" x14ac:dyDescent="0.3">
      <c r="G803" s="6"/>
    </row>
    <row r="804" spans="7:7" ht="14.25" customHeight="1" x14ac:dyDescent="0.3">
      <c r="G804" s="6"/>
    </row>
    <row r="805" spans="7:7" ht="14.25" customHeight="1" x14ac:dyDescent="0.3">
      <c r="G805" s="6"/>
    </row>
    <row r="806" spans="7:7" ht="14.25" customHeight="1" x14ac:dyDescent="0.3">
      <c r="G806" s="6"/>
    </row>
    <row r="807" spans="7:7" ht="14.25" customHeight="1" x14ac:dyDescent="0.3">
      <c r="G807" s="6"/>
    </row>
    <row r="808" spans="7:7" ht="14.25" customHeight="1" x14ac:dyDescent="0.3">
      <c r="G808" s="6"/>
    </row>
    <row r="809" spans="7:7" ht="14.25" customHeight="1" x14ac:dyDescent="0.3">
      <c r="G809" s="6"/>
    </row>
    <row r="810" spans="7:7" ht="14.25" customHeight="1" x14ac:dyDescent="0.3">
      <c r="G810" s="6"/>
    </row>
    <row r="811" spans="7:7" ht="14.25" customHeight="1" x14ac:dyDescent="0.3">
      <c r="G811" s="6"/>
    </row>
    <row r="812" spans="7:7" ht="14.25" customHeight="1" x14ac:dyDescent="0.3">
      <c r="G812" s="6"/>
    </row>
    <row r="813" spans="7:7" ht="14.25" customHeight="1" x14ac:dyDescent="0.3">
      <c r="G813" s="6"/>
    </row>
    <row r="814" spans="7:7" ht="14.25" customHeight="1" x14ac:dyDescent="0.3">
      <c r="G814" s="6"/>
    </row>
    <row r="815" spans="7:7" ht="14.25" customHeight="1" x14ac:dyDescent="0.3">
      <c r="G815" s="6"/>
    </row>
    <row r="816" spans="7:7" ht="14.25" customHeight="1" x14ac:dyDescent="0.3">
      <c r="G816" s="6"/>
    </row>
    <row r="817" spans="7:7" ht="14.25" customHeight="1" x14ac:dyDescent="0.3">
      <c r="G817" s="6"/>
    </row>
    <row r="818" spans="7:7" ht="14.25" customHeight="1" x14ac:dyDescent="0.3">
      <c r="G818" s="6"/>
    </row>
    <row r="819" spans="7:7" ht="14.25" customHeight="1" x14ac:dyDescent="0.3">
      <c r="G819" s="6"/>
    </row>
    <row r="820" spans="7:7" ht="14.25" customHeight="1" x14ac:dyDescent="0.3">
      <c r="G820" s="6"/>
    </row>
    <row r="821" spans="7:7" ht="14.25" customHeight="1" x14ac:dyDescent="0.3">
      <c r="G821" s="6"/>
    </row>
    <row r="822" spans="7:7" ht="14.25" customHeight="1" x14ac:dyDescent="0.3">
      <c r="G822" s="6"/>
    </row>
    <row r="823" spans="7:7" ht="14.25" customHeight="1" x14ac:dyDescent="0.3">
      <c r="G823" s="6"/>
    </row>
    <row r="824" spans="7:7" ht="14.25" customHeight="1" x14ac:dyDescent="0.3">
      <c r="G824" s="6"/>
    </row>
    <row r="825" spans="7:7" ht="14.25" customHeight="1" x14ac:dyDescent="0.3">
      <c r="G825" s="6"/>
    </row>
    <row r="826" spans="7:7" ht="14.25" customHeight="1" x14ac:dyDescent="0.3">
      <c r="G826" s="6"/>
    </row>
    <row r="827" spans="7:7" ht="14.25" customHeight="1" x14ac:dyDescent="0.3">
      <c r="G827" s="6"/>
    </row>
    <row r="828" spans="7:7" ht="14.25" customHeight="1" x14ac:dyDescent="0.3">
      <c r="G828" s="6"/>
    </row>
    <row r="829" spans="7:7" ht="14.25" customHeight="1" x14ac:dyDescent="0.3">
      <c r="G829" s="6"/>
    </row>
    <row r="830" spans="7:7" ht="14.25" customHeight="1" x14ac:dyDescent="0.3">
      <c r="G830" s="6"/>
    </row>
    <row r="831" spans="7:7" ht="14.25" customHeight="1" x14ac:dyDescent="0.3">
      <c r="G831" s="6"/>
    </row>
    <row r="832" spans="7:7" ht="14.25" customHeight="1" x14ac:dyDescent="0.3">
      <c r="G832" s="6"/>
    </row>
    <row r="833" spans="7:7" ht="14.25" customHeight="1" x14ac:dyDescent="0.3">
      <c r="G833" s="6"/>
    </row>
    <row r="834" spans="7:7" ht="14.25" customHeight="1" x14ac:dyDescent="0.3">
      <c r="G834" s="6"/>
    </row>
    <row r="835" spans="7:7" ht="14.25" customHeight="1" x14ac:dyDescent="0.3">
      <c r="G835" s="6"/>
    </row>
    <row r="836" spans="7:7" ht="14.25" customHeight="1" x14ac:dyDescent="0.3">
      <c r="G836" s="6"/>
    </row>
    <row r="837" spans="7:7" ht="14.25" customHeight="1" x14ac:dyDescent="0.3">
      <c r="G837" s="6"/>
    </row>
    <row r="838" spans="7:7" ht="14.25" customHeight="1" x14ac:dyDescent="0.3">
      <c r="G838" s="6"/>
    </row>
    <row r="839" spans="7:7" ht="14.25" customHeight="1" x14ac:dyDescent="0.3">
      <c r="G839" s="6"/>
    </row>
    <row r="840" spans="7:7" ht="14.25" customHeight="1" x14ac:dyDescent="0.3">
      <c r="G840" s="6"/>
    </row>
    <row r="841" spans="7:7" ht="14.25" customHeight="1" x14ac:dyDescent="0.3">
      <c r="G841" s="6"/>
    </row>
    <row r="842" spans="7:7" ht="14.25" customHeight="1" x14ac:dyDescent="0.3">
      <c r="G842" s="6"/>
    </row>
    <row r="843" spans="7:7" ht="14.25" customHeight="1" x14ac:dyDescent="0.3">
      <c r="G843" s="6"/>
    </row>
    <row r="844" spans="7:7" ht="14.25" customHeight="1" x14ac:dyDescent="0.3">
      <c r="G844" s="6"/>
    </row>
    <row r="845" spans="7:7" ht="14.25" customHeight="1" x14ac:dyDescent="0.3">
      <c r="G845" s="6"/>
    </row>
    <row r="846" spans="7:7" ht="14.25" customHeight="1" x14ac:dyDescent="0.3">
      <c r="G846" s="6"/>
    </row>
    <row r="847" spans="7:7" ht="14.25" customHeight="1" x14ac:dyDescent="0.3">
      <c r="G847" s="6"/>
    </row>
    <row r="848" spans="7:7" ht="14.25" customHeight="1" x14ac:dyDescent="0.3">
      <c r="G848" s="6"/>
    </row>
    <row r="849" spans="7:7" ht="14.25" customHeight="1" x14ac:dyDescent="0.3">
      <c r="G849" s="6"/>
    </row>
    <row r="850" spans="7:7" ht="14.25" customHeight="1" x14ac:dyDescent="0.3">
      <c r="G850" s="6"/>
    </row>
    <row r="851" spans="7:7" ht="14.25" customHeight="1" x14ac:dyDescent="0.3">
      <c r="G851" s="6"/>
    </row>
    <row r="852" spans="7:7" ht="14.25" customHeight="1" x14ac:dyDescent="0.3">
      <c r="G852" s="6"/>
    </row>
    <row r="853" spans="7:7" ht="14.25" customHeight="1" x14ac:dyDescent="0.3">
      <c r="G853" s="6"/>
    </row>
    <row r="854" spans="7:7" ht="14.25" customHeight="1" x14ac:dyDescent="0.3">
      <c r="G854" s="6"/>
    </row>
    <row r="855" spans="7:7" ht="14.25" customHeight="1" x14ac:dyDescent="0.3">
      <c r="G855" s="6"/>
    </row>
    <row r="856" spans="7:7" ht="14.25" customHeight="1" x14ac:dyDescent="0.3">
      <c r="G856" s="6"/>
    </row>
    <row r="857" spans="7:7" ht="14.25" customHeight="1" x14ac:dyDescent="0.3">
      <c r="G857" s="6"/>
    </row>
    <row r="858" spans="7:7" ht="14.25" customHeight="1" x14ac:dyDescent="0.3">
      <c r="G858" s="6"/>
    </row>
    <row r="859" spans="7:7" ht="14.25" customHeight="1" x14ac:dyDescent="0.3">
      <c r="G859" s="6"/>
    </row>
    <row r="860" spans="7:7" ht="14.25" customHeight="1" x14ac:dyDescent="0.3">
      <c r="G860" s="6"/>
    </row>
    <row r="861" spans="7:7" ht="14.25" customHeight="1" x14ac:dyDescent="0.3">
      <c r="G861" s="6"/>
    </row>
    <row r="862" spans="7:7" ht="14.25" customHeight="1" x14ac:dyDescent="0.3">
      <c r="G862" s="6"/>
    </row>
    <row r="863" spans="7:7" ht="14.25" customHeight="1" x14ac:dyDescent="0.3">
      <c r="G863" s="6"/>
    </row>
    <row r="864" spans="7:7" ht="14.25" customHeight="1" x14ac:dyDescent="0.3">
      <c r="G864" s="6"/>
    </row>
    <row r="865" spans="7:7" ht="14.25" customHeight="1" x14ac:dyDescent="0.3">
      <c r="G865" s="6"/>
    </row>
    <row r="866" spans="7:7" ht="14.25" customHeight="1" x14ac:dyDescent="0.3">
      <c r="G866" s="6"/>
    </row>
    <row r="867" spans="7:7" ht="14.25" customHeight="1" x14ac:dyDescent="0.3">
      <c r="G867" s="6"/>
    </row>
    <row r="868" spans="7:7" ht="14.25" customHeight="1" x14ac:dyDescent="0.3">
      <c r="G868" s="6"/>
    </row>
    <row r="869" spans="7:7" ht="14.25" customHeight="1" x14ac:dyDescent="0.3">
      <c r="G869" s="6"/>
    </row>
    <row r="870" spans="7:7" ht="14.25" customHeight="1" x14ac:dyDescent="0.3">
      <c r="G870" s="6"/>
    </row>
    <row r="871" spans="7:7" ht="14.25" customHeight="1" x14ac:dyDescent="0.3">
      <c r="G871" s="6"/>
    </row>
    <row r="872" spans="7:7" ht="14.25" customHeight="1" x14ac:dyDescent="0.3">
      <c r="G872" s="6"/>
    </row>
    <row r="873" spans="7:7" ht="14.25" customHeight="1" x14ac:dyDescent="0.3">
      <c r="G873" s="6"/>
    </row>
    <row r="874" spans="7:7" ht="14.25" customHeight="1" x14ac:dyDescent="0.3">
      <c r="G874" s="6"/>
    </row>
    <row r="875" spans="7:7" ht="14.25" customHeight="1" x14ac:dyDescent="0.3">
      <c r="G875" s="6"/>
    </row>
    <row r="876" spans="7:7" ht="14.25" customHeight="1" x14ac:dyDescent="0.3">
      <c r="G876" s="6"/>
    </row>
    <row r="877" spans="7:7" ht="14.25" customHeight="1" x14ac:dyDescent="0.3">
      <c r="G877" s="6"/>
    </row>
    <row r="878" spans="7:7" ht="14.25" customHeight="1" x14ac:dyDescent="0.3">
      <c r="G878" s="6"/>
    </row>
    <row r="879" spans="7:7" ht="14.25" customHeight="1" x14ac:dyDescent="0.3">
      <c r="G879" s="6"/>
    </row>
    <row r="880" spans="7:7" ht="14.25" customHeight="1" x14ac:dyDescent="0.3">
      <c r="G880" s="6"/>
    </row>
    <row r="881" spans="7:7" ht="14.25" customHeight="1" x14ac:dyDescent="0.3">
      <c r="G881" s="6"/>
    </row>
    <row r="882" spans="7:7" ht="14.25" customHeight="1" x14ac:dyDescent="0.3">
      <c r="G882" s="6"/>
    </row>
    <row r="883" spans="7:7" ht="14.25" customHeight="1" x14ac:dyDescent="0.3">
      <c r="G883" s="6"/>
    </row>
    <row r="884" spans="7:7" ht="14.25" customHeight="1" x14ac:dyDescent="0.3">
      <c r="G884" s="6"/>
    </row>
    <row r="885" spans="7:7" ht="14.25" customHeight="1" x14ac:dyDescent="0.3">
      <c r="G885" s="6"/>
    </row>
    <row r="886" spans="7:7" ht="14.25" customHeight="1" x14ac:dyDescent="0.3">
      <c r="G886" s="6"/>
    </row>
    <row r="887" spans="7:7" ht="14.25" customHeight="1" x14ac:dyDescent="0.3">
      <c r="G887" s="6"/>
    </row>
    <row r="888" spans="7:7" ht="14.25" customHeight="1" x14ac:dyDescent="0.3">
      <c r="G888" s="6"/>
    </row>
    <row r="889" spans="7:7" ht="14.25" customHeight="1" x14ac:dyDescent="0.3">
      <c r="G889" s="6"/>
    </row>
    <row r="890" spans="7:7" ht="14.25" customHeight="1" x14ac:dyDescent="0.3">
      <c r="G890" s="6"/>
    </row>
    <row r="891" spans="7:7" ht="14.25" customHeight="1" x14ac:dyDescent="0.3">
      <c r="G891" s="6"/>
    </row>
    <row r="892" spans="7:7" ht="14.25" customHeight="1" x14ac:dyDescent="0.3">
      <c r="G892" s="6"/>
    </row>
    <row r="893" spans="7:7" ht="14.25" customHeight="1" x14ac:dyDescent="0.3">
      <c r="G893" s="6"/>
    </row>
    <row r="894" spans="7:7" ht="14.25" customHeight="1" x14ac:dyDescent="0.3">
      <c r="G894" s="6"/>
    </row>
    <row r="895" spans="7:7" ht="14.25" customHeight="1" x14ac:dyDescent="0.3">
      <c r="G895" s="6"/>
    </row>
    <row r="896" spans="7:7" ht="14.25" customHeight="1" x14ac:dyDescent="0.3">
      <c r="G896" s="6"/>
    </row>
    <row r="897" spans="7:7" ht="14.25" customHeight="1" x14ac:dyDescent="0.3">
      <c r="G897" s="6"/>
    </row>
    <row r="898" spans="7:7" ht="14.25" customHeight="1" x14ac:dyDescent="0.3">
      <c r="G898" s="6"/>
    </row>
    <row r="899" spans="7:7" ht="14.25" customHeight="1" x14ac:dyDescent="0.3">
      <c r="G899" s="6"/>
    </row>
    <row r="900" spans="7:7" ht="14.25" customHeight="1" x14ac:dyDescent="0.3">
      <c r="G900" s="6"/>
    </row>
    <row r="901" spans="7:7" ht="14.25" customHeight="1" x14ac:dyDescent="0.3">
      <c r="G901" s="6"/>
    </row>
    <row r="902" spans="7:7" ht="14.25" customHeight="1" x14ac:dyDescent="0.3">
      <c r="G902" s="6"/>
    </row>
    <row r="903" spans="7:7" ht="14.25" customHeight="1" x14ac:dyDescent="0.3">
      <c r="G903" s="6"/>
    </row>
    <row r="904" spans="7:7" ht="14.25" customHeight="1" x14ac:dyDescent="0.3">
      <c r="G904" s="6"/>
    </row>
    <row r="905" spans="7:7" ht="14.25" customHeight="1" x14ac:dyDescent="0.3">
      <c r="G905" s="6"/>
    </row>
    <row r="906" spans="7:7" ht="14.25" customHeight="1" x14ac:dyDescent="0.3">
      <c r="G906" s="6"/>
    </row>
    <row r="907" spans="7:7" ht="14.25" customHeight="1" x14ac:dyDescent="0.3">
      <c r="G907" s="6"/>
    </row>
    <row r="908" spans="7:7" ht="14.25" customHeight="1" x14ac:dyDescent="0.3">
      <c r="G908" s="6"/>
    </row>
    <row r="909" spans="7:7" ht="14.25" customHeight="1" x14ac:dyDescent="0.3">
      <c r="G909" s="6"/>
    </row>
    <row r="910" spans="7:7" ht="14.25" customHeight="1" x14ac:dyDescent="0.3">
      <c r="G910" s="6"/>
    </row>
    <row r="911" spans="7:7" ht="14.25" customHeight="1" x14ac:dyDescent="0.3">
      <c r="G911" s="6"/>
    </row>
    <row r="912" spans="7:7" ht="14.25" customHeight="1" x14ac:dyDescent="0.3">
      <c r="G912" s="6"/>
    </row>
    <row r="913" spans="7:7" ht="14.25" customHeight="1" x14ac:dyDescent="0.3">
      <c r="G913" s="6"/>
    </row>
    <row r="914" spans="7:7" ht="14.25" customHeight="1" x14ac:dyDescent="0.3">
      <c r="G914" s="6"/>
    </row>
    <row r="915" spans="7:7" ht="14.25" customHeight="1" x14ac:dyDescent="0.3">
      <c r="G915" s="6"/>
    </row>
    <row r="916" spans="7:7" ht="14.25" customHeight="1" x14ac:dyDescent="0.3">
      <c r="G916" s="6"/>
    </row>
    <row r="917" spans="7:7" ht="14.25" customHeight="1" x14ac:dyDescent="0.3">
      <c r="G917" s="6"/>
    </row>
    <row r="918" spans="7:7" ht="14.25" customHeight="1" x14ac:dyDescent="0.3">
      <c r="G918" s="6"/>
    </row>
    <row r="919" spans="7:7" ht="14.25" customHeight="1" x14ac:dyDescent="0.3">
      <c r="G919" s="6"/>
    </row>
    <row r="920" spans="7:7" ht="14.25" customHeight="1" x14ac:dyDescent="0.3">
      <c r="G920" s="6"/>
    </row>
    <row r="921" spans="7:7" ht="14.25" customHeight="1" x14ac:dyDescent="0.3">
      <c r="G921" s="6"/>
    </row>
    <row r="922" spans="7:7" ht="14.25" customHeight="1" x14ac:dyDescent="0.3">
      <c r="G922" s="6"/>
    </row>
    <row r="923" spans="7:7" ht="14.25" customHeight="1" x14ac:dyDescent="0.3">
      <c r="G923" s="6"/>
    </row>
    <row r="924" spans="7:7" ht="14.25" customHeight="1" x14ac:dyDescent="0.3">
      <c r="G924" s="6"/>
    </row>
    <row r="925" spans="7:7" ht="14.25" customHeight="1" x14ac:dyDescent="0.3">
      <c r="G925" s="6"/>
    </row>
    <row r="926" spans="7:7" ht="14.25" customHeight="1" x14ac:dyDescent="0.3">
      <c r="G926" s="6"/>
    </row>
    <row r="927" spans="7:7" ht="14.25" customHeight="1" x14ac:dyDescent="0.3">
      <c r="G927" s="6"/>
    </row>
    <row r="928" spans="7:7" ht="14.25" customHeight="1" x14ac:dyDescent="0.3">
      <c r="G928" s="6"/>
    </row>
    <row r="929" spans="7:7" ht="14.25" customHeight="1" x14ac:dyDescent="0.3">
      <c r="G929" s="6"/>
    </row>
    <row r="930" spans="7:7" ht="14.25" customHeight="1" x14ac:dyDescent="0.3">
      <c r="G930" s="6"/>
    </row>
    <row r="931" spans="7:7" ht="14.25" customHeight="1" x14ac:dyDescent="0.3">
      <c r="G931" s="6"/>
    </row>
    <row r="932" spans="7:7" ht="14.25" customHeight="1" x14ac:dyDescent="0.3">
      <c r="G932" s="6"/>
    </row>
    <row r="933" spans="7:7" ht="14.25" customHeight="1" x14ac:dyDescent="0.3">
      <c r="G933" s="6"/>
    </row>
    <row r="934" spans="7:7" ht="14.25" customHeight="1" x14ac:dyDescent="0.3">
      <c r="G934" s="6"/>
    </row>
    <row r="935" spans="7:7" ht="14.25" customHeight="1" x14ac:dyDescent="0.3">
      <c r="G935" s="6"/>
    </row>
    <row r="936" spans="7:7" ht="14.25" customHeight="1" x14ac:dyDescent="0.3">
      <c r="G936" s="6"/>
    </row>
    <row r="937" spans="7:7" ht="14.25" customHeight="1" x14ac:dyDescent="0.3">
      <c r="G937" s="6"/>
    </row>
    <row r="938" spans="7:7" ht="14.25" customHeight="1" x14ac:dyDescent="0.3">
      <c r="G938" s="6"/>
    </row>
    <row r="939" spans="7:7" ht="14.25" customHeight="1" x14ac:dyDescent="0.3">
      <c r="G939" s="6"/>
    </row>
    <row r="940" spans="7:7" ht="14.25" customHeight="1" x14ac:dyDescent="0.3">
      <c r="G940" s="6"/>
    </row>
    <row r="941" spans="7:7" ht="14.25" customHeight="1" x14ac:dyDescent="0.3">
      <c r="G941" s="6"/>
    </row>
    <row r="942" spans="7:7" ht="14.25" customHeight="1" x14ac:dyDescent="0.3">
      <c r="G942" s="6"/>
    </row>
    <row r="943" spans="7:7" ht="14.25" customHeight="1" x14ac:dyDescent="0.3">
      <c r="G943" s="6"/>
    </row>
    <row r="944" spans="7:7" ht="14.25" customHeight="1" x14ac:dyDescent="0.3">
      <c r="G944" s="6"/>
    </row>
    <row r="945" spans="7:7" ht="14.25" customHeight="1" x14ac:dyDescent="0.3">
      <c r="G945" s="6"/>
    </row>
    <row r="946" spans="7:7" ht="14.25" customHeight="1" x14ac:dyDescent="0.3">
      <c r="G946" s="6"/>
    </row>
    <row r="947" spans="7:7" ht="14.25" customHeight="1" x14ac:dyDescent="0.3">
      <c r="G947" s="6"/>
    </row>
    <row r="948" spans="7:7" ht="14.25" customHeight="1" x14ac:dyDescent="0.3">
      <c r="G948" s="6"/>
    </row>
    <row r="949" spans="7:7" ht="14.25" customHeight="1" x14ac:dyDescent="0.3">
      <c r="G949" s="6"/>
    </row>
    <row r="950" spans="7:7" ht="14.25" customHeight="1" x14ac:dyDescent="0.3">
      <c r="G950" s="6"/>
    </row>
    <row r="951" spans="7:7" ht="14.25" customHeight="1" x14ac:dyDescent="0.3">
      <c r="G951" s="6"/>
    </row>
    <row r="952" spans="7:7" ht="14.25" customHeight="1" x14ac:dyDescent="0.3">
      <c r="G952" s="6"/>
    </row>
    <row r="953" spans="7:7" ht="14.25" customHeight="1" x14ac:dyDescent="0.3">
      <c r="G953" s="6"/>
    </row>
    <row r="954" spans="7:7" ht="14.25" customHeight="1" x14ac:dyDescent="0.3">
      <c r="G954" s="6"/>
    </row>
    <row r="955" spans="7:7" ht="14.25" customHeight="1" x14ac:dyDescent="0.3">
      <c r="G955" s="6"/>
    </row>
    <row r="956" spans="7:7" ht="14.25" customHeight="1" x14ac:dyDescent="0.3">
      <c r="G956" s="6"/>
    </row>
    <row r="957" spans="7:7" ht="14.25" customHeight="1" x14ac:dyDescent="0.3">
      <c r="G957" s="6"/>
    </row>
    <row r="958" spans="7:7" ht="14.25" customHeight="1" x14ac:dyDescent="0.3">
      <c r="G958" s="6"/>
    </row>
    <row r="959" spans="7:7" ht="14.25" customHeight="1" x14ac:dyDescent="0.3">
      <c r="G959" s="6"/>
    </row>
    <row r="960" spans="7:7" ht="14.25" customHeight="1" x14ac:dyDescent="0.3">
      <c r="G960" s="6"/>
    </row>
    <row r="961" spans="7:7" ht="14.25" customHeight="1" x14ac:dyDescent="0.3">
      <c r="G961" s="6"/>
    </row>
    <row r="962" spans="7:7" ht="14.25" customHeight="1" x14ac:dyDescent="0.3">
      <c r="G962" s="6"/>
    </row>
    <row r="963" spans="7:7" ht="14.25" customHeight="1" x14ac:dyDescent="0.3">
      <c r="G963" s="6"/>
    </row>
    <row r="964" spans="7:7" ht="14.25" customHeight="1" x14ac:dyDescent="0.3">
      <c r="G964" s="6"/>
    </row>
    <row r="965" spans="7:7" ht="14.25" customHeight="1" x14ac:dyDescent="0.3">
      <c r="G965" s="6"/>
    </row>
    <row r="966" spans="7:7" ht="14.25" customHeight="1" x14ac:dyDescent="0.3">
      <c r="G966" s="6"/>
    </row>
    <row r="967" spans="7:7" ht="14.25" customHeight="1" x14ac:dyDescent="0.3">
      <c r="G967" s="6"/>
    </row>
    <row r="968" spans="7:7" ht="14.25" customHeight="1" x14ac:dyDescent="0.3">
      <c r="G968" s="6"/>
    </row>
    <row r="969" spans="7:7" ht="14.25" customHeight="1" x14ac:dyDescent="0.3">
      <c r="G969" s="6"/>
    </row>
    <row r="970" spans="7:7" ht="14.25" customHeight="1" x14ac:dyDescent="0.3">
      <c r="G970" s="6"/>
    </row>
    <row r="971" spans="7:7" ht="14.25" customHeight="1" x14ac:dyDescent="0.3">
      <c r="G971" s="6"/>
    </row>
    <row r="972" spans="7:7" ht="14.25" customHeight="1" x14ac:dyDescent="0.3">
      <c r="G972" s="6"/>
    </row>
    <row r="973" spans="7:7" ht="14.25" customHeight="1" x14ac:dyDescent="0.3">
      <c r="G973" s="6"/>
    </row>
    <row r="974" spans="7:7" ht="14.25" customHeight="1" x14ac:dyDescent="0.3">
      <c r="G974" s="6"/>
    </row>
    <row r="975" spans="7:7" ht="14.25" customHeight="1" x14ac:dyDescent="0.3">
      <c r="G975" s="6"/>
    </row>
    <row r="976" spans="7:7" ht="14.25" customHeight="1" x14ac:dyDescent="0.3">
      <c r="G976" s="6"/>
    </row>
    <row r="977" spans="7:7" ht="14.25" customHeight="1" x14ac:dyDescent="0.3">
      <c r="G977" s="6"/>
    </row>
    <row r="978" spans="7:7" ht="14.25" customHeight="1" x14ac:dyDescent="0.3">
      <c r="G978" s="6"/>
    </row>
    <row r="979" spans="7:7" ht="14.25" customHeight="1" x14ac:dyDescent="0.3">
      <c r="G979" s="6"/>
    </row>
    <row r="980" spans="7:7" ht="14.25" customHeight="1" x14ac:dyDescent="0.3">
      <c r="G980" s="6"/>
    </row>
    <row r="981" spans="7:7" ht="14.25" customHeight="1" x14ac:dyDescent="0.3">
      <c r="G981" s="6"/>
    </row>
    <row r="982" spans="7:7" ht="14.25" customHeight="1" x14ac:dyDescent="0.3">
      <c r="G982" s="6"/>
    </row>
    <row r="983" spans="7:7" ht="14.25" customHeight="1" x14ac:dyDescent="0.3">
      <c r="G983" s="6"/>
    </row>
    <row r="984" spans="7:7" ht="14.25" customHeight="1" x14ac:dyDescent="0.3">
      <c r="G984" s="6"/>
    </row>
    <row r="985" spans="7:7" ht="14.25" customHeight="1" x14ac:dyDescent="0.3">
      <c r="G985" s="6"/>
    </row>
    <row r="986" spans="7:7" ht="14.25" customHeight="1" x14ac:dyDescent="0.3">
      <c r="G986" s="6"/>
    </row>
    <row r="987" spans="7:7" ht="14.25" customHeight="1" x14ac:dyDescent="0.3">
      <c r="G987" s="6"/>
    </row>
    <row r="988" spans="7:7" ht="14.25" customHeight="1" x14ac:dyDescent="0.3">
      <c r="G988" s="6"/>
    </row>
    <row r="989" spans="7:7" ht="14.25" customHeight="1" x14ac:dyDescent="0.3">
      <c r="G989" s="6"/>
    </row>
    <row r="990" spans="7:7" ht="14.25" customHeight="1" x14ac:dyDescent="0.3">
      <c r="G990" s="6"/>
    </row>
    <row r="991" spans="7:7" ht="14.25" customHeight="1" x14ac:dyDescent="0.3">
      <c r="G991" s="6"/>
    </row>
    <row r="992" spans="7:7" ht="14.25" customHeight="1" x14ac:dyDescent="0.3">
      <c r="G992" s="6"/>
    </row>
    <row r="993" spans="7:7" ht="14.25" customHeight="1" x14ac:dyDescent="0.3">
      <c r="G993" s="6"/>
    </row>
    <row r="994" spans="7:7" ht="14.25" customHeight="1" x14ac:dyDescent="0.3">
      <c r="G994" s="6"/>
    </row>
    <row r="995" spans="7:7" ht="14.25" customHeight="1" x14ac:dyDescent="0.3">
      <c r="G995" s="6"/>
    </row>
    <row r="996" spans="7:7" ht="14.25" customHeight="1" x14ac:dyDescent="0.3">
      <c r="G996" s="6"/>
    </row>
    <row r="997" spans="7:7" ht="14.25" customHeight="1" x14ac:dyDescent="0.3">
      <c r="G997" s="6"/>
    </row>
    <row r="998" spans="7:7" ht="14.25" customHeight="1" x14ac:dyDescent="0.3">
      <c r="G998" s="6"/>
    </row>
    <row r="999" spans="7:7" ht="14.25" customHeight="1" x14ac:dyDescent="0.3">
      <c r="G999" s="6"/>
    </row>
    <row r="1000" spans="7:7" ht="14.25" customHeight="1" x14ac:dyDescent="0.3">
      <c r="G1000" s="6"/>
    </row>
    <row r="1001" spans="7:7" ht="14.25" customHeight="1" x14ac:dyDescent="0.3">
      <c r="G1001" s="6"/>
    </row>
    <row r="1002" spans="7:7" ht="14.25" customHeight="1" x14ac:dyDescent="0.3">
      <c r="G1002" s="6"/>
    </row>
    <row r="1003" spans="7:7" ht="14.25" customHeight="1" x14ac:dyDescent="0.3">
      <c r="G1003" s="6"/>
    </row>
  </sheetData>
  <mergeCells count="2">
    <mergeCell ref="A1:I1"/>
    <mergeCell ref="A2:I2"/>
  </mergeCells>
  <conditionalFormatting sqref="A5:C16">
    <cfRule type="cellIs" dxfId="1" priority="1" operator="equal">
      <formula>1</formula>
    </cfRule>
    <cfRule type="cellIs" dxfId="0" priority="2" operator="equal">
      <formula>-1</formula>
    </cfRule>
  </conditionalFormatting>
  <hyperlinks>
    <hyperlink ref="I5" r:id="rId1" xr:uid="{00000000-0004-0000-0100-000000000000}"/>
    <hyperlink ref="I6" r:id="rId2" xr:uid="{00000000-0004-0000-0100-000001000000}"/>
    <hyperlink ref="I8" r:id="rId3" xr:uid="{00000000-0004-0000-0100-000002000000}"/>
    <hyperlink ref="I9" r:id="rId4" xr:uid="{00000000-0004-0000-0100-000003000000}"/>
    <hyperlink ref="I10" r:id="rId5" xr:uid="{00000000-0004-0000-0100-000004000000}"/>
    <hyperlink ref="I11" r:id="rId6" xr:uid="{00000000-0004-0000-0100-000005000000}"/>
    <hyperlink ref="I12" r:id="rId7" location="polycard_client=search-nordic&amp;searchVariation=MCO2004232752&amp;position=8&amp;search_layout=grid&amp;type=product&amp;tracking_id=b77bc5a7-b18f-4379-90b1-b9028b41be04&amp;wid=MCO2825319590&amp;sid=search" xr:uid="{00000000-0004-0000-0100-000006000000}"/>
    <hyperlink ref="I13" r:id="rId8" xr:uid="{00000000-0004-0000-0100-000007000000}"/>
    <hyperlink ref="I14" r:id="rId9" xr:uid="{00000000-0004-0000-0100-000008000000}"/>
    <hyperlink ref="I15" r:id="rId10" xr:uid="{00000000-0004-0000-0100-000009000000}"/>
    <hyperlink ref="I16" r:id="rId11" xr:uid="{00000000-0004-0000-0100-00000A000000}"/>
  </hyperlinks>
  <pageMargins left="0.7" right="0.7" top="0.75" bottom="0.75" header="0" footer="0"/>
  <pageSetup scale="52" orientation="landscape" r:id="rId12"/>
  <tableParts count="1">
    <tablePart r:id="rId1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V989"/>
  <sheetViews>
    <sheetView topLeftCell="C13" zoomScale="52" zoomScaleNormal="52" workbookViewId="0">
      <selection activeCell="H60" sqref="H60"/>
    </sheetView>
  </sheetViews>
  <sheetFormatPr baseColWidth="10" defaultColWidth="14.44140625" defaultRowHeight="15" customHeight="1" x14ac:dyDescent="0.3"/>
  <cols>
    <col min="1" max="1" width="7.5546875" bestFit="1" customWidth="1"/>
    <col min="2" max="2" width="39.21875" bestFit="1" customWidth="1"/>
    <col min="3" max="3" width="27.6640625" customWidth="1"/>
    <col min="4" max="4" width="23.6640625" bestFit="1" customWidth="1"/>
    <col min="5" max="5" width="18.33203125" bestFit="1" customWidth="1"/>
    <col min="6" max="7" width="19.5546875" bestFit="1" customWidth="1"/>
    <col min="8" max="8" width="18.6640625" bestFit="1" customWidth="1"/>
    <col min="9" max="9" width="19.109375" bestFit="1" customWidth="1"/>
    <col min="10" max="10" width="19.5546875" bestFit="1" customWidth="1"/>
    <col min="11" max="11" width="18.6640625" bestFit="1" customWidth="1"/>
    <col min="12" max="14" width="19.5546875" bestFit="1" customWidth="1"/>
    <col min="15" max="15" width="19.109375" bestFit="1" customWidth="1"/>
    <col min="16" max="16" width="19.5546875" bestFit="1" customWidth="1"/>
    <col min="17" max="17" width="20" bestFit="1" customWidth="1"/>
    <col min="18" max="20" width="22.33203125" bestFit="1" customWidth="1"/>
    <col min="21" max="21" width="22.88671875" bestFit="1" customWidth="1"/>
    <col min="22" max="22" width="18" customWidth="1"/>
    <col min="23" max="23" width="16.44140625" customWidth="1"/>
    <col min="24" max="26" width="10.6640625" customWidth="1"/>
  </cols>
  <sheetData>
    <row r="1" spans="1:18" ht="14.25" customHeight="1" x14ac:dyDescent="0.3">
      <c r="A1" s="88" t="s">
        <v>48</v>
      </c>
      <c r="B1" s="89"/>
      <c r="C1" s="89"/>
      <c r="D1" s="89"/>
      <c r="E1" s="89"/>
      <c r="F1" s="89"/>
      <c r="G1" s="89"/>
      <c r="H1" s="89"/>
      <c r="I1" s="89"/>
      <c r="J1" s="89"/>
      <c r="K1" s="89"/>
      <c r="L1" s="89"/>
      <c r="M1" s="89"/>
      <c r="N1" s="90"/>
    </row>
    <row r="2" spans="1:18" ht="40.799999999999997" customHeight="1" x14ac:dyDescent="0.4">
      <c r="A2" s="231" t="s">
        <v>276</v>
      </c>
      <c r="B2" s="232"/>
      <c r="C2" s="232"/>
      <c r="D2" s="232"/>
      <c r="E2" s="232"/>
      <c r="F2" s="232"/>
      <c r="G2" s="232"/>
      <c r="H2" s="232"/>
      <c r="I2" s="232"/>
      <c r="J2" s="232"/>
      <c r="K2" s="232"/>
      <c r="L2" s="232"/>
      <c r="M2" s="232"/>
      <c r="N2" s="233"/>
    </row>
    <row r="4" spans="1:18" ht="14.25" customHeight="1" x14ac:dyDescent="0.3"/>
    <row r="6" spans="1:18" ht="14.25" customHeight="1" x14ac:dyDescent="0.3">
      <c r="B6" s="91" t="s">
        <v>49</v>
      </c>
      <c r="C6" s="91" t="s">
        <v>50</v>
      </c>
      <c r="E6" s="93" t="s">
        <v>51</v>
      </c>
      <c r="F6" s="84"/>
      <c r="G6" s="85"/>
      <c r="H6" s="93" t="s">
        <v>52</v>
      </c>
      <c r="I6" s="84"/>
      <c r="J6" s="85"/>
    </row>
    <row r="7" spans="1:18" ht="28.8" x14ac:dyDescent="0.3">
      <c r="B7" s="92"/>
      <c r="C7" s="92"/>
      <c r="E7" s="9" t="s">
        <v>6</v>
      </c>
      <c r="F7" s="9" t="s">
        <v>7</v>
      </c>
      <c r="G7" s="9" t="s">
        <v>53</v>
      </c>
      <c r="H7" s="9" t="s">
        <v>6</v>
      </c>
      <c r="I7" s="9" t="s">
        <v>7</v>
      </c>
      <c r="J7" s="9" t="s">
        <v>8</v>
      </c>
    </row>
    <row r="8" spans="1:18" ht="14.25" customHeight="1" x14ac:dyDescent="0.3">
      <c r="B8" s="4">
        <f>35000</f>
        <v>35000</v>
      </c>
      <c r="C8" s="10">
        <v>0.04</v>
      </c>
      <c r="E8" s="11">
        <f>SUMIF('Componentes Patinetas'!$A$5:$A$16,1,'Componentes Patinetas'!$G$5:$G$16)*1.2</f>
        <v>929.71199999999999</v>
      </c>
      <c r="F8" s="11">
        <f>SUMIF('Componentes Patinetas'!$B$5:$B$16,1,'Componentes Patinetas'!$G$5:$G$16)*1.2</f>
        <v>1615.2359999999999</v>
      </c>
      <c r="G8" s="11">
        <f>SUMIF('Componentes Patinetas'!$C$5:$C$16,1,'Componentes Patinetas'!$G$5:$G$16)*1.2</f>
        <v>1705.3319999999999</v>
      </c>
      <c r="H8" s="12">
        <f>2/4</f>
        <v>0.5</v>
      </c>
      <c r="I8" s="12">
        <f t="shared" ref="I8:J8" si="0">1/4</f>
        <v>0.25</v>
      </c>
      <c r="J8" s="12">
        <f t="shared" si="0"/>
        <v>0.25</v>
      </c>
    </row>
    <row r="9" spans="1:18" ht="57.6" x14ac:dyDescent="0.3">
      <c r="B9" s="9" t="s">
        <v>54</v>
      </c>
      <c r="C9" s="9" t="s">
        <v>55</v>
      </c>
      <c r="D9" s="13"/>
      <c r="E9" s="127"/>
      <c r="F9" s="127"/>
      <c r="G9" s="127"/>
    </row>
    <row r="10" spans="1:18" ht="14.25" customHeight="1" x14ac:dyDescent="0.3">
      <c r="B10" s="10">
        <f>0.05</f>
        <v>0.05</v>
      </c>
      <c r="C10" s="10">
        <v>0.01</v>
      </c>
      <c r="D10" s="14"/>
      <c r="M10" s="5"/>
      <c r="N10" s="5"/>
      <c r="O10" s="5"/>
      <c r="P10" s="5"/>
      <c r="Q10" s="5"/>
      <c r="R10" s="5"/>
    </row>
    <row r="11" spans="1:18" ht="14.25" customHeight="1" x14ac:dyDescent="0.3">
      <c r="M11" s="15"/>
      <c r="N11" s="8"/>
      <c r="O11" s="8"/>
      <c r="P11" s="8"/>
      <c r="Q11" s="8"/>
      <c r="R11" s="5"/>
    </row>
    <row r="12" spans="1:18" ht="14.25" customHeight="1" x14ac:dyDescent="0.3">
      <c r="B12" s="16" t="s">
        <v>56</v>
      </c>
      <c r="C12" s="16" t="s">
        <v>56</v>
      </c>
      <c r="D12" s="16" t="s">
        <v>56</v>
      </c>
      <c r="E12" s="16" t="s">
        <v>57</v>
      </c>
      <c r="F12" s="87" t="s">
        <v>56</v>
      </c>
      <c r="G12" s="84"/>
      <c r="H12" s="85"/>
      <c r="I12" s="87" t="s">
        <v>57</v>
      </c>
      <c r="J12" s="84"/>
      <c r="K12" s="85"/>
      <c r="M12" s="5"/>
      <c r="N12" s="17"/>
      <c r="O12" s="17"/>
      <c r="P12" s="17"/>
      <c r="Q12" s="17"/>
      <c r="R12" s="5"/>
    </row>
    <row r="13" spans="1:18" ht="28.8" x14ac:dyDescent="0.3">
      <c r="A13" s="18" t="s">
        <v>58</v>
      </c>
      <c r="B13" s="19" t="s">
        <v>59</v>
      </c>
      <c r="C13" s="19" t="s">
        <v>60</v>
      </c>
      <c r="D13" s="19" t="s">
        <v>61</v>
      </c>
      <c r="E13" s="19" t="s">
        <v>61</v>
      </c>
      <c r="F13" s="20" t="s">
        <v>6</v>
      </c>
      <c r="G13" s="20" t="s">
        <v>7</v>
      </c>
      <c r="H13" s="20" t="s">
        <v>8</v>
      </c>
      <c r="I13" s="20" t="s">
        <v>6</v>
      </c>
      <c r="J13" s="20" t="s">
        <v>7</v>
      </c>
      <c r="K13" s="20" t="s">
        <v>8</v>
      </c>
      <c r="M13" s="5"/>
      <c r="N13" s="17"/>
      <c r="O13" s="17"/>
      <c r="P13" s="21"/>
      <c r="Q13" s="17"/>
      <c r="R13" s="5"/>
    </row>
    <row r="14" spans="1:18" ht="14.25" hidden="1" customHeight="1" x14ac:dyDescent="0.3">
      <c r="A14" s="22">
        <v>0</v>
      </c>
      <c r="B14" s="23">
        <f t="shared" ref="B14:C14" si="1">B8</f>
        <v>35000</v>
      </c>
      <c r="C14" s="24">
        <f t="shared" si="1"/>
        <v>0.04</v>
      </c>
      <c r="D14" s="23">
        <f t="shared" ref="D14:D19" si="2">ROUND(B14*C14,0)</f>
        <v>1400</v>
      </c>
      <c r="E14" s="25">
        <f t="shared" ref="E14:E19" si="3">ROUND(D14/12,0)</f>
        <v>117</v>
      </c>
      <c r="F14" s="25">
        <f t="shared" ref="F14:H14" si="4">ROUND($D14*H$8,0)</f>
        <v>700</v>
      </c>
      <c r="G14" s="25">
        <f t="shared" si="4"/>
        <v>350</v>
      </c>
      <c r="H14" s="25">
        <f t="shared" si="4"/>
        <v>350</v>
      </c>
      <c r="I14" s="25">
        <f t="shared" ref="I14:K14" si="5">ROUND($E14*H$8,0)</f>
        <v>59</v>
      </c>
      <c r="J14" s="25">
        <f t="shared" si="5"/>
        <v>29</v>
      </c>
      <c r="K14" s="25">
        <f t="shared" si="5"/>
        <v>29</v>
      </c>
      <c r="M14" s="5"/>
      <c r="N14" s="17"/>
      <c r="O14" s="17"/>
      <c r="P14" s="17"/>
      <c r="Q14" s="17"/>
      <c r="R14" s="5"/>
    </row>
    <row r="15" spans="1:18" ht="14.25" customHeight="1" x14ac:dyDescent="0.3">
      <c r="A15" s="26">
        <v>1</v>
      </c>
      <c r="B15" s="23">
        <f>B8*(1+$B$10)</f>
        <v>36750</v>
      </c>
      <c r="C15" s="24">
        <f t="shared" ref="C15:C19" si="6">C14+$C$10</f>
        <v>0.05</v>
      </c>
      <c r="D15" s="23">
        <f t="shared" si="2"/>
        <v>1838</v>
      </c>
      <c r="E15" s="25">
        <f t="shared" si="3"/>
        <v>153</v>
      </c>
      <c r="F15" s="25">
        <f t="shared" ref="F15:H15" si="7">ROUND($D15*H$8,0)</f>
        <v>919</v>
      </c>
      <c r="G15" s="25">
        <f t="shared" si="7"/>
        <v>460</v>
      </c>
      <c r="H15" s="25">
        <f t="shared" si="7"/>
        <v>460</v>
      </c>
      <c r="I15" s="25">
        <f t="shared" ref="I15:K15" si="8">ROUND($E15*H$8,0)</f>
        <v>77</v>
      </c>
      <c r="J15" s="25">
        <f t="shared" si="8"/>
        <v>38</v>
      </c>
      <c r="K15" s="25">
        <f t="shared" si="8"/>
        <v>38</v>
      </c>
      <c r="M15" s="5"/>
      <c r="N15" s="5"/>
      <c r="O15" s="5"/>
      <c r="P15" s="5"/>
      <c r="Q15" s="5"/>
      <c r="R15" s="5"/>
    </row>
    <row r="16" spans="1:18" ht="14.25" customHeight="1" x14ac:dyDescent="0.3">
      <c r="A16" s="26">
        <v>2</v>
      </c>
      <c r="B16" s="23">
        <f t="shared" ref="B16:B19" si="9">B15*(1+$B$10)</f>
        <v>38587.5</v>
      </c>
      <c r="C16" s="24">
        <f t="shared" si="6"/>
        <v>6.0000000000000005E-2</v>
      </c>
      <c r="D16" s="23">
        <f t="shared" si="2"/>
        <v>2315</v>
      </c>
      <c r="E16" s="25">
        <f t="shared" si="3"/>
        <v>193</v>
      </c>
      <c r="F16" s="25">
        <f t="shared" ref="F16:H16" si="10">ROUND($D16*H$8,0)</f>
        <v>1158</v>
      </c>
      <c r="G16" s="25">
        <f t="shared" si="10"/>
        <v>579</v>
      </c>
      <c r="H16" s="25">
        <f t="shared" si="10"/>
        <v>579</v>
      </c>
      <c r="I16" s="25">
        <f t="shared" ref="I16:K16" si="11">ROUND($E16*H$8,0)</f>
        <v>97</v>
      </c>
      <c r="J16" s="25">
        <f t="shared" si="11"/>
        <v>48</v>
      </c>
      <c r="K16" s="25">
        <f t="shared" si="11"/>
        <v>48</v>
      </c>
      <c r="M16" s="5"/>
      <c r="N16" s="5"/>
      <c r="O16" s="5"/>
      <c r="P16" s="5"/>
      <c r="Q16" s="5"/>
      <c r="R16" s="5"/>
    </row>
    <row r="17" spans="1:22" ht="14.25" customHeight="1" x14ac:dyDescent="0.3">
      <c r="A17" s="26">
        <v>3</v>
      </c>
      <c r="B17" s="23">
        <f t="shared" si="9"/>
        <v>40516.875</v>
      </c>
      <c r="C17" s="24">
        <f t="shared" si="6"/>
        <v>7.0000000000000007E-2</v>
      </c>
      <c r="D17" s="23">
        <f t="shared" si="2"/>
        <v>2836</v>
      </c>
      <c r="E17" s="25">
        <f t="shared" si="3"/>
        <v>236</v>
      </c>
      <c r="F17" s="25">
        <f t="shared" ref="F17:H17" si="12">ROUND($D17*H$8,0)</f>
        <v>1418</v>
      </c>
      <c r="G17" s="25">
        <f t="shared" si="12"/>
        <v>709</v>
      </c>
      <c r="H17" s="25">
        <f t="shared" si="12"/>
        <v>709</v>
      </c>
      <c r="I17" s="25">
        <f t="shared" ref="I17:K17" si="13">ROUND($E17*H$8,0)</f>
        <v>118</v>
      </c>
      <c r="J17" s="25">
        <f t="shared" si="13"/>
        <v>59</v>
      </c>
      <c r="K17" s="25">
        <f t="shared" si="13"/>
        <v>59</v>
      </c>
    </row>
    <row r="18" spans="1:22" ht="14.25" customHeight="1" x14ac:dyDescent="0.3">
      <c r="A18" s="26">
        <v>4</v>
      </c>
      <c r="B18" s="23">
        <f t="shared" si="9"/>
        <v>42542.71875</v>
      </c>
      <c r="C18" s="24">
        <f t="shared" si="6"/>
        <v>0.08</v>
      </c>
      <c r="D18" s="23">
        <f t="shared" si="2"/>
        <v>3403</v>
      </c>
      <c r="E18" s="25">
        <f t="shared" si="3"/>
        <v>284</v>
      </c>
      <c r="F18" s="25">
        <f t="shared" ref="F18:H18" si="14">ROUND($D18*H$8,0)</f>
        <v>1702</v>
      </c>
      <c r="G18" s="25">
        <f t="shared" si="14"/>
        <v>851</v>
      </c>
      <c r="H18" s="25">
        <f t="shared" si="14"/>
        <v>851</v>
      </c>
      <c r="I18" s="25">
        <f t="shared" ref="I18:K18" si="15">ROUND($E18*H$8,0)</f>
        <v>142</v>
      </c>
      <c r="J18" s="25">
        <f t="shared" si="15"/>
        <v>71</v>
      </c>
      <c r="K18" s="25">
        <f t="shared" si="15"/>
        <v>71</v>
      </c>
    </row>
    <row r="19" spans="1:22" ht="14.25" customHeight="1" x14ac:dyDescent="0.3">
      <c r="A19" s="26">
        <v>5</v>
      </c>
      <c r="B19" s="23">
        <f t="shared" si="9"/>
        <v>44669.854687500003</v>
      </c>
      <c r="C19" s="24">
        <f t="shared" si="6"/>
        <v>0.09</v>
      </c>
      <c r="D19" s="23">
        <f t="shared" si="2"/>
        <v>4020</v>
      </c>
      <c r="E19" s="25">
        <f t="shared" si="3"/>
        <v>335</v>
      </c>
      <c r="F19" s="25">
        <f t="shared" ref="F19:H19" si="16">ROUND($D19*H$8,0)</f>
        <v>2010</v>
      </c>
      <c r="G19" s="25">
        <f t="shared" si="16"/>
        <v>1005</v>
      </c>
      <c r="H19" s="25">
        <f t="shared" si="16"/>
        <v>1005</v>
      </c>
      <c r="I19" s="25">
        <f t="shared" ref="I19:K19" si="17">ROUND($E19*H$8,0)</f>
        <v>168</v>
      </c>
      <c r="J19" s="25">
        <f t="shared" si="17"/>
        <v>84</v>
      </c>
      <c r="K19" s="25">
        <f t="shared" si="17"/>
        <v>84</v>
      </c>
    </row>
    <row r="20" spans="1:22" ht="14.25" customHeight="1" x14ac:dyDescent="0.3"/>
    <row r="21" spans="1:22" ht="49.8" customHeight="1" x14ac:dyDescent="0.4">
      <c r="A21" s="231" t="s">
        <v>279</v>
      </c>
      <c r="B21" s="232"/>
      <c r="C21" s="232"/>
      <c r="D21" s="232"/>
      <c r="E21" s="232"/>
      <c r="F21" s="232"/>
      <c r="G21" s="232"/>
      <c r="H21" s="232"/>
      <c r="I21" s="232"/>
      <c r="J21" s="232"/>
      <c r="K21" s="232"/>
      <c r="L21" s="232"/>
      <c r="M21" s="232"/>
      <c r="N21" s="233"/>
    </row>
    <row r="22" spans="1:22" ht="14.25" customHeight="1" x14ac:dyDescent="0.3"/>
    <row r="23" spans="1:22" ht="35.4" customHeight="1" x14ac:dyDescent="0.4">
      <c r="A23" s="231" t="s">
        <v>277</v>
      </c>
      <c r="B23" s="232"/>
      <c r="C23" s="232"/>
      <c r="D23" s="232"/>
      <c r="E23" s="232"/>
      <c r="F23" s="232"/>
      <c r="G23" s="232"/>
      <c r="H23" s="232"/>
      <c r="I23" s="232"/>
      <c r="J23" s="232"/>
      <c r="K23" s="232"/>
      <c r="L23" s="232"/>
      <c r="M23" s="232"/>
      <c r="N23" s="233"/>
    </row>
    <row r="24" spans="1:22" ht="14.25" customHeight="1" x14ac:dyDescent="0.3">
      <c r="E24" s="17"/>
      <c r="F24" s="17"/>
      <c r="G24" s="17"/>
    </row>
    <row r="25" spans="1:22" ht="14.25" customHeight="1" thickBot="1" x14ac:dyDescent="0.35">
      <c r="E25" s="17"/>
      <c r="F25" s="17"/>
      <c r="G25" s="17"/>
    </row>
    <row r="26" spans="1:22" ht="14.25" customHeight="1" x14ac:dyDescent="0.3">
      <c r="D26" s="124"/>
      <c r="E26" s="111" t="s">
        <v>62</v>
      </c>
      <c r="F26" s="112"/>
      <c r="G26" s="113"/>
      <c r="H26" s="111" t="s">
        <v>63</v>
      </c>
      <c r="I26" s="112"/>
      <c r="J26" s="113"/>
      <c r="K26" s="111" t="s">
        <v>64</v>
      </c>
      <c r="L26" s="112"/>
      <c r="M26" s="113"/>
      <c r="N26" s="234" t="s">
        <v>278</v>
      </c>
      <c r="O26" s="84"/>
      <c r="P26" s="84"/>
      <c r="Q26" s="85"/>
      <c r="R26" s="87" t="s">
        <v>65</v>
      </c>
      <c r="S26" s="84"/>
      <c r="T26" s="84"/>
      <c r="U26" s="85"/>
    </row>
    <row r="27" spans="1:22" ht="43.8" thickBot="1" x14ac:dyDescent="0.35">
      <c r="A27" s="27" t="s">
        <v>58</v>
      </c>
      <c r="B27" s="27" t="s">
        <v>66</v>
      </c>
      <c r="C27" s="28" t="s">
        <v>67</v>
      </c>
      <c r="D27" s="107" t="s">
        <v>68</v>
      </c>
      <c r="E27" s="114" t="s">
        <v>6</v>
      </c>
      <c r="F27" s="28" t="s">
        <v>7</v>
      </c>
      <c r="G27" s="123" t="s">
        <v>8</v>
      </c>
      <c r="H27" s="114" t="s">
        <v>6</v>
      </c>
      <c r="I27" s="28" t="s">
        <v>7</v>
      </c>
      <c r="J27" s="123" t="s">
        <v>8</v>
      </c>
      <c r="K27" s="114" t="s">
        <v>6</v>
      </c>
      <c r="L27" s="28" t="s">
        <v>7</v>
      </c>
      <c r="M27" s="115" t="s">
        <v>53</v>
      </c>
      <c r="N27" s="108" t="s">
        <v>6</v>
      </c>
      <c r="O27" s="28" t="s">
        <v>7</v>
      </c>
      <c r="P27" s="29" t="s">
        <v>8</v>
      </c>
      <c r="Q27" s="28" t="s">
        <v>69</v>
      </c>
      <c r="R27" s="28" t="s">
        <v>6</v>
      </c>
      <c r="S27" s="28" t="s">
        <v>7</v>
      </c>
      <c r="T27" s="29" t="s">
        <v>8</v>
      </c>
      <c r="U27" s="28" t="s">
        <v>69</v>
      </c>
    </row>
    <row r="28" spans="1:22" ht="14.25" customHeight="1" x14ac:dyDescent="0.3">
      <c r="A28" s="147">
        <v>1</v>
      </c>
      <c r="B28" s="148">
        <v>1</v>
      </c>
      <c r="C28" s="149">
        <v>4211.1000000000004</v>
      </c>
      <c r="D28" s="150">
        <f t="shared" ref="D28:D87" si="18">A28/100</f>
        <v>0.01</v>
      </c>
      <c r="E28" s="151">
        <f t="shared" ref="E28:E87" si="19">$E$8*C28*(1+D28)</f>
        <v>3954261.3052320005</v>
      </c>
      <c r="F28" s="149">
        <f t="shared" ref="F28:F87" si="20">$F$8*C28*(1+D28)</f>
        <v>6869939.5227960004</v>
      </c>
      <c r="G28" s="152">
        <f t="shared" ref="G28:G87" si="21">$G$8*C28*(1+D28)</f>
        <v>7253136.8210520009</v>
      </c>
      <c r="H28" s="151">
        <f>AVERAGEIF($A$28:$A$87,A28,$E$28:$E$87)*1.2</f>
        <v>4977466.6779767992</v>
      </c>
      <c r="I28" s="149">
        <f>AVERAGEIF($A$28:$A$87,A28,$F$28:$F$87)*1.2</f>
        <v>8647606.3200953994</v>
      </c>
      <c r="J28" s="152">
        <f>AVERAGEIF($A$28:$A$87,A28,$G$28:$G$87)*1.2</f>
        <v>9129959.8207698017</v>
      </c>
      <c r="K28" s="151">
        <f t="shared" ref="K28:M28" si="22">H28*1.19</f>
        <v>5923185.3467923906</v>
      </c>
      <c r="L28" s="149">
        <f t="shared" si="22"/>
        <v>10290651.520913525</v>
      </c>
      <c r="M28" s="152">
        <f t="shared" si="22"/>
        <v>10864652.186716063</v>
      </c>
      <c r="N28" s="153">
        <f t="shared" ref="N28:N87" si="23">LOOKUP($A28,$A$15:$A$19,$I$15:$I$19)*H28</f>
        <v>383264934.20421356</v>
      </c>
      <c r="O28" s="154">
        <f t="shared" ref="O28:O87" si="24">LOOKUP($A28,$A$15:$A$19,$J$15:$J$19)*I28</f>
        <v>328609040.16362518</v>
      </c>
      <c r="P28" s="154">
        <f t="shared" ref="P28:P87" si="25">LOOKUP($A28,$A$15:$A$19,$K$15:$K$19)*J28</f>
        <v>346938473.1892525</v>
      </c>
      <c r="Q28" s="155">
        <f t="shared" ref="Q28:Q87" si="26">SUM(N28:P28)</f>
        <v>1058812447.5570912</v>
      </c>
      <c r="R28" s="156">
        <f t="shared" ref="R28:R87" si="27">LOOKUP($A28,$A$15:$A$19,$I$15:$I$19)*E28</f>
        <v>304478120.50286406</v>
      </c>
      <c r="S28" s="157">
        <f t="shared" ref="S28:S87" si="28">LOOKUP($A28,$A$15:$A$19,$J$15:$J$19)*F28</f>
        <v>261057701.86624801</v>
      </c>
      <c r="T28" s="157">
        <f t="shared" ref="T28:T87" si="29">LOOKUP($A28,$A$15:$A$19,$K$15:$K$19)*G28</f>
        <v>275619199.19997603</v>
      </c>
      <c r="U28" s="158">
        <f t="shared" ref="U28:U87" si="30">SUM(R28:T28)</f>
        <v>841155021.56908798</v>
      </c>
      <c r="V28" s="17"/>
    </row>
    <row r="29" spans="1:22" ht="14.25" customHeight="1" x14ac:dyDescent="0.3">
      <c r="A29" s="159">
        <v>1</v>
      </c>
      <c r="B29" s="103">
        <v>2</v>
      </c>
      <c r="C29" s="104">
        <v>4244.07</v>
      </c>
      <c r="D29" s="125">
        <f t="shared" si="18"/>
        <v>0.01</v>
      </c>
      <c r="E29" s="116">
        <f t="shared" si="19"/>
        <v>3985220.4359184001</v>
      </c>
      <c r="F29" s="104">
        <f t="shared" si="20"/>
        <v>6923726.3970251987</v>
      </c>
      <c r="G29" s="117">
        <f t="shared" si="21"/>
        <v>7309923.8650523992</v>
      </c>
      <c r="H29" s="116">
        <f t="shared" ref="H29:H87" si="31">AVERAGEIF($A$28:$A$87,A29,$E$28:$E$87)*1.2</f>
        <v>4977466.6779767992</v>
      </c>
      <c r="I29" s="104">
        <f t="shared" ref="I29:I87" si="32">AVERAGEIF($A$28:$A$87,A29,$F$28:$F$87)*1.2</f>
        <v>8647606.3200953994</v>
      </c>
      <c r="J29" s="117">
        <f t="shared" ref="J29:J87" si="33">AVERAGEIF($A$28:$A$87,A29,$G$28:$G$87)*1.2</f>
        <v>9129959.8207698017</v>
      </c>
      <c r="K29" s="116">
        <f t="shared" ref="K29:M29" si="34">H29*1.19</f>
        <v>5923185.3467923906</v>
      </c>
      <c r="L29" s="104">
        <f t="shared" si="34"/>
        <v>10290651.520913525</v>
      </c>
      <c r="M29" s="117">
        <f t="shared" si="34"/>
        <v>10864652.186716063</v>
      </c>
      <c r="N29" s="109">
        <f t="shared" si="23"/>
        <v>383264934.20421356</v>
      </c>
      <c r="O29" s="105">
        <f t="shared" si="24"/>
        <v>328609040.16362518</v>
      </c>
      <c r="P29" s="105">
        <f t="shared" si="25"/>
        <v>346938473.1892525</v>
      </c>
      <c r="Q29" s="106">
        <f t="shared" si="26"/>
        <v>1058812447.5570912</v>
      </c>
      <c r="R29" s="102">
        <f t="shared" si="27"/>
        <v>306861973.5657168</v>
      </c>
      <c r="S29" s="2">
        <f t="shared" si="28"/>
        <v>263101603.08695754</v>
      </c>
      <c r="T29" s="2">
        <f t="shared" si="29"/>
        <v>277777106.87199116</v>
      </c>
      <c r="U29" s="160">
        <f t="shared" si="30"/>
        <v>847740683.52466547</v>
      </c>
    </row>
    <row r="30" spans="1:22" ht="14.25" customHeight="1" x14ac:dyDescent="0.3">
      <c r="A30" s="159">
        <v>1</v>
      </c>
      <c r="B30" s="103">
        <v>3</v>
      </c>
      <c r="C30" s="104">
        <v>4276.8</v>
      </c>
      <c r="D30" s="125">
        <f t="shared" si="18"/>
        <v>0.01</v>
      </c>
      <c r="E30" s="116">
        <f t="shared" si="19"/>
        <v>4015954.2044160003</v>
      </c>
      <c r="F30" s="104">
        <f t="shared" si="20"/>
        <v>6977121.7380479993</v>
      </c>
      <c r="G30" s="117">
        <f t="shared" si="21"/>
        <v>7366297.536576</v>
      </c>
      <c r="H30" s="116">
        <f t="shared" si="31"/>
        <v>4977466.6779767992</v>
      </c>
      <c r="I30" s="104">
        <f t="shared" si="32"/>
        <v>8647606.3200953994</v>
      </c>
      <c r="J30" s="117">
        <f t="shared" si="33"/>
        <v>9129959.8207698017</v>
      </c>
      <c r="K30" s="116">
        <f t="shared" ref="K30:M30" si="35">H30*1.19</f>
        <v>5923185.3467923906</v>
      </c>
      <c r="L30" s="104">
        <f t="shared" si="35"/>
        <v>10290651.520913525</v>
      </c>
      <c r="M30" s="117">
        <f t="shared" si="35"/>
        <v>10864652.186716063</v>
      </c>
      <c r="N30" s="109">
        <f t="shared" si="23"/>
        <v>383264934.20421356</v>
      </c>
      <c r="O30" s="105">
        <f>LOOKUP($A30,$A$15:$A$19,$J$15:$J$19)*I30</f>
        <v>328609040.16362518</v>
      </c>
      <c r="P30" s="105">
        <f t="shared" si="25"/>
        <v>346938473.1892525</v>
      </c>
      <c r="Q30" s="106">
        <f t="shared" si="26"/>
        <v>1058812447.5570912</v>
      </c>
      <c r="R30" s="102">
        <f t="shared" si="27"/>
        <v>309228473.74003202</v>
      </c>
      <c r="S30" s="2">
        <f t="shared" si="28"/>
        <v>265130626.04582396</v>
      </c>
      <c r="T30" s="2">
        <f t="shared" si="29"/>
        <v>279919306.38988799</v>
      </c>
      <c r="U30" s="160">
        <f t="shared" si="30"/>
        <v>854278406.17574406</v>
      </c>
    </row>
    <row r="31" spans="1:22" ht="14.25" customHeight="1" x14ac:dyDescent="0.3">
      <c r="A31" s="159">
        <v>1</v>
      </c>
      <c r="B31" s="103">
        <v>4</v>
      </c>
      <c r="C31" s="104">
        <v>4316.43</v>
      </c>
      <c r="D31" s="125">
        <f t="shared" si="18"/>
        <v>0.01</v>
      </c>
      <c r="E31" s="116">
        <f t="shared" si="19"/>
        <v>4053167.1358416006</v>
      </c>
      <c r="F31" s="104">
        <f t="shared" si="20"/>
        <v>7041773.6587548004</v>
      </c>
      <c r="G31" s="117">
        <f t="shared" si="21"/>
        <v>7434555.6668076003</v>
      </c>
      <c r="H31" s="116">
        <f t="shared" si="31"/>
        <v>4977466.6779767992</v>
      </c>
      <c r="I31" s="104">
        <f t="shared" si="32"/>
        <v>8647606.3200953994</v>
      </c>
      <c r="J31" s="117">
        <f t="shared" si="33"/>
        <v>9129959.8207698017</v>
      </c>
      <c r="K31" s="116">
        <f t="shared" ref="K31:M31" si="36">H31*1.19</f>
        <v>5923185.3467923906</v>
      </c>
      <c r="L31" s="104">
        <f t="shared" si="36"/>
        <v>10290651.520913525</v>
      </c>
      <c r="M31" s="117">
        <f t="shared" si="36"/>
        <v>10864652.186716063</v>
      </c>
      <c r="N31" s="109">
        <f t="shared" si="23"/>
        <v>383264934.20421356</v>
      </c>
      <c r="O31" s="105">
        <f t="shared" si="24"/>
        <v>328609040.16362518</v>
      </c>
      <c r="P31" s="105">
        <f t="shared" si="25"/>
        <v>346938473.1892525</v>
      </c>
      <c r="Q31" s="106">
        <f t="shared" si="26"/>
        <v>1058812447.5570912</v>
      </c>
      <c r="R31" s="102">
        <f t="shared" si="27"/>
        <v>312093869.45980322</v>
      </c>
      <c r="S31" s="2">
        <f t="shared" si="28"/>
        <v>267587399.03268242</v>
      </c>
      <c r="T31" s="2">
        <f t="shared" si="29"/>
        <v>282513115.33868879</v>
      </c>
      <c r="U31" s="160">
        <f t="shared" si="30"/>
        <v>862194383.83117437</v>
      </c>
    </row>
    <row r="32" spans="1:22" ht="14.25" customHeight="1" x14ac:dyDescent="0.3">
      <c r="A32" s="159">
        <v>1</v>
      </c>
      <c r="B32" s="103">
        <v>5</v>
      </c>
      <c r="C32" s="104">
        <v>4353.8</v>
      </c>
      <c r="D32" s="125">
        <f t="shared" si="18"/>
        <v>0.01</v>
      </c>
      <c r="E32" s="116">
        <f t="shared" si="19"/>
        <v>4088257.9066559998</v>
      </c>
      <c r="F32" s="104">
        <f t="shared" si="20"/>
        <v>7102738.6417680001</v>
      </c>
      <c r="G32" s="117">
        <f t="shared" si="21"/>
        <v>7498921.206216</v>
      </c>
      <c r="H32" s="116">
        <f t="shared" si="31"/>
        <v>4977466.6779767992</v>
      </c>
      <c r="I32" s="104">
        <f t="shared" si="32"/>
        <v>8647606.3200953994</v>
      </c>
      <c r="J32" s="117">
        <f t="shared" si="33"/>
        <v>9129959.8207698017</v>
      </c>
      <c r="K32" s="116">
        <f t="shared" ref="K32:M32" si="37">H32*1.19</f>
        <v>5923185.3467923906</v>
      </c>
      <c r="L32" s="104">
        <f t="shared" si="37"/>
        <v>10290651.520913525</v>
      </c>
      <c r="M32" s="117">
        <f t="shared" si="37"/>
        <v>10864652.186716063</v>
      </c>
      <c r="N32" s="109">
        <f t="shared" si="23"/>
        <v>383264934.20421356</v>
      </c>
      <c r="O32" s="105">
        <f t="shared" si="24"/>
        <v>328609040.16362518</v>
      </c>
      <c r="P32" s="105">
        <f t="shared" si="25"/>
        <v>346938473.1892525</v>
      </c>
      <c r="Q32" s="106">
        <f t="shared" si="26"/>
        <v>1058812447.5570912</v>
      </c>
      <c r="R32" s="102">
        <f t="shared" si="27"/>
        <v>314795858.81251198</v>
      </c>
      <c r="S32" s="2">
        <f t="shared" si="28"/>
        <v>269904068.38718402</v>
      </c>
      <c r="T32" s="2">
        <f t="shared" si="29"/>
        <v>284959005.83620799</v>
      </c>
      <c r="U32" s="160">
        <f t="shared" si="30"/>
        <v>869658933.03590405</v>
      </c>
    </row>
    <row r="33" spans="1:21" ht="14.25" customHeight="1" x14ac:dyDescent="0.3">
      <c r="A33" s="159">
        <v>1</v>
      </c>
      <c r="B33" s="103">
        <v>6</v>
      </c>
      <c r="C33" s="104">
        <v>4393.54</v>
      </c>
      <c r="D33" s="125">
        <f t="shared" si="18"/>
        <v>0.01</v>
      </c>
      <c r="E33" s="116">
        <f t="shared" si="19"/>
        <v>4125574.1290847999</v>
      </c>
      <c r="F33" s="104">
        <f t="shared" si="20"/>
        <v>7167570.0151943993</v>
      </c>
      <c r="G33" s="117">
        <f t="shared" si="21"/>
        <v>7567368.7988328002</v>
      </c>
      <c r="H33" s="116">
        <f t="shared" si="31"/>
        <v>4977466.6779767992</v>
      </c>
      <c r="I33" s="104">
        <f t="shared" si="32"/>
        <v>8647606.3200953994</v>
      </c>
      <c r="J33" s="117">
        <f t="shared" si="33"/>
        <v>9129959.8207698017</v>
      </c>
      <c r="K33" s="116">
        <f t="shared" ref="K33:M33" si="38">H33*1.19</f>
        <v>5923185.3467923906</v>
      </c>
      <c r="L33" s="104">
        <f t="shared" si="38"/>
        <v>10290651.520913525</v>
      </c>
      <c r="M33" s="117">
        <f t="shared" si="38"/>
        <v>10864652.186716063</v>
      </c>
      <c r="N33" s="109">
        <f t="shared" si="23"/>
        <v>383264934.20421356</v>
      </c>
      <c r="O33" s="105">
        <f t="shared" si="24"/>
        <v>328609040.16362518</v>
      </c>
      <c r="P33" s="105">
        <f t="shared" si="25"/>
        <v>346938473.1892525</v>
      </c>
      <c r="Q33" s="106">
        <f t="shared" si="26"/>
        <v>1058812447.5570912</v>
      </c>
      <c r="R33" s="102">
        <f t="shared" si="27"/>
        <v>317669207.9395296</v>
      </c>
      <c r="S33" s="2">
        <f t="shared" si="28"/>
        <v>272367660.57738715</v>
      </c>
      <c r="T33" s="2">
        <f t="shared" si="29"/>
        <v>287560014.35564643</v>
      </c>
      <c r="U33" s="160">
        <f t="shared" si="30"/>
        <v>877596882.87256312</v>
      </c>
    </row>
    <row r="34" spans="1:21" ht="14.25" customHeight="1" x14ac:dyDescent="0.3">
      <c r="A34" s="159">
        <v>1</v>
      </c>
      <c r="B34" s="103">
        <v>7</v>
      </c>
      <c r="C34" s="104">
        <v>4431.92</v>
      </c>
      <c r="D34" s="125">
        <f t="shared" si="18"/>
        <v>0.01</v>
      </c>
      <c r="E34" s="116">
        <f t="shared" si="19"/>
        <v>4161613.2991104005</v>
      </c>
      <c r="F34" s="104">
        <f t="shared" si="20"/>
        <v>7230182.7004511999</v>
      </c>
      <c r="G34" s="117">
        <f t="shared" si="21"/>
        <v>7633473.9474143991</v>
      </c>
      <c r="H34" s="116">
        <f t="shared" si="31"/>
        <v>4977466.6779767992</v>
      </c>
      <c r="I34" s="104">
        <f t="shared" si="32"/>
        <v>8647606.3200953994</v>
      </c>
      <c r="J34" s="117">
        <f t="shared" si="33"/>
        <v>9129959.8207698017</v>
      </c>
      <c r="K34" s="116">
        <f t="shared" ref="K34:M34" si="39">H34*1.19</f>
        <v>5923185.3467923906</v>
      </c>
      <c r="L34" s="104">
        <f t="shared" si="39"/>
        <v>10290651.520913525</v>
      </c>
      <c r="M34" s="117">
        <f t="shared" si="39"/>
        <v>10864652.186716063</v>
      </c>
      <c r="N34" s="109">
        <f t="shared" si="23"/>
        <v>383264934.20421356</v>
      </c>
      <c r="O34" s="105">
        <f t="shared" si="24"/>
        <v>328609040.16362518</v>
      </c>
      <c r="P34" s="105">
        <f t="shared" si="25"/>
        <v>346938473.1892525</v>
      </c>
      <c r="Q34" s="106">
        <f t="shared" si="26"/>
        <v>1058812447.5570912</v>
      </c>
      <c r="R34" s="102">
        <f t="shared" si="27"/>
        <v>320444224.03150082</v>
      </c>
      <c r="S34" s="2">
        <f t="shared" si="28"/>
        <v>274746942.6171456</v>
      </c>
      <c r="T34" s="2">
        <f t="shared" si="29"/>
        <v>290072010.00174719</v>
      </c>
      <c r="U34" s="160">
        <f t="shared" si="30"/>
        <v>885263176.65039349</v>
      </c>
    </row>
    <row r="35" spans="1:21" ht="14.25" customHeight="1" x14ac:dyDescent="0.3">
      <c r="A35" s="159">
        <v>1</v>
      </c>
      <c r="B35" s="103">
        <v>8</v>
      </c>
      <c r="C35" s="104">
        <v>4474.43</v>
      </c>
      <c r="D35" s="125">
        <f t="shared" si="18"/>
        <v>0.01</v>
      </c>
      <c r="E35" s="116">
        <f t="shared" si="19"/>
        <v>4201530.5768015999</v>
      </c>
      <c r="F35" s="104">
        <f t="shared" si="20"/>
        <v>7299533.0196348</v>
      </c>
      <c r="G35" s="117">
        <f t="shared" si="21"/>
        <v>7706692.5473676007</v>
      </c>
      <c r="H35" s="116">
        <f t="shared" si="31"/>
        <v>4977466.6779767992</v>
      </c>
      <c r="I35" s="104">
        <f t="shared" si="32"/>
        <v>8647606.3200953994</v>
      </c>
      <c r="J35" s="117">
        <f t="shared" si="33"/>
        <v>9129959.8207698017</v>
      </c>
      <c r="K35" s="116">
        <f t="shared" ref="K35:M35" si="40">H35*1.19</f>
        <v>5923185.3467923906</v>
      </c>
      <c r="L35" s="104">
        <f t="shared" si="40"/>
        <v>10290651.520913525</v>
      </c>
      <c r="M35" s="117">
        <f t="shared" si="40"/>
        <v>10864652.186716063</v>
      </c>
      <c r="N35" s="109">
        <f t="shared" si="23"/>
        <v>383264934.20421356</v>
      </c>
      <c r="O35" s="105">
        <f t="shared" si="24"/>
        <v>328609040.16362518</v>
      </c>
      <c r="P35" s="105">
        <f t="shared" si="25"/>
        <v>346938473.1892525</v>
      </c>
      <c r="Q35" s="106">
        <f t="shared" si="26"/>
        <v>1058812447.5570912</v>
      </c>
      <c r="R35" s="102">
        <f t="shared" si="27"/>
        <v>323517854.41372317</v>
      </c>
      <c r="S35" s="2">
        <f t="shared" si="28"/>
        <v>277382254.74612242</v>
      </c>
      <c r="T35" s="2">
        <f t="shared" si="29"/>
        <v>292854316.79996884</v>
      </c>
      <c r="U35" s="160">
        <f t="shared" si="30"/>
        <v>893754425.95981443</v>
      </c>
    </row>
    <row r="36" spans="1:21" ht="14.25" customHeight="1" x14ac:dyDescent="0.3">
      <c r="A36" s="159">
        <v>1</v>
      </c>
      <c r="B36" s="103">
        <v>9</v>
      </c>
      <c r="C36" s="104">
        <v>4514.74</v>
      </c>
      <c r="D36" s="125">
        <f t="shared" si="18"/>
        <v>0.01</v>
      </c>
      <c r="E36" s="116">
        <f t="shared" si="19"/>
        <v>4239382.0344288005</v>
      </c>
      <c r="F36" s="104">
        <f t="shared" si="20"/>
        <v>7365294.2844263995</v>
      </c>
      <c r="G36" s="117">
        <f t="shared" si="21"/>
        <v>7776121.8996167993</v>
      </c>
      <c r="H36" s="116">
        <f t="shared" si="31"/>
        <v>4977466.6779767992</v>
      </c>
      <c r="I36" s="104">
        <f t="shared" si="32"/>
        <v>8647606.3200953994</v>
      </c>
      <c r="J36" s="117">
        <f t="shared" si="33"/>
        <v>9129959.8207698017</v>
      </c>
      <c r="K36" s="116">
        <f t="shared" ref="K36:M36" si="41">H36*1.19</f>
        <v>5923185.3467923906</v>
      </c>
      <c r="L36" s="104">
        <f t="shared" si="41"/>
        <v>10290651.520913525</v>
      </c>
      <c r="M36" s="117">
        <f t="shared" si="41"/>
        <v>10864652.186716063</v>
      </c>
      <c r="N36" s="109">
        <f t="shared" si="23"/>
        <v>383264934.20421356</v>
      </c>
      <c r="O36" s="105">
        <f t="shared" si="24"/>
        <v>328609040.16362518</v>
      </c>
      <c r="P36" s="105">
        <f t="shared" si="25"/>
        <v>346938473.1892525</v>
      </c>
      <c r="Q36" s="106">
        <f t="shared" si="26"/>
        <v>1058812447.5570912</v>
      </c>
      <c r="R36" s="102">
        <f t="shared" si="27"/>
        <v>326432416.65101761</v>
      </c>
      <c r="S36" s="2">
        <f t="shared" si="28"/>
        <v>279881182.80820316</v>
      </c>
      <c r="T36" s="2">
        <f t="shared" si="29"/>
        <v>295492632.18543839</v>
      </c>
      <c r="U36" s="160">
        <f t="shared" si="30"/>
        <v>901806231.64465916</v>
      </c>
    </row>
    <row r="37" spans="1:21" ht="14.25" customHeight="1" x14ac:dyDescent="0.3">
      <c r="A37" s="159">
        <v>1</v>
      </c>
      <c r="B37" s="103">
        <v>10</v>
      </c>
      <c r="C37" s="104">
        <v>4551.84</v>
      </c>
      <c r="D37" s="125">
        <f t="shared" si="18"/>
        <v>0.01</v>
      </c>
      <c r="E37" s="116">
        <f t="shared" si="19"/>
        <v>4274219.2727808002</v>
      </c>
      <c r="F37" s="104">
        <f t="shared" si="20"/>
        <v>7425818.7925824001</v>
      </c>
      <c r="G37" s="117">
        <f t="shared" si="21"/>
        <v>7840022.3949887995</v>
      </c>
      <c r="H37" s="116">
        <f t="shared" si="31"/>
        <v>4977466.6779767992</v>
      </c>
      <c r="I37" s="104">
        <f t="shared" si="32"/>
        <v>8647606.3200953994</v>
      </c>
      <c r="J37" s="117">
        <f t="shared" si="33"/>
        <v>9129959.8207698017</v>
      </c>
      <c r="K37" s="116">
        <f t="shared" ref="K37:M37" si="42">H37*1.19</f>
        <v>5923185.3467923906</v>
      </c>
      <c r="L37" s="104">
        <f t="shared" si="42"/>
        <v>10290651.520913525</v>
      </c>
      <c r="M37" s="117">
        <f t="shared" si="42"/>
        <v>10864652.186716063</v>
      </c>
      <c r="N37" s="109">
        <f t="shared" si="23"/>
        <v>383264934.20421356</v>
      </c>
      <c r="O37" s="105">
        <f t="shared" si="24"/>
        <v>328609040.16362518</v>
      </c>
      <c r="P37" s="105">
        <f t="shared" si="25"/>
        <v>346938473.1892525</v>
      </c>
      <c r="Q37" s="106">
        <f t="shared" si="26"/>
        <v>1058812447.5570912</v>
      </c>
      <c r="R37" s="102">
        <f t="shared" si="27"/>
        <v>329114884.0041216</v>
      </c>
      <c r="S37" s="2">
        <f t="shared" si="28"/>
        <v>282181114.11813122</v>
      </c>
      <c r="T37" s="2">
        <f t="shared" si="29"/>
        <v>297920851.00957435</v>
      </c>
      <c r="U37" s="160">
        <f t="shared" si="30"/>
        <v>909216849.13182712</v>
      </c>
    </row>
    <row r="38" spans="1:21" ht="14.25" customHeight="1" x14ac:dyDescent="0.3">
      <c r="A38" s="159">
        <v>1</v>
      </c>
      <c r="B38" s="103">
        <v>11</v>
      </c>
      <c r="C38" s="104">
        <v>4597.3999999999996</v>
      </c>
      <c r="D38" s="125">
        <f t="shared" si="18"/>
        <v>0.01</v>
      </c>
      <c r="E38" s="116">
        <f t="shared" si="19"/>
        <v>4317000.5282879993</v>
      </c>
      <c r="F38" s="104">
        <f t="shared" si="20"/>
        <v>7500144.8462639991</v>
      </c>
      <c r="G38" s="117">
        <f t="shared" si="21"/>
        <v>7918494.270167999</v>
      </c>
      <c r="H38" s="116">
        <f t="shared" si="31"/>
        <v>4977466.6779767992</v>
      </c>
      <c r="I38" s="104">
        <f t="shared" si="32"/>
        <v>8647606.3200953994</v>
      </c>
      <c r="J38" s="117">
        <f t="shared" si="33"/>
        <v>9129959.8207698017</v>
      </c>
      <c r="K38" s="116">
        <f t="shared" ref="K38:M38" si="43">H38*1.19</f>
        <v>5923185.3467923906</v>
      </c>
      <c r="L38" s="104">
        <f t="shared" si="43"/>
        <v>10290651.520913525</v>
      </c>
      <c r="M38" s="117">
        <f t="shared" si="43"/>
        <v>10864652.186716063</v>
      </c>
      <c r="N38" s="109">
        <f t="shared" si="23"/>
        <v>383264934.20421356</v>
      </c>
      <c r="O38" s="105">
        <f t="shared" si="24"/>
        <v>328609040.16362518</v>
      </c>
      <c r="P38" s="105">
        <f t="shared" si="25"/>
        <v>346938473.1892525</v>
      </c>
      <c r="Q38" s="106">
        <f t="shared" si="26"/>
        <v>1058812447.5570912</v>
      </c>
      <c r="R38" s="102">
        <f t="shared" si="27"/>
        <v>332409040.67817593</v>
      </c>
      <c r="S38" s="2">
        <f t="shared" si="28"/>
        <v>285005504.15803194</v>
      </c>
      <c r="T38" s="2">
        <f t="shared" si="29"/>
        <v>300902782.26638395</v>
      </c>
      <c r="U38" s="160">
        <f t="shared" si="30"/>
        <v>918317327.10259175</v>
      </c>
    </row>
    <row r="39" spans="1:21" ht="14.25" customHeight="1" thickBot="1" x14ac:dyDescent="0.35">
      <c r="A39" s="161">
        <v>1</v>
      </c>
      <c r="B39" s="162">
        <v>12</v>
      </c>
      <c r="C39" s="163">
        <v>4641.58</v>
      </c>
      <c r="D39" s="164">
        <f t="shared" si="18"/>
        <v>0.01</v>
      </c>
      <c r="E39" s="165">
        <f t="shared" si="19"/>
        <v>4358485.9512096001</v>
      </c>
      <c r="F39" s="163">
        <f t="shared" si="20"/>
        <v>7572219.5840087989</v>
      </c>
      <c r="G39" s="166">
        <f t="shared" si="21"/>
        <v>7994589.2536055995</v>
      </c>
      <c r="H39" s="167">
        <f t="shared" si="31"/>
        <v>4977466.6779767992</v>
      </c>
      <c r="I39" s="168">
        <f t="shared" si="32"/>
        <v>8647606.3200953994</v>
      </c>
      <c r="J39" s="169">
        <f t="shared" si="33"/>
        <v>9129959.8207698017</v>
      </c>
      <c r="K39" s="165">
        <f t="shared" ref="K39:M39" si="44">H39*1.19</f>
        <v>5923185.3467923906</v>
      </c>
      <c r="L39" s="163">
        <f t="shared" si="44"/>
        <v>10290651.520913525</v>
      </c>
      <c r="M39" s="166">
        <f t="shared" si="44"/>
        <v>10864652.186716063</v>
      </c>
      <c r="N39" s="170">
        <f t="shared" si="23"/>
        <v>383264934.20421356</v>
      </c>
      <c r="O39" s="171">
        <f t="shared" si="24"/>
        <v>328609040.16362518</v>
      </c>
      <c r="P39" s="171">
        <f t="shared" si="25"/>
        <v>346938473.1892525</v>
      </c>
      <c r="Q39" s="172">
        <f t="shared" si="26"/>
        <v>1058812447.5570912</v>
      </c>
      <c r="R39" s="121">
        <f t="shared" si="27"/>
        <v>335603418.24313921</v>
      </c>
      <c r="S39" s="121">
        <f t="shared" si="28"/>
        <v>287744344.19233435</v>
      </c>
      <c r="T39" s="121">
        <f t="shared" si="29"/>
        <v>303794391.63701278</v>
      </c>
      <c r="U39" s="173">
        <f t="shared" si="30"/>
        <v>927142154.0724864</v>
      </c>
    </row>
    <row r="40" spans="1:21" ht="14.25" customHeight="1" x14ac:dyDescent="0.3">
      <c r="A40" s="187">
        <v>2</v>
      </c>
      <c r="B40" s="188">
        <v>1</v>
      </c>
      <c r="C40" s="157">
        <v>4688.28</v>
      </c>
      <c r="D40" s="189">
        <f t="shared" si="18"/>
        <v>0.02</v>
      </c>
      <c r="E40" s="190">
        <f t="shared" si="19"/>
        <v>4445925.1788671995</v>
      </c>
      <c r="F40" s="157">
        <f t="shared" si="20"/>
        <v>7724132.2067615995</v>
      </c>
      <c r="G40" s="191">
        <f t="shared" si="21"/>
        <v>8154975.3871391993</v>
      </c>
      <c r="H40" s="151">
        <f t="shared" si="31"/>
        <v>5619653.2951775994</v>
      </c>
      <c r="I40" s="149">
        <f t="shared" si="32"/>
        <v>9763309.831312798</v>
      </c>
      <c r="J40" s="152">
        <f t="shared" si="33"/>
        <v>10307895.986253599</v>
      </c>
      <c r="K40" s="190">
        <f t="shared" ref="K40:M40" si="45">H40*1.19</f>
        <v>6687387.4212613432</v>
      </c>
      <c r="L40" s="157">
        <f t="shared" si="45"/>
        <v>11618338.69926223</v>
      </c>
      <c r="M40" s="191">
        <f t="shared" si="45"/>
        <v>12266396.223641781</v>
      </c>
      <c r="N40" s="192">
        <f t="shared" si="23"/>
        <v>545106369.63222718</v>
      </c>
      <c r="O40" s="193">
        <f t="shared" si="24"/>
        <v>468638871.9030143</v>
      </c>
      <c r="P40" s="193">
        <f t="shared" si="25"/>
        <v>494779007.34017277</v>
      </c>
      <c r="Q40" s="194">
        <f t="shared" si="26"/>
        <v>1508524248.8754144</v>
      </c>
      <c r="R40" s="157">
        <f t="shared" si="27"/>
        <v>431254742.35011834</v>
      </c>
      <c r="S40" s="157">
        <f t="shared" si="28"/>
        <v>370758345.92455679</v>
      </c>
      <c r="T40" s="157">
        <f t="shared" si="29"/>
        <v>391438818.58268154</v>
      </c>
      <c r="U40" s="158">
        <f t="shared" si="30"/>
        <v>1193451906.8573565</v>
      </c>
    </row>
    <row r="41" spans="1:21" ht="14.25" customHeight="1" x14ac:dyDescent="0.3">
      <c r="A41" s="195">
        <v>2</v>
      </c>
      <c r="B41" s="4">
        <v>2</v>
      </c>
      <c r="C41" s="2">
        <v>4728.97</v>
      </c>
      <c r="D41" s="126">
        <f t="shared" si="18"/>
        <v>0.02</v>
      </c>
      <c r="E41" s="118">
        <f t="shared" si="19"/>
        <v>4484511.7597728008</v>
      </c>
      <c r="F41" s="2">
        <f t="shared" si="20"/>
        <v>7791170.6386583997</v>
      </c>
      <c r="G41" s="119">
        <f t="shared" si="21"/>
        <v>8225753.1454007998</v>
      </c>
      <c r="H41" s="116">
        <f t="shared" si="31"/>
        <v>5619653.2951775994</v>
      </c>
      <c r="I41" s="104">
        <f t="shared" si="32"/>
        <v>9763309.831312798</v>
      </c>
      <c r="J41" s="117">
        <f t="shared" si="33"/>
        <v>10307895.986253599</v>
      </c>
      <c r="K41" s="118">
        <f t="shared" ref="K41:M41" si="46">H41*1.19</f>
        <v>6687387.4212613432</v>
      </c>
      <c r="L41" s="2">
        <f t="shared" si="46"/>
        <v>11618338.69926223</v>
      </c>
      <c r="M41" s="119">
        <f t="shared" si="46"/>
        <v>12266396.223641781</v>
      </c>
      <c r="N41" s="110">
        <f t="shared" si="23"/>
        <v>545106369.63222718</v>
      </c>
      <c r="O41" s="30">
        <f t="shared" si="24"/>
        <v>468638871.9030143</v>
      </c>
      <c r="P41" s="30">
        <f t="shared" si="25"/>
        <v>494779007.34017277</v>
      </c>
      <c r="Q41" s="31">
        <f t="shared" si="26"/>
        <v>1508524248.8754144</v>
      </c>
      <c r="R41" s="2">
        <f t="shared" si="27"/>
        <v>434997640.69796169</v>
      </c>
      <c r="S41" s="2">
        <f t="shared" si="28"/>
        <v>373976190.65560317</v>
      </c>
      <c r="T41" s="2">
        <f t="shared" si="29"/>
        <v>394836150.97923839</v>
      </c>
      <c r="U41" s="160">
        <f t="shared" si="30"/>
        <v>1203809982.3328032</v>
      </c>
    </row>
    <row r="42" spans="1:21" ht="14.25" customHeight="1" x14ac:dyDescent="0.3">
      <c r="A42" s="195">
        <v>2</v>
      </c>
      <c r="B42" s="4">
        <v>3</v>
      </c>
      <c r="C42" s="2">
        <v>4768.78</v>
      </c>
      <c r="D42" s="126">
        <f t="shared" si="18"/>
        <v>0.02</v>
      </c>
      <c r="E42" s="118">
        <f t="shared" si="19"/>
        <v>4522263.8311871998</v>
      </c>
      <c r="F42" s="2">
        <f t="shared" si="20"/>
        <v>7856759.2347215991</v>
      </c>
      <c r="G42" s="119">
        <f t="shared" si="21"/>
        <v>8295000.1976591982</v>
      </c>
      <c r="H42" s="116">
        <f t="shared" si="31"/>
        <v>5619653.2951775994</v>
      </c>
      <c r="I42" s="104">
        <f t="shared" si="32"/>
        <v>9763309.831312798</v>
      </c>
      <c r="J42" s="117">
        <f t="shared" si="33"/>
        <v>10307895.986253599</v>
      </c>
      <c r="K42" s="118">
        <f t="shared" ref="K42:M42" si="47">H42*1.19</f>
        <v>6687387.4212613432</v>
      </c>
      <c r="L42" s="2">
        <f t="shared" si="47"/>
        <v>11618338.69926223</v>
      </c>
      <c r="M42" s="119">
        <f t="shared" si="47"/>
        <v>12266396.223641781</v>
      </c>
      <c r="N42" s="110">
        <f t="shared" si="23"/>
        <v>545106369.63222718</v>
      </c>
      <c r="O42" s="30">
        <f t="shared" si="24"/>
        <v>468638871.9030143</v>
      </c>
      <c r="P42" s="30">
        <f t="shared" si="25"/>
        <v>494779007.34017277</v>
      </c>
      <c r="Q42" s="31">
        <f t="shared" si="26"/>
        <v>1508524248.8754144</v>
      </c>
      <c r="R42" s="2">
        <f t="shared" si="27"/>
        <v>438659591.62515837</v>
      </c>
      <c r="S42" s="2">
        <f t="shared" si="28"/>
        <v>377124443.26663673</v>
      </c>
      <c r="T42" s="2">
        <f t="shared" si="29"/>
        <v>398160009.48764151</v>
      </c>
      <c r="U42" s="160">
        <f t="shared" si="30"/>
        <v>1213944044.3794367</v>
      </c>
    </row>
    <row r="43" spans="1:21" ht="14.25" customHeight="1" x14ac:dyDescent="0.3">
      <c r="A43" s="195">
        <v>2</v>
      </c>
      <c r="B43" s="4">
        <v>4</v>
      </c>
      <c r="C43" s="2">
        <v>4816.3999999999996</v>
      </c>
      <c r="D43" s="126">
        <f t="shared" si="18"/>
        <v>0.02</v>
      </c>
      <c r="E43" s="118">
        <f t="shared" si="19"/>
        <v>4567422.1743359994</v>
      </c>
      <c r="F43" s="2">
        <f t="shared" si="20"/>
        <v>7935215.1238079993</v>
      </c>
      <c r="G43" s="119">
        <f t="shared" si="21"/>
        <v>8377832.2656959984</v>
      </c>
      <c r="H43" s="116">
        <f t="shared" si="31"/>
        <v>5619653.2951775994</v>
      </c>
      <c r="I43" s="104">
        <f t="shared" si="32"/>
        <v>9763309.831312798</v>
      </c>
      <c r="J43" s="117">
        <f t="shared" si="33"/>
        <v>10307895.986253599</v>
      </c>
      <c r="K43" s="118">
        <f t="shared" ref="K43:M43" si="48">H43*1.19</f>
        <v>6687387.4212613432</v>
      </c>
      <c r="L43" s="2">
        <f t="shared" si="48"/>
        <v>11618338.69926223</v>
      </c>
      <c r="M43" s="119">
        <f t="shared" si="48"/>
        <v>12266396.223641781</v>
      </c>
      <c r="N43" s="110">
        <f t="shared" si="23"/>
        <v>545106369.63222718</v>
      </c>
      <c r="O43" s="30">
        <f t="shared" si="24"/>
        <v>468638871.9030143</v>
      </c>
      <c r="P43" s="30">
        <f t="shared" si="25"/>
        <v>494779007.34017277</v>
      </c>
      <c r="Q43" s="31">
        <f t="shared" si="26"/>
        <v>1508524248.8754144</v>
      </c>
      <c r="R43" s="2">
        <f t="shared" si="27"/>
        <v>443039950.91059196</v>
      </c>
      <c r="S43" s="2">
        <f t="shared" si="28"/>
        <v>380890325.94278395</v>
      </c>
      <c r="T43" s="2">
        <f t="shared" si="29"/>
        <v>402135948.75340796</v>
      </c>
      <c r="U43" s="160">
        <f t="shared" si="30"/>
        <v>1226066225.6067839</v>
      </c>
    </row>
    <row r="44" spans="1:21" ht="14.25" customHeight="1" x14ac:dyDescent="0.3">
      <c r="A44" s="195">
        <v>2</v>
      </c>
      <c r="B44" s="4">
        <v>5</v>
      </c>
      <c r="C44" s="2">
        <v>4861.62</v>
      </c>
      <c r="D44" s="126">
        <f t="shared" si="18"/>
        <v>0.02</v>
      </c>
      <c r="E44" s="118">
        <f t="shared" si="19"/>
        <v>4610304.5825088006</v>
      </c>
      <c r="F44" s="2">
        <f t="shared" si="20"/>
        <v>8009716.9151663994</v>
      </c>
      <c r="G44" s="119">
        <f t="shared" si="21"/>
        <v>8456489.6809967998</v>
      </c>
      <c r="H44" s="116">
        <f t="shared" si="31"/>
        <v>5619653.2951775994</v>
      </c>
      <c r="I44" s="104">
        <f t="shared" si="32"/>
        <v>9763309.831312798</v>
      </c>
      <c r="J44" s="117">
        <f t="shared" si="33"/>
        <v>10307895.986253599</v>
      </c>
      <c r="K44" s="118">
        <f t="shared" ref="K44:M44" si="49">H44*1.19</f>
        <v>6687387.4212613432</v>
      </c>
      <c r="L44" s="2">
        <f t="shared" si="49"/>
        <v>11618338.69926223</v>
      </c>
      <c r="M44" s="119">
        <f t="shared" si="49"/>
        <v>12266396.223641781</v>
      </c>
      <c r="N44" s="110">
        <f t="shared" si="23"/>
        <v>545106369.63222718</v>
      </c>
      <c r="O44" s="30">
        <f t="shared" si="24"/>
        <v>468638871.9030143</v>
      </c>
      <c r="P44" s="30">
        <f t="shared" si="25"/>
        <v>494779007.34017277</v>
      </c>
      <c r="Q44" s="31">
        <f t="shared" si="26"/>
        <v>1508524248.8754144</v>
      </c>
      <c r="R44" s="2">
        <f t="shared" si="27"/>
        <v>447199544.50335366</v>
      </c>
      <c r="S44" s="2">
        <f t="shared" si="28"/>
        <v>384466411.92798716</v>
      </c>
      <c r="T44" s="2">
        <f t="shared" si="29"/>
        <v>405911504.68784642</v>
      </c>
      <c r="U44" s="160">
        <f t="shared" si="30"/>
        <v>1237577461.1191874</v>
      </c>
    </row>
    <row r="45" spans="1:21" ht="14.25" customHeight="1" x14ac:dyDescent="0.3">
      <c r="A45" s="195">
        <v>2</v>
      </c>
      <c r="B45" s="4">
        <v>6</v>
      </c>
      <c r="C45" s="2">
        <v>4909.6099999999997</v>
      </c>
      <c r="D45" s="126">
        <f t="shared" si="18"/>
        <v>0.02</v>
      </c>
      <c r="E45" s="118">
        <f t="shared" si="19"/>
        <v>4655813.7989664003</v>
      </c>
      <c r="F45" s="2">
        <f t="shared" si="20"/>
        <v>8088782.394319199</v>
      </c>
      <c r="G45" s="119">
        <f t="shared" si="21"/>
        <v>8539965.3413303979</v>
      </c>
      <c r="H45" s="116">
        <f t="shared" si="31"/>
        <v>5619653.2951775994</v>
      </c>
      <c r="I45" s="104">
        <f t="shared" si="32"/>
        <v>9763309.831312798</v>
      </c>
      <c r="J45" s="117">
        <f t="shared" si="33"/>
        <v>10307895.986253599</v>
      </c>
      <c r="K45" s="118">
        <f t="shared" ref="K45:M45" si="50">H45*1.19</f>
        <v>6687387.4212613432</v>
      </c>
      <c r="L45" s="2">
        <f t="shared" si="50"/>
        <v>11618338.69926223</v>
      </c>
      <c r="M45" s="119">
        <f t="shared" si="50"/>
        <v>12266396.223641781</v>
      </c>
      <c r="N45" s="110">
        <f t="shared" si="23"/>
        <v>545106369.63222718</v>
      </c>
      <c r="O45" s="30">
        <f t="shared" si="24"/>
        <v>468638871.9030143</v>
      </c>
      <c r="P45" s="30">
        <f t="shared" si="25"/>
        <v>494779007.34017277</v>
      </c>
      <c r="Q45" s="31">
        <f t="shared" si="26"/>
        <v>1508524248.8754144</v>
      </c>
      <c r="R45" s="2">
        <f t="shared" si="27"/>
        <v>451613938.49974084</v>
      </c>
      <c r="S45" s="2">
        <f t="shared" si="28"/>
        <v>388261554.92732155</v>
      </c>
      <c r="T45" s="2">
        <f t="shared" si="29"/>
        <v>409918336.3838591</v>
      </c>
      <c r="U45" s="160">
        <f t="shared" si="30"/>
        <v>1249793829.8109214</v>
      </c>
    </row>
    <row r="46" spans="1:21" ht="14.25" customHeight="1" x14ac:dyDescent="0.3">
      <c r="A46" s="195">
        <v>2</v>
      </c>
      <c r="B46" s="4">
        <v>7</v>
      </c>
      <c r="C46" s="2">
        <v>4956.09</v>
      </c>
      <c r="D46" s="126">
        <f t="shared" si="18"/>
        <v>0.02</v>
      </c>
      <c r="E46" s="118">
        <f t="shared" si="19"/>
        <v>4699891.0730016008</v>
      </c>
      <c r="F46" s="2">
        <f t="shared" si="20"/>
        <v>8165360.0869848002</v>
      </c>
      <c r="G46" s="119">
        <f t="shared" si="21"/>
        <v>8620814.4493176006</v>
      </c>
      <c r="H46" s="116">
        <f t="shared" si="31"/>
        <v>5619653.2951775994</v>
      </c>
      <c r="I46" s="104">
        <f t="shared" si="32"/>
        <v>9763309.831312798</v>
      </c>
      <c r="J46" s="117">
        <f t="shared" si="33"/>
        <v>10307895.986253599</v>
      </c>
      <c r="K46" s="118">
        <f t="shared" ref="K46:M46" si="51">H46*1.19</f>
        <v>6687387.4212613432</v>
      </c>
      <c r="L46" s="2">
        <f t="shared" si="51"/>
        <v>11618338.69926223</v>
      </c>
      <c r="M46" s="119">
        <f t="shared" si="51"/>
        <v>12266396.223641781</v>
      </c>
      <c r="N46" s="110">
        <f t="shared" si="23"/>
        <v>545106369.63222718</v>
      </c>
      <c r="O46" s="30">
        <f t="shared" si="24"/>
        <v>468638871.9030143</v>
      </c>
      <c r="P46" s="30">
        <f t="shared" si="25"/>
        <v>494779007.34017277</v>
      </c>
      <c r="Q46" s="31">
        <f t="shared" si="26"/>
        <v>1508524248.8754144</v>
      </c>
      <c r="R46" s="2">
        <f t="shared" si="27"/>
        <v>455889434.0811553</v>
      </c>
      <c r="S46" s="2">
        <f t="shared" si="28"/>
        <v>391937284.17527044</v>
      </c>
      <c r="T46" s="2">
        <f t="shared" si="29"/>
        <v>413799093.56724483</v>
      </c>
      <c r="U46" s="160">
        <f t="shared" si="30"/>
        <v>1261625811.8236706</v>
      </c>
    </row>
    <row r="47" spans="1:21" ht="14.25" customHeight="1" x14ac:dyDescent="0.3">
      <c r="A47" s="195">
        <v>2</v>
      </c>
      <c r="B47" s="4">
        <v>8</v>
      </c>
      <c r="C47" s="2">
        <v>5007.13</v>
      </c>
      <c r="D47" s="126">
        <f t="shared" si="18"/>
        <v>0.02</v>
      </c>
      <c r="E47" s="118">
        <f t="shared" si="19"/>
        <v>4748292.6234912006</v>
      </c>
      <c r="F47" s="2">
        <f t="shared" si="20"/>
        <v>8249450.5653336002</v>
      </c>
      <c r="G47" s="119">
        <f t="shared" si="21"/>
        <v>8709595.3975032009</v>
      </c>
      <c r="H47" s="116">
        <f t="shared" si="31"/>
        <v>5619653.2951775994</v>
      </c>
      <c r="I47" s="104">
        <f t="shared" si="32"/>
        <v>9763309.831312798</v>
      </c>
      <c r="J47" s="117">
        <f t="shared" si="33"/>
        <v>10307895.986253599</v>
      </c>
      <c r="K47" s="118">
        <f t="shared" ref="K47:M47" si="52">H47*1.19</f>
        <v>6687387.4212613432</v>
      </c>
      <c r="L47" s="2">
        <f t="shared" si="52"/>
        <v>11618338.69926223</v>
      </c>
      <c r="M47" s="119">
        <f t="shared" si="52"/>
        <v>12266396.223641781</v>
      </c>
      <c r="N47" s="110">
        <f t="shared" si="23"/>
        <v>545106369.63222718</v>
      </c>
      <c r="O47" s="30">
        <f t="shared" si="24"/>
        <v>468638871.9030143</v>
      </c>
      <c r="P47" s="30">
        <f t="shared" si="25"/>
        <v>494779007.34017277</v>
      </c>
      <c r="Q47" s="31">
        <f t="shared" si="26"/>
        <v>1508524248.8754144</v>
      </c>
      <c r="R47" s="2">
        <f t="shared" si="27"/>
        <v>460584384.47864646</v>
      </c>
      <c r="S47" s="2">
        <f t="shared" si="28"/>
        <v>395973627.13601279</v>
      </c>
      <c r="T47" s="2">
        <f t="shared" si="29"/>
        <v>418060579.08015364</v>
      </c>
      <c r="U47" s="160">
        <f t="shared" si="30"/>
        <v>1274618590.694813</v>
      </c>
    </row>
    <row r="48" spans="1:21" ht="14.25" customHeight="1" x14ac:dyDescent="0.3">
      <c r="A48" s="195">
        <v>2</v>
      </c>
      <c r="B48" s="4">
        <v>9</v>
      </c>
      <c r="C48" s="2">
        <v>5056.08</v>
      </c>
      <c r="D48" s="126">
        <f t="shared" si="18"/>
        <v>0.02</v>
      </c>
      <c r="E48" s="118">
        <f t="shared" si="19"/>
        <v>4794712.2139391992</v>
      </c>
      <c r="F48" s="2">
        <f t="shared" si="20"/>
        <v>8330097.6835775999</v>
      </c>
      <c r="G48" s="119">
        <f t="shared" si="21"/>
        <v>8794740.9189311992</v>
      </c>
      <c r="H48" s="116">
        <f t="shared" si="31"/>
        <v>5619653.2951775994</v>
      </c>
      <c r="I48" s="104">
        <f t="shared" si="32"/>
        <v>9763309.831312798</v>
      </c>
      <c r="J48" s="117">
        <f t="shared" si="33"/>
        <v>10307895.986253599</v>
      </c>
      <c r="K48" s="118">
        <f t="shared" ref="K48:M48" si="53">H48*1.19</f>
        <v>6687387.4212613432</v>
      </c>
      <c r="L48" s="2">
        <f t="shared" si="53"/>
        <v>11618338.69926223</v>
      </c>
      <c r="M48" s="119">
        <f t="shared" si="53"/>
        <v>12266396.223641781</v>
      </c>
      <c r="N48" s="110">
        <f t="shared" si="23"/>
        <v>545106369.63222718</v>
      </c>
      <c r="O48" s="30">
        <f t="shared" si="24"/>
        <v>468638871.9030143</v>
      </c>
      <c r="P48" s="30">
        <f t="shared" si="25"/>
        <v>494779007.34017277</v>
      </c>
      <c r="Q48" s="31">
        <f t="shared" si="26"/>
        <v>1508524248.8754144</v>
      </c>
      <c r="R48" s="2">
        <f t="shared" si="27"/>
        <v>465087084.75210232</v>
      </c>
      <c r="S48" s="2">
        <f t="shared" si="28"/>
        <v>399844688.81172478</v>
      </c>
      <c r="T48" s="2">
        <f t="shared" si="29"/>
        <v>422147564.10869753</v>
      </c>
      <c r="U48" s="160">
        <f t="shared" si="30"/>
        <v>1287079337.6725245</v>
      </c>
    </row>
    <row r="49" spans="1:21" ht="14.25" customHeight="1" x14ac:dyDescent="0.3">
      <c r="A49" s="195">
        <v>2</v>
      </c>
      <c r="B49" s="4">
        <v>10</v>
      </c>
      <c r="C49" s="2">
        <v>5101.6499999999996</v>
      </c>
      <c r="D49" s="126">
        <f t="shared" si="18"/>
        <v>0.02</v>
      </c>
      <c r="E49" s="118">
        <f t="shared" si="19"/>
        <v>4837926.5292960005</v>
      </c>
      <c r="F49" s="2">
        <f t="shared" si="20"/>
        <v>8405176.1141879987</v>
      </c>
      <c r="G49" s="119">
        <f t="shared" si="21"/>
        <v>8874007.1377559975</v>
      </c>
      <c r="H49" s="116">
        <f t="shared" si="31"/>
        <v>5619653.2951775994</v>
      </c>
      <c r="I49" s="104">
        <f t="shared" si="32"/>
        <v>9763309.831312798</v>
      </c>
      <c r="J49" s="117">
        <f t="shared" si="33"/>
        <v>10307895.986253599</v>
      </c>
      <c r="K49" s="118">
        <f t="shared" ref="K49:M49" si="54">H49*1.19</f>
        <v>6687387.4212613432</v>
      </c>
      <c r="L49" s="2">
        <f t="shared" si="54"/>
        <v>11618338.69926223</v>
      </c>
      <c r="M49" s="119">
        <f t="shared" si="54"/>
        <v>12266396.223641781</v>
      </c>
      <c r="N49" s="110">
        <f t="shared" si="23"/>
        <v>545106369.63222718</v>
      </c>
      <c r="O49" s="30">
        <f t="shared" si="24"/>
        <v>468638871.9030143</v>
      </c>
      <c r="P49" s="30">
        <f t="shared" si="25"/>
        <v>494779007.34017277</v>
      </c>
      <c r="Q49" s="31">
        <f t="shared" si="26"/>
        <v>1508524248.8754144</v>
      </c>
      <c r="R49" s="2">
        <f t="shared" si="27"/>
        <v>469278873.34171206</v>
      </c>
      <c r="S49" s="2">
        <f t="shared" si="28"/>
        <v>403448453.48102391</v>
      </c>
      <c r="T49" s="2">
        <f t="shared" si="29"/>
        <v>425952342.61228788</v>
      </c>
      <c r="U49" s="160">
        <f t="shared" si="30"/>
        <v>1298679669.4350238</v>
      </c>
    </row>
    <row r="50" spans="1:21" ht="14.25" customHeight="1" x14ac:dyDescent="0.3">
      <c r="A50" s="195">
        <v>2</v>
      </c>
      <c r="B50" s="4">
        <v>11</v>
      </c>
      <c r="C50" s="2">
        <v>5156.1499999999996</v>
      </c>
      <c r="D50" s="126">
        <f t="shared" si="18"/>
        <v>0.02</v>
      </c>
      <c r="E50" s="118">
        <f t="shared" si="19"/>
        <v>4889609.2193759996</v>
      </c>
      <c r="F50" s="2">
        <f t="shared" si="20"/>
        <v>8494967.0834279992</v>
      </c>
      <c r="G50" s="119">
        <f t="shared" si="21"/>
        <v>8968806.5436359979</v>
      </c>
      <c r="H50" s="116">
        <f t="shared" si="31"/>
        <v>5619653.2951775994</v>
      </c>
      <c r="I50" s="104">
        <f t="shared" si="32"/>
        <v>9763309.831312798</v>
      </c>
      <c r="J50" s="117">
        <f t="shared" si="33"/>
        <v>10307895.986253599</v>
      </c>
      <c r="K50" s="118">
        <f t="shared" ref="K50:M50" si="55">H50*1.19</f>
        <v>6687387.4212613432</v>
      </c>
      <c r="L50" s="2">
        <f t="shared" si="55"/>
        <v>11618338.69926223</v>
      </c>
      <c r="M50" s="119">
        <f t="shared" si="55"/>
        <v>12266396.223641781</v>
      </c>
      <c r="N50" s="110">
        <f t="shared" si="23"/>
        <v>545106369.63222718</v>
      </c>
      <c r="O50" s="30">
        <f t="shared" si="24"/>
        <v>468638871.9030143</v>
      </c>
      <c r="P50" s="30">
        <f t="shared" si="25"/>
        <v>494779007.34017277</v>
      </c>
      <c r="Q50" s="31">
        <f t="shared" si="26"/>
        <v>1508524248.8754144</v>
      </c>
      <c r="R50" s="2">
        <f t="shared" si="27"/>
        <v>474292094.27947199</v>
      </c>
      <c r="S50" s="2">
        <f t="shared" si="28"/>
        <v>407758420.00454396</v>
      </c>
      <c r="T50" s="2">
        <f t="shared" si="29"/>
        <v>430502714.0945279</v>
      </c>
      <c r="U50" s="160">
        <f t="shared" si="30"/>
        <v>1312553228.3785439</v>
      </c>
    </row>
    <row r="51" spans="1:21" ht="14.25" customHeight="1" thickBot="1" x14ac:dyDescent="0.35">
      <c r="A51" s="196">
        <v>2</v>
      </c>
      <c r="B51" s="197">
        <v>12</v>
      </c>
      <c r="C51" s="121">
        <v>5209.1400000000003</v>
      </c>
      <c r="D51" s="198">
        <f t="shared" si="18"/>
        <v>0.02</v>
      </c>
      <c r="E51" s="120">
        <f t="shared" si="19"/>
        <v>4939859.9670336004</v>
      </c>
      <c r="F51" s="121">
        <f t="shared" si="20"/>
        <v>8582270.2661808003</v>
      </c>
      <c r="G51" s="122">
        <f t="shared" si="21"/>
        <v>9060979.3971695993</v>
      </c>
      <c r="H51" s="167">
        <f t="shared" si="31"/>
        <v>5619653.2951775994</v>
      </c>
      <c r="I51" s="168">
        <f t="shared" si="32"/>
        <v>9763309.831312798</v>
      </c>
      <c r="J51" s="169">
        <f t="shared" si="33"/>
        <v>10307895.986253599</v>
      </c>
      <c r="K51" s="120">
        <f t="shared" ref="K51:M51" si="56">H51*1.19</f>
        <v>6687387.4212613432</v>
      </c>
      <c r="L51" s="121">
        <f t="shared" si="56"/>
        <v>11618338.69926223</v>
      </c>
      <c r="M51" s="122">
        <f t="shared" si="56"/>
        <v>12266396.223641781</v>
      </c>
      <c r="N51" s="170">
        <f t="shared" si="23"/>
        <v>545106369.63222718</v>
      </c>
      <c r="O51" s="171">
        <f t="shared" si="24"/>
        <v>468638871.9030143</v>
      </c>
      <c r="P51" s="171">
        <f t="shared" si="25"/>
        <v>494779007.34017277</v>
      </c>
      <c r="Q51" s="199">
        <f t="shared" si="26"/>
        <v>1508524248.8754144</v>
      </c>
      <c r="R51" s="121">
        <f t="shared" si="27"/>
        <v>479166416.80225927</v>
      </c>
      <c r="S51" s="121">
        <f t="shared" si="28"/>
        <v>411948972.77667844</v>
      </c>
      <c r="T51" s="121">
        <f t="shared" si="29"/>
        <v>434927011.0641408</v>
      </c>
      <c r="U51" s="173">
        <f t="shared" si="30"/>
        <v>1326042400.6430786</v>
      </c>
    </row>
    <row r="52" spans="1:21" ht="14.25" customHeight="1" x14ac:dyDescent="0.3">
      <c r="A52" s="187">
        <v>3</v>
      </c>
      <c r="B52" s="188">
        <v>1</v>
      </c>
      <c r="C52" s="157">
        <v>5265.09</v>
      </c>
      <c r="D52" s="189">
        <f t="shared" si="18"/>
        <v>0.03</v>
      </c>
      <c r="E52" s="190">
        <f t="shared" si="19"/>
        <v>5041867.8747024005</v>
      </c>
      <c r="F52" s="157">
        <f t="shared" si="20"/>
        <v>8759493.7985772006</v>
      </c>
      <c r="G52" s="191">
        <f t="shared" si="21"/>
        <v>9248088.2536763996</v>
      </c>
      <c r="H52" s="151">
        <f t="shared" si="31"/>
        <v>6399626.8659523204</v>
      </c>
      <c r="I52" s="149">
        <f t="shared" si="32"/>
        <v>11118397.633302959</v>
      </c>
      <c r="J52" s="152">
        <f t="shared" si="33"/>
        <v>11738569.021985518</v>
      </c>
      <c r="K52" s="190">
        <f t="shared" ref="K52:M52" si="57">H52*1.19</f>
        <v>7615555.9704832612</v>
      </c>
      <c r="L52" s="157">
        <f t="shared" si="57"/>
        <v>13230893.18363052</v>
      </c>
      <c r="M52" s="191">
        <f t="shared" si="57"/>
        <v>13968897.136162765</v>
      </c>
      <c r="N52" s="192">
        <f t="shared" si="23"/>
        <v>755155970.18237376</v>
      </c>
      <c r="O52" s="193">
        <f t="shared" si="24"/>
        <v>655985460.3648746</v>
      </c>
      <c r="P52" s="193">
        <f t="shared" si="25"/>
        <v>692575572.29714561</v>
      </c>
      <c r="Q52" s="194">
        <f t="shared" si="26"/>
        <v>2103717002.844394</v>
      </c>
      <c r="R52" s="157">
        <f t="shared" si="27"/>
        <v>594940409.21488321</v>
      </c>
      <c r="S52" s="157">
        <f t="shared" si="28"/>
        <v>516810134.11605483</v>
      </c>
      <c r="T52" s="157">
        <f t="shared" si="29"/>
        <v>545637206.96690762</v>
      </c>
      <c r="U52" s="158">
        <f t="shared" si="30"/>
        <v>1657387750.2978458</v>
      </c>
    </row>
    <row r="53" spans="1:21" ht="14.25" customHeight="1" x14ac:dyDescent="0.3">
      <c r="A53" s="195">
        <v>3</v>
      </c>
      <c r="B53" s="4">
        <v>2</v>
      </c>
      <c r="C53" s="2">
        <v>5315.11</v>
      </c>
      <c r="D53" s="126">
        <f t="shared" si="18"/>
        <v>0.03</v>
      </c>
      <c r="E53" s="118">
        <f t="shared" si="19"/>
        <v>5089767.1947696004</v>
      </c>
      <c r="F53" s="2">
        <f t="shared" si="20"/>
        <v>8842711.726438798</v>
      </c>
      <c r="G53" s="119">
        <f t="shared" si="21"/>
        <v>9335947.9815155994</v>
      </c>
      <c r="H53" s="116">
        <f t="shared" si="31"/>
        <v>6399626.8659523204</v>
      </c>
      <c r="I53" s="104">
        <f t="shared" si="32"/>
        <v>11118397.633302959</v>
      </c>
      <c r="J53" s="117">
        <f t="shared" si="33"/>
        <v>11738569.021985518</v>
      </c>
      <c r="K53" s="118">
        <f t="shared" ref="K53:M53" si="58">H53*1.19</f>
        <v>7615555.9704832612</v>
      </c>
      <c r="L53" s="2">
        <f t="shared" si="58"/>
        <v>13230893.18363052</v>
      </c>
      <c r="M53" s="119">
        <f t="shared" si="58"/>
        <v>13968897.136162765</v>
      </c>
      <c r="N53" s="110">
        <f t="shared" si="23"/>
        <v>755155970.18237376</v>
      </c>
      <c r="O53" s="30">
        <f t="shared" si="24"/>
        <v>655985460.3648746</v>
      </c>
      <c r="P53" s="30">
        <f t="shared" si="25"/>
        <v>692575572.29714561</v>
      </c>
      <c r="Q53" s="31">
        <f t="shared" si="26"/>
        <v>2103717002.844394</v>
      </c>
      <c r="R53" s="2">
        <f t="shared" si="27"/>
        <v>600592528.98281288</v>
      </c>
      <c r="S53" s="2">
        <f t="shared" si="28"/>
        <v>521719991.85988909</v>
      </c>
      <c r="T53" s="2">
        <f t="shared" si="29"/>
        <v>550820930.90942037</v>
      </c>
      <c r="U53" s="160">
        <f t="shared" si="30"/>
        <v>1673133451.7521224</v>
      </c>
    </row>
    <row r="54" spans="1:21" ht="14.25" customHeight="1" x14ac:dyDescent="0.3">
      <c r="A54" s="195">
        <v>3</v>
      </c>
      <c r="B54" s="4">
        <v>3</v>
      </c>
      <c r="C54" s="2">
        <v>5365.17</v>
      </c>
      <c r="D54" s="126">
        <f t="shared" si="18"/>
        <v>0.03</v>
      </c>
      <c r="E54" s="118">
        <f t="shared" si="19"/>
        <v>5137704.8189711999</v>
      </c>
      <c r="F54" s="2">
        <f t="shared" si="20"/>
        <v>8925996.2020235993</v>
      </c>
      <c r="G54" s="119">
        <f t="shared" si="21"/>
        <v>9423877.9690331984</v>
      </c>
      <c r="H54" s="116">
        <f t="shared" si="31"/>
        <v>6399626.8659523204</v>
      </c>
      <c r="I54" s="104">
        <f t="shared" si="32"/>
        <v>11118397.633302959</v>
      </c>
      <c r="J54" s="117">
        <f t="shared" si="33"/>
        <v>11738569.021985518</v>
      </c>
      <c r="K54" s="118">
        <f t="shared" ref="K54:M54" si="59">H54*1.19</f>
        <v>7615555.9704832612</v>
      </c>
      <c r="L54" s="2">
        <f t="shared" si="59"/>
        <v>13230893.18363052</v>
      </c>
      <c r="M54" s="119">
        <f t="shared" si="59"/>
        <v>13968897.136162765</v>
      </c>
      <c r="N54" s="110">
        <f t="shared" si="23"/>
        <v>755155970.18237376</v>
      </c>
      <c r="O54" s="30">
        <f t="shared" si="24"/>
        <v>655985460.3648746</v>
      </c>
      <c r="P54" s="30">
        <f t="shared" si="25"/>
        <v>692575572.29714561</v>
      </c>
      <c r="Q54" s="31">
        <f t="shared" si="26"/>
        <v>2103717002.844394</v>
      </c>
      <c r="R54" s="2">
        <f t="shared" si="27"/>
        <v>606249168.63860154</v>
      </c>
      <c r="S54" s="2">
        <f t="shared" si="28"/>
        <v>526633775.91939235</v>
      </c>
      <c r="T54" s="2">
        <f t="shared" si="29"/>
        <v>556008800.17295873</v>
      </c>
      <c r="U54" s="160">
        <f t="shared" si="30"/>
        <v>1688891744.7309527</v>
      </c>
    </row>
    <row r="55" spans="1:21" ht="14.25" customHeight="1" x14ac:dyDescent="0.3">
      <c r="A55" s="195">
        <v>3</v>
      </c>
      <c r="B55" s="4">
        <v>4</v>
      </c>
      <c r="C55" s="2">
        <v>5422.34</v>
      </c>
      <c r="D55" s="126">
        <f t="shared" si="18"/>
        <v>0.03</v>
      </c>
      <c r="E55" s="118">
        <f t="shared" si="19"/>
        <v>5192451.0030624</v>
      </c>
      <c r="F55" s="2">
        <f t="shared" si="20"/>
        <v>9021109.5354072005</v>
      </c>
      <c r="G55" s="119">
        <f t="shared" si="21"/>
        <v>9524296.6143864002</v>
      </c>
      <c r="H55" s="116">
        <f t="shared" si="31"/>
        <v>6399626.8659523204</v>
      </c>
      <c r="I55" s="104">
        <f t="shared" si="32"/>
        <v>11118397.633302959</v>
      </c>
      <c r="J55" s="117">
        <f t="shared" si="33"/>
        <v>11738569.021985518</v>
      </c>
      <c r="K55" s="118">
        <f t="shared" ref="K55:M55" si="60">H55*1.19</f>
        <v>7615555.9704832612</v>
      </c>
      <c r="L55" s="2">
        <f t="shared" si="60"/>
        <v>13230893.18363052</v>
      </c>
      <c r="M55" s="119">
        <f t="shared" si="60"/>
        <v>13968897.136162765</v>
      </c>
      <c r="N55" s="110">
        <f t="shared" si="23"/>
        <v>755155970.18237376</v>
      </c>
      <c r="O55" s="30">
        <f t="shared" si="24"/>
        <v>655985460.3648746</v>
      </c>
      <c r="P55" s="30">
        <f t="shared" si="25"/>
        <v>692575572.29714561</v>
      </c>
      <c r="Q55" s="31">
        <f t="shared" si="26"/>
        <v>2103717002.844394</v>
      </c>
      <c r="R55" s="2">
        <f t="shared" si="27"/>
        <v>612709218.36136317</v>
      </c>
      <c r="S55" s="2">
        <f t="shared" si="28"/>
        <v>532245462.58902484</v>
      </c>
      <c r="T55" s="2">
        <f t="shared" si="29"/>
        <v>561933500.24879766</v>
      </c>
      <c r="U55" s="160">
        <f t="shared" si="30"/>
        <v>1706888181.1991856</v>
      </c>
    </row>
    <row r="56" spans="1:21" ht="14.25" customHeight="1" x14ac:dyDescent="0.3">
      <c r="A56" s="195">
        <v>3</v>
      </c>
      <c r="B56" s="4">
        <v>5</v>
      </c>
      <c r="C56" s="2">
        <v>5476.95</v>
      </c>
      <c r="D56" s="126">
        <f t="shared" si="18"/>
        <v>0.03</v>
      </c>
      <c r="E56" s="118">
        <f t="shared" si="19"/>
        <v>5244745.7225519996</v>
      </c>
      <c r="F56" s="2">
        <f t="shared" si="20"/>
        <v>9111963.814505998</v>
      </c>
      <c r="G56" s="119">
        <f t="shared" si="21"/>
        <v>9620218.6403219979</v>
      </c>
      <c r="H56" s="116">
        <f t="shared" si="31"/>
        <v>6399626.8659523204</v>
      </c>
      <c r="I56" s="104">
        <f t="shared" si="32"/>
        <v>11118397.633302959</v>
      </c>
      <c r="J56" s="117">
        <f t="shared" si="33"/>
        <v>11738569.021985518</v>
      </c>
      <c r="K56" s="118">
        <f t="shared" ref="K56:M56" si="61">H56*1.19</f>
        <v>7615555.9704832612</v>
      </c>
      <c r="L56" s="2">
        <f t="shared" si="61"/>
        <v>13230893.18363052</v>
      </c>
      <c r="M56" s="119">
        <f t="shared" si="61"/>
        <v>13968897.136162765</v>
      </c>
      <c r="N56" s="110">
        <f t="shared" si="23"/>
        <v>755155970.18237376</v>
      </c>
      <c r="O56" s="30">
        <f t="shared" si="24"/>
        <v>655985460.3648746</v>
      </c>
      <c r="P56" s="30">
        <f t="shared" si="25"/>
        <v>692575572.29714561</v>
      </c>
      <c r="Q56" s="31">
        <f t="shared" si="26"/>
        <v>2103717002.844394</v>
      </c>
      <c r="R56" s="2">
        <f t="shared" si="27"/>
        <v>618879995.26113594</v>
      </c>
      <c r="S56" s="2">
        <f t="shared" si="28"/>
        <v>537605865.05585384</v>
      </c>
      <c r="T56" s="2">
        <f t="shared" si="29"/>
        <v>567592899.7789979</v>
      </c>
      <c r="U56" s="160">
        <f t="shared" si="30"/>
        <v>1724078760.0959878</v>
      </c>
    </row>
    <row r="57" spans="1:21" ht="14.25" customHeight="1" x14ac:dyDescent="0.3">
      <c r="A57" s="195">
        <v>3</v>
      </c>
      <c r="B57" s="4">
        <v>6</v>
      </c>
      <c r="C57" s="2">
        <v>5534.8</v>
      </c>
      <c r="D57" s="126">
        <f t="shared" si="18"/>
        <v>0.03</v>
      </c>
      <c r="E57" s="118">
        <f t="shared" si="19"/>
        <v>5300143.076928</v>
      </c>
      <c r="F57" s="2">
        <f t="shared" si="20"/>
        <v>9208208.4591840003</v>
      </c>
      <c r="G57" s="119">
        <f t="shared" si="21"/>
        <v>9721831.7002080008</v>
      </c>
      <c r="H57" s="116">
        <f t="shared" si="31"/>
        <v>6399626.8659523204</v>
      </c>
      <c r="I57" s="104">
        <f t="shared" si="32"/>
        <v>11118397.633302959</v>
      </c>
      <c r="J57" s="117">
        <f t="shared" si="33"/>
        <v>11738569.021985518</v>
      </c>
      <c r="K57" s="118">
        <f t="shared" ref="K57:M57" si="62">H57*1.19</f>
        <v>7615555.9704832612</v>
      </c>
      <c r="L57" s="2">
        <f t="shared" si="62"/>
        <v>13230893.18363052</v>
      </c>
      <c r="M57" s="119">
        <f t="shared" si="62"/>
        <v>13968897.136162765</v>
      </c>
      <c r="N57" s="110">
        <f t="shared" si="23"/>
        <v>755155970.18237376</v>
      </c>
      <c r="O57" s="30">
        <f t="shared" si="24"/>
        <v>655985460.3648746</v>
      </c>
      <c r="P57" s="30">
        <f t="shared" si="25"/>
        <v>692575572.29714561</v>
      </c>
      <c r="Q57" s="31">
        <f t="shared" si="26"/>
        <v>2103717002.844394</v>
      </c>
      <c r="R57" s="2">
        <f t="shared" si="27"/>
        <v>625416883.07750404</v>
      </c>
      <c r="S57" s="2">
        <f t="shared" si="28"/>
        <v>543284299.091856</v>
      </c>
      <c r="T57" s="2">
        <f t="shared" si="29"/>
        <v>573588070.31227207</v>
      </c>
      <c r="U57" s="160">
        <f t="shared" si="30"/>
        <v>1742289252.4816322</v>
      </c>
    </row>
    <row r="58" spans="1:21" ht="14.25" customHeight="1" x14ac:dyDescent="0.3">
      <c r="A58" s="195">
        <v>3</v>
      </c>
      <c r="B58" s="4">
        <v>7</v>
      </c>
      <c r="C58" s="2">
        <v>5590.97</v>
      </c>
      <c r="D58" s="126">
        <f t="shared" si="18"/>
        <v>0.03</v>
      </c>
      <c r="E58" s="118">
        <f t="shared" si="19"/>
        <v>5353931.657659201</v>
      </c>
      <c r="F58" s="2">
        <f t="shared" si="20"/>
        <v>9301658.0994876008</v>
      </c>
      <c r="G58" s="119">
        <f t="shared" si="21"/>
        <v>9820493.8536012005</v>
      </c>
      <c r="H58" s="116">
        <f t="shared" si="31"/>
        <v>6399626.8659523204</v>
      </c>
      <c r="I58" s="104">
        <f t="shared" si="32"/>
        <v>11118397.633302959</v>
      </c>
      <c r="J58" s="117">
        <f t="shared" si="33"/>
        <v>11738569.021985518</v>
      </c>
      <c r="K58" s="118">
        <f t="shared" ref="K58:M58" si="63">H58*1.19</f>
        <v>7615555.9704832612</v>
      </c>
      <c r="L58" s="2">
        <f t="shared" si="63"/>
        <v>13230893.18363052</v>
      </c>
      <c r="M58" s="119">
        <f t="shared" si="63"/>
        <v>13968897.136162765</v>
      </c>
      <c r="N58" s="110">
        <f t="shared" si="23"/>
        <v>755155970.18237376</v>
      </c>
      <c r="O58" s="30">
        <f t="shared" si="24"/>
        <v>655985460.3648746</v>
      </c>
      <c r="P58" s="30">
        <f t="shared" si="25"/>
        <v>692575572.29714561</v>
      </c>
      <c r="Q58" s="31">
        <f t="shared" si="26"/>
        <v>2103717002.844394</v>
      </c>
      <c r="R58" s="2">
        <f t="shared" si="27"/>
        <v>631763935.60378575</v>
      </c>
      <c r="S58" s="2">
        <f t="shared" si="28"/>
        <v>548797827.8697685</v>
      </c>
      <c r="T58" s="2">
        <f t="shared" si="29"/>
        <v>579409137.36247087</v>
      </c>
      <c r="U58" s="160">
        <f t="shared" si="30"/>
        <v>1759970900.836025</v>
      </c>
    </row>
    <row r="59" spans="1:21" ht="14.25" customHeight="1" x14ac:dyDescent="0.3">
      <c r="A59" s="195">
        <v>3</v>
      </c>
      <c r="B59" s="4">
        <v>8</v>
      </c>
      <c r="C59" s="2">
        <v>5652.2</v>
      </c>
      <c r="D59" s="126">
        <f t="shared" si="18"/>
        <v>0.03</v>
      </c>
      <c r="E59" s="118">
        <f t="shared" si="19"/>
        <v>5412565.7113919994</v>
      </c>
      <c r="F59" s="2">
        <f t="shared" si="20"/>
        <v>9403526.026775999</v>
      </c>
      <c r="G59" s="119">
        <f t="shared" si="21"/>
        <v>9928043.8563119993</v>
      </c>
      <c r="H59" s="116">
        <f t="shared" si="31"/>
        <v>6399626.8659523204</v>
      </c>
      <c r="I59" s="104">
        <f t="shared" si="32"/>
        <v>11118397.633302959</v>
      </c>
      <c r="J59" s="117">
        <f t="shared" si="33"/>
        <v>11738569.021985518</v>
      </c>
      <c r="K59" s="118">
        <f t="shared" ref="K59:M59" si="64">H59*1.19</f>
        <v>7615555.9704832612</v>
      </c>
      <c r="L59" s="2">
        <f t="shared" si="64"/>
        <v>13230893.18363052</v>
      </c>
      <c r="M59" s="119">
        <f t="shared" si="64"/>
        <v>13968897.136162765</v>
      </c>
      <c r="N59" s="110">
        <f t="shared" si="23"/>
        <v>755155970.18237376</v>
      </c>
      <c r="O59" s="30">
        <f t="shared" si="24"/>
        <v>655985460.3648746</v>
      </c>
      <c r="P59" s="30">
        <f t="shared" si="25"/>
        <v>692575572.29714561</v>
      </c>
      <c r="Q59" s="31">
        <f t="shared" si="26"/>
        <v>2103717002.844394</v>
      </c>
      <c r="R59" s="2">
        <f t="shared" si="27"/>
        <v>638682753.94425595</v>
      </c>
      <c r="S59" s="2">
        <f t="shared" si="28"/>
        <v>554808035.57978392</v>
      </c>
      <c r="T59" s="2">
        <f t="shared" si="29"/>
        <v>585754587.52240801</v>
      </c>
      <c r="U59" s="160">
        <f t="shared" si="30"/>
        <v>1779245377.0464478</v>
      </c>
    </row>
    <row r="60" spans="1:21" ht="14.25" customHeight="1" x14ac:dyDescent="0.3">
      <c r="A60" s="195">
        <v>3</v>
      </c>
      <c r="B60" s="4">
        <v>9</v>
      </c>
      <c r="C60" s="2">
        <v>5711.5</v>
      </c>
      <c r="D60" s="126">
        <f t="shared" si="18"/>
        <v>0.03</v>
      </c>
      <c r="E60" s="118">
        <f t="shared" si="19"/>
        <v>5469351.5906400001</v>
      </c>
      <c r="F60" s="2">
        <f t="shared" si="20"/>
        <v>9502183.0264199991</v>
      </c>
      <c r="G60" s="119">
        <f t="shared" si="21"/>
        <v>10032203.829539999</v>
      </c>
      <c r="H60" s="116">
        <f t="shared" si="31"/>
        <v>6399626.8659523204</v>
      </c>
      <c r="I60" s="104">
        <f t="shared" si="32"/>
        <v>11118397.633302959</v>
      </c>
      <c r="J60" s="117">
        <f t="shared" si="33"/>
        <v>11738569.021985518</v>
      </c>
      <c r="K60" s="118">
        <f t="shared" ref="K60:M60" si="65">H60*1.19</f>
        <v>7615555.9704832612</v>
      </c>
      <c r="L60" s="2">
        <f t="shared" si="65"/>
        <v>13230893.18363052</v>
      </c>
      <c r="M60" s="119">
        <f t="shared" si="65"/>
        <v>13968897.136162765</v>
      </c>
      <c r="N60" s="110">
        <f t="shared" si="23"/>
        <v>755155970.18237376</v>
      </c>
      <c r="O60" s="30">
        <f t="shared" si="24"/>
        <v>655985460.3648746</v>
      </c>
      <c r="P60" s="30">
        <f t="shared" si="25"/>
        <v>692575572.29714561</v>
      </c>
      <c r="Q60" s="31">
        <f t="shared" si="26"/>
        <v>2103717002.844394</v>
      </c>
      <c r="R60" s="2">
        <f t="shared" si="27"/>
        <v>645383487.69552004</v>
      </c>
      <c r="S60" s="2">
        <f t="shared" si="28"/>
        <v>560628798.55877995</v>
      </c>
      <c r="T60" s="2">
        <f t="shared" si="29"/>
        <v>591900025.94286001</v>
      </c>
      <c r="U60" s="160">
        <f t="shared" si="30"/>
        <v>1797912312.1971602</v>
      </c>
    </row>
    <row r="61" spans="1:21" ht="14.25" customHeight="1" x14ac:dyDescent="0.3">
      <c r="A61" s="195">
        <v>3</v>
      </c>
      <c r="B61" s="4">
        <v>10</v>
      </c>
      <c r="C61" s="2">
        <v>5767.2</v>
      </c>
      <c r="D61" s="126">
        <f t="shared" si="18"/>
        <v>0.03</v>
      </c>
      <c r="E61" s="118">
        <f t="shared" si="19"/>
        <v>5522690.0977919996</v>
      </c>
      <c r="F61" s="2">
        <f t="shared" si="20"/>
        <v>9594850.7309759986</v>
      </c>
      <c r="G61" s="119">
        <f t="shared" si="21"/>
        <v>10130040.431711998</v>
      </c>
      <c r="H61" s="116">
        <f t="shared" si="31"/>
        <v>6399626.8659523204</v>
      </c>
      <c r="I61" s="104">
        <f t="shared" si="32"/>
        <v>11118397.633302959</v>
      </c>
      <c r="J61" s="117">
        <f t="shared" si="33"/>
        <v>11738569.021985518</v>
      </c>
      <c r="K61" s="118">
        <f t="shared" ref="K61:M61" si="66">H61*1.19</f>
        <v>7615555.9704832612</v>
      </c>
      <c r="L61" s="2">
        <f t="shared" si="66"/>
        <v>13230893.18363052</v>
      </c>
      <c r="M61" s="119">
        <f t="shared" si="66"/>
        <v>13968897.136162765</v>
      </c>
      <c r="N61" s="110">
        <f t="shared" si="23"/>
        <v>755155970.18237376</v>
      </c>
      <c r="O61" s="30">
        <f t="shared" si="24"/>
        <v>655985460.3648746</v>
      </c>
      <c r="P61" s="30">
        <f t="shared" si="25"/>
        <v>692575572.29714561</v>
      </c>
      <c r="Q61" s="31">
        <f t="shared" si="26"/>
        <v>2103717002.844394</v>
      </c>
      <c r="R61" s="2">
        <f t="shared" si="27"/>
        <v>651677431.53945589</v>
      </c>
      <c r="S61" s="2">
        <f t="shared" si="28"/>
        <v>566096193.12758386</v>
      </c>
      <c r="T61" s="2">
        <f t="shared" si="29"/>
        <v>597672385.47100782</v>
      </c>
      <c r="U61" s="160">
        <f t="shared" si="30"/>
        <v>1815446010.1380477</v>
      </c>
    </row>
    <row r="62" spans="1:21" ht="14.25" customHeight="1" x14ac:dyDescent="0.3">
      <c r="A62" s="195">
        <v>3</v>
      </c>
      <c r="B62" s="4">
        <v>11</v>
      </c>
      <c r="C62" s="2">
        <v>5832.39</v>
      </c>
      <c r="D62" s="126">
        <f t="shared" si="18"/>
        <v>0.03</v>
      </c>
      <c r="E62" s="118">
        <f t="shared" si="19"/>
        <v>5585116.2608304005</v>
      </c>
      <c r="F62" s="2">
        <f t="shared" si="20"/>
        <v>9703306.8828612007</v>
      </c>
      <c r="G62" s="119">
        <f t="shared" si="21"/>
        <v>10244546.1425844</v>
      </c>
      <c r="H62" s="116">
        <f t="shared" si="31"/>
        <v>6399626.8659523204</v>
      </c>
      <c r="I62" s="104">
        <f t="shared" si="32"/>
        <v>11118397.633302959</v>
      </c>
      <c r="J62" s="117">
        <f t="shared" si="33"/>
        <v>11738569.021985518</v>
      </c>
      <c r="K62" s="118">
        <f t="shared" ref="K62:M62" si="67">H62*1.19</f>
        <v>7615555.9704832612</v>
      </c>
      <c r="L62" s="2">
        <f t="shared" si="67"/>
        <v>13230893.18363052</v>
      </c>
      <c r="M62" s="119">
        <f t="shared" si="67"/>
        <v>13968897.136162765</v>
      </c>
      <c r="N62" s="110">
        <f t="shared" si="23"/>
        <v>755155970.18237376</v>
      </c>
      <c r="O62" s="30">
        <f t="shared" si="24"/>
        <v>655985460.3648746</v>
      </c>
      <c r="P62" s="30">
        <f t="shared" si="25"/>
        <v>692575572.29714561</v>
      </c>
      <c r="Q62" s="31">
        <f t="shared" si="26"/>
        <v>2103717002.844394</v>
      </c>
      <c r="R62" s="2">
        <f t="shared" si="27"/>
        <v>659043718.77798724</v>
      </c>
      <c r="S62" s="2">
        <f t="shared" si="28"/>
        <v>572495106.0888108</v>
      </c>
      <c r="T62" s="2">
        <f t="shared" si="29"/>
        <v>604428222.41247964</v>
      </c>
      <c r="U62" s="160">
        <f t="shared" si="30"/>
        <v>1835967047.2792776</v>
      </c>
    </row>
    <row r="63" spans="1:21" ht="14.25" customHeight="1" thickBot="1" x14ac:dyDescent="0.35">
      <c r="A63" s="196">
        <v>3</v>
      </c>
      <c r="B63" s="197">
        <v>12</v>
      </c>
      <c r="C63" s="121">
        <v>5895.9</v>
      </c>
      <c r="D63" s="198">
        <f t="shared" si="18"/>
        <v>0.03</v>
      </c>
      <c r="E63" s="120">
        <f t="shared" si="19"/>
        <v>5645933.6502240002</v>
      </c>
      <c r="F63" s="121">
        <f t="shared" si="20"/>
        <v>9808968.0303719994</v>
      </c>
      <c r="G63" s="122">
        <f t="shared" si="21"/>
        <v>10356100.946963998</v>
      </c>
      <c r="H63" s="167">
        <f t="shared" si="31"/>
        <v>6399626.8659523204</v>
      </c>
      <c r="I63" s="168">
        <f t="shared" si="32"/>
        <v>11118397.633302959</v>
      </c>
      <c r="J63" s="169">
        <f t="shared" si="33"/>
        <v>11738569.021985518</v>
      </c>
      <c r="K63" s="120">
        <f t="shared" ref="K63:M63" si="68">H63*1.19</f>
        <v>7615555.9704832612</v>
      </c>
      <c r="L63" s="121">
        <f t="shared" si="68"/>
        <v>13230893.18363052</v>
      </c>
      <c r="M63" s="122">
        <f t="shared" si="68"/>
        <v>13968897.136162765</v>
      </c>
      <c r="N63" s="170">
        <f t="shared" si="23"/>
        <v>755155970.18237376</v>
      </c>
      <c r="O63" s="171">
        <f t="shared" si="24"/>
        <v>655985460.3648746</v>
      </c>
      <c r="P63" s="171">
        <f t="shared" si="25"/>
        <v>692575572.29714561</v>
      </c>
      <c r="Q63" s="199">
        <f t="shared" si="26"/>
        <v>2103717002.844394</v>
      </c>
      <c r="R63" s="121">
        <f t="shared" si="27"/>
        <v>666220170.72643209</v>
      </c>
      <c r="S63" s="121">
        <f t="shared" si="28"/>
        <v>578729113.79194796</v>
      </c>
      <c r="T63" s="121">
        <f t="shared" si="29"/>
        <v>611009955.87087584</v>
      </c>
      <c r="U63" s="173">
        <f t="shared" si="30"/>
        <v>1855959240.389256</v>
      </c>
    </row>
    <row r="64" spans="1:21" ht="14.25" customHeight="1" x14ac:dyDescent="0.3">
      <c r="A64" s="187">
        <v>4</v>
      </c>
      <c r="B64" s="188">
        <v>1</v>
      </c>
      <c r="C64" s="157">
        <v>5962.9</v>
      </c>
      <c r="D64" s="189">
        <f t="shared" si="18"/>
        <v>0.04</v>
      </c>
      <c r="E64" s="190">
        <f t="shared" si="19"/>
        <v>5765530.872192</v>
      </c>
      <c r="F64" s="157">
        <f t="shared" si="20"/>
        <v>10016750.374175999</v>
      </c>
      <c r="G64" s="191">
        <f t="shared" si="21"/>
        <v>10575473.150111999</v>
      </c>
      <c r="H64" s="151">
        <f t="shared" si="31"/>
        <v>7342910.0765529601</v>
      </c>
      <c r="I64" s="149">
        <f t="shared" si="32"/>
        <v>12757211.58854688</v>
      </c>
      <c r="J64" s="152">
        <f t="shared" si="33"/>
        <v>13468794.128362557</v>
      </c>
      <c r="K64" s="190">
        <f t="shared" ref="K64:M64" si="69">H64*1.19</f>
        <v>8738062.9910980221</v>
      </c>
      <c r="L64" s="157">
        <f t="shared" si="69"/>
        <v>15181081.790370787</v>
      </c>
      <c r="M64" s="191">
        <f t="shared" si="69"/>
        <v>16027865.012751441</v>
      </c>
      <c r="N64" s="192">
        <f t="shared" si="23"/>
        <v>1042693230.8705204</v>
      </c>
      <c r="O64" s="193">
        <f t="shared" si="24"/>
        <v>905762022.7868284</v>
      </c>
      <c r="P64" s="193">
        <f t="shared" si="25"/>
        <v>956284383.11374152</v>
      </c>
      <c r="Q64" s="194">
        <f t="shared" si="26"/>
        <v>2904739636.77109</v>
      </c>
      <c r="R64" s="157">
        <f t="shared" si="27"/>
        <v>818705383.851264</v>
      </c>
      <c r="S64" s="157">
        <f t="shared" si="28"/>
        <v>711189276.5664959</v>
      </c>
      <c r="T64" s="157">
        <f t="shared" si="29"/>
        <v>750858593.65795195</v>
      </c>
      <c r="U64" s="158">
        <f t="shared" si="30"/>
        <v>2280753254.0757117</v>
      </c>
    </row>
    <row r="65" spans="1:21" ht="14.25" customHeight="1" x14ac:dyDescent="0.3">
      <c r="A65" s="195">
        <v>4</v>
      </c>
      <c r="B65" s="4">
        <v>2</v>
      </c>
      <c r="C65" s="2">
        <v>6023.95</v>
      </c>
      <c r="D65" s="126">
        <f t="shared" si="18"/>
        <v>0.04</v>
      </c>
      <c r="E65" s="118">
        <f t="shared" si="19"/>
        <v>5824560.1464960007</v>
      </c>
      <c r="F65" s="2">
        <f t="shared" si="20"/>
        <v>10119304.938287999</v>
      </c>
      <c r="G65" s="119">
        <f t="shared" si="21"/>
        <v>10683748.089455999</v>
      </c>
      <c r="H65" s="116">
        <f t="shared" si="31"/>
        <v>7342910.0765529601</v>
      </c>
      <c r="I65" s="104">
        <f t="shared" si="32"/>
        <v>12757211.58854688</v>
      </c>
      <c r="J65" s="117">
        <f t="shared" si="33"/>
        <v>13468794.128362557</v>
      </c>
      <c r="K65" s="118">
        <f t="shared" ref="K65:M65" si="70">H65*1.19</f>
        <v>8738062.9910980221</v>
      </c>
      <c r="L65" s="2">
        <f t="shared" si="70"/>
        <v>15181081.790370787</v>
      </c>
      <c r="M65" s="119">
        <f t="shared" si="70"/>
        <v>16027865.012751441</v>
      </c>
      <c r="N65" s="110">
        <f t="shared" si="23"/>
        <v>1042693230.8705204</v>
      </c>
      <c r="O65" s="30">
        <f t="shared" si="24"/>
        <v>905762022.7868284</v>
      </c>
      <c r="P65" s="30">
        <f t="shared" si="25"/>
        <v>956284383.11374152</v>
      </c>
      <c r="Q65" s="31">
        <f t="shared" si="26"/>
        <v>2904739636.77109</v>
      </c>
      <c r="R65" s="2">
        <f t="shared" si="27"/>
        <v>827087540.80243206</v>
      </c>
      <c r="S65" s="2">
        <f t="shared" si="28"/>
        <v>718470650.61844802</v>
      </c>
      <c r="T65" s="2">
        <f t="shared" si="29"/>
        <v>758546114.35137594</v>
      </c>
      <c r="U65" s="160">
        <f t="shared" si="30"/>
        <v>2304104305.7722559</v>
      </c>
    </row>
    <row r="66" spans="1:21" ht="14.25" customHeight="1" x14ac:dyDescent="0.3">
      <c r="A66" s="195">
        <v>4</v>
      </c>
      <c r="B66" s="4">
        <v>3</v>
      </c>
      <c r="C66" s="2">
        <v>6082.43</v>
      </c>
      <c r="D66" s="126">
        <f t="shared" si="18"/>
        <v>0.04</v>
      </c>
      <c r="E66" s="118">
        <f t="shared" si="19"/>
        <v>5881104.4865664011</v>
      </c>
      <c r="F66" s="2">
        <f t="shared" si="20"/>
        <v>10217542.2996192</v>
      </c>
      <c r="G66" s="119">
        <f t="shared" si="21"/>
        <v>10787465.017430399</v>
      </c>
      <c r="H66" s="116">
        <f t="shared" si="31"/>
        <v>7342910.0765529601</v>
      </c>
      <c r="I66" s="104">
        <f t="shared" si="32"/>
        <v>12757211.58854688</v>
      </c>
      <c r="J66" s="117">
        <f t="shared" si="33"/>
        <v>13468794.128362557</v>
      </c>
      <c r="K66" s="118">
        <f t="shared" ref="K66:M66" si="71">H66*1.19</f>
        <v>8738062.9910980221</v>
      </c>
      <c r="L66" s="2">
        <f t="shared" si="71"/>
        <v>15181081.790370787</v>
      </c>
      <c r="M66" s="119">
        <f t="shared" si="71"/>
        <v>16027865.012751441</v>
      </c>
      <c r="N66" s="110">
        <f t="shared" si="23"/>
        <v>1042693230.8705204</v>
      </c>
      <c r="O66" s="30">
        <f t="shared" si="24"/>
        <v>905762022.7868284</v>
      </c>
      <c r="P66" s="30">
        <f t="shared" si="25"/>
        <v>956284383.11374152</v>
      </c>
      <c r="Q66" s="31">
        <f t="shared" si="26"/>
        <v>2904739636.77109</v>
      </c>
      <c r="R66" s="2">
        <f t="shared" si="27"/>
        <v>835116837.09242892</v>
      </c>
      <c r="S66" s="2">
        <f t="shared" si="28"/>
        <v>725445503.27296317</v>
      </c>
      <c r="T66" s="2">
        <f t="shared" si="29"/>
        <v>765910016.23755825</v>
      </c>
      <c r="U66" s="160">
        <f t="shared" si="30"/>
        <v>2326472356.6029506</v>
      </c>
    </row>
    <row r="67" spans="1:21" ht="14.25" customHeight="1" x14ac:dyDescent="0.3">
      <c r="A67" s="195">
        <v>4</v>
      </c>
      <c r="B67" s="4">
        <v>4</v>
      </c>
      <c r="C67" s="2">
        <v>6151.13</v>
      </c>
      <c r="D67" s="126">
        <f t="shared" si="18"/>
        <v>0.04</v>
      </c>
      <c r="E67" s="118">
        <f t="shared" si="19"/>
        <v>5947530.549542401</v>
      </c>
      <c r="F67" s="2">
        <f t="shared" si="20"/>
        <v>10332947.681347201</v>
      </c>
      <c r="G67" s="119">
        <f t="shared" si="21"/>
        <v>10909307.578166399</v>
      </c>
      <c r="H67" s="116">
        <f t="shared" si="31"/>
        <v>7342910.0765529601</v>
      </c>
      <c r="I67" s="104">
        <f t="shared" si="32"/>
        <v>12757211.58854688</v>
      </c>
      <c r="J67" s="117">
        <f t="shared" si="33"/>
        <v>13468794.128362557</v>
      </c>
      <c r="K67" s="118">
        <f t="shared" ref="K67:M67" si="72">H67*1.19</f>
        <v>8738062.9910980221</v>
      </c>
      <c r="L67" s="2">
        <f t="shared" si="72"/>
        <v>15181081.790370787</v>
      </c>
      <c r="M67" s="119">
        <f t="shared" si="72"/>
        <v>16027865.012751441</v>
      </c>
      <c r="N67" s="110">
        <f t="shared" si="23"/>
        <v>1042693230.8705204</v>
      </c>
      <c r="O67" s="30">
        <f t="shared" si="24"/>
        <v>905762022.7868284</v>
      </c>
      <c r="P67" s="30">
        <f t="shared" si="25"/>
        <v>956284383.11374152</v>
      </c>
      <c r="Q67" s="31">
        <f t="shared" si="26"/>
        <v>2904739636.77109</v>
      </c>
      <c r="R67" s="2">
        <f t="shared" si="27"/>
        <v>844549338.03502095</v>
      </c>
      <c r="S67" s="2">
        <f t="shared" si="28"/>
        <v>733639285.37565124</v>
      </c>
      <c r="T67" s="2">
        <f t="shared" si="29"/>
        <v>774560838.04981434</v>
      </c>
      <c r="U67" s="160">
        <f t="shared" si="30"/>
        <v>2352749461.4604864</v>
      </c>
    </row>
    <row r="68" spans="1:21" ht="14.25" customHeight="1" x14ac:dyDescent="0.3">
      <c r="A68" s="195">
        <v>4</v>
      </c>
      <c r="B68" s="4">
        <v>5</v>
      </c>
      <c r="C68" s="2">
        <v>6217.06</v>
      </c>
      <c r="D68" s="126">
        <f t="shared" si="18"/>
        <v>0.04</v>
      </c>
      <c r="E68" s="118">
        <f t="shared" si="19"/>
        <v>6011278.2981888</v>
      </c>
      <c r="F68" s="2">
        <f t="shared" si="20"/>
        <v>10443699.8912064</v>
      </c>
      <c r="G68" s="119">
        <f t="shared" si="21"/>
        <v>11026237.4184768</v>
      </c>
      <c r="H68" s="116">
        <f t="shared" si="31"/>
        <v>7342910.0765529601</v>
      </c>
      <c r="I68" s="104">
        <f t="shared" si="32"/>
        <v>12757211.58854688</v>
      </c>
      <c r="J68" s="117">
        <f t="shared" si="33"/>
        <v>13468794.128362557</v>
      </c>
      <c r="K68" s="118">
        <f t="shared" ref="K68:M68" si="73">H68*1.19</f>
        <v>8738062.9910980221</v>
      </c>
      <c r="L68" s="2">
        <f t="shared" si="73"/>
        <v>15181081.790370787</v>
      </c>
      <c r="M68" s="119">
        <f t="shared" si="73"/>
        <v>16027865.012751441</v>
      </c>
      <c r="N68" s="110">
        <f t="shared" si="23"/>
        <v>1042693230.8705204</v>
      </c>
      <c r="O68" s="30">
        <f t="shared" si="24"/>
        <v>905762022.7868284</v>
      </c>
      <c r="P68" s="30">
        <f t="shared" si="25"/>
        <v>956284383.11374152</v>
      </c>
      <c r="Q68" s="31">
        <f t="shared" si="26"/>
        <v>2904739636.77109</v>
      </c>
      <c r="R68" s="2">
        <f t="shared" si="27"/>
        <v>853601518.34280956</v>
      </c>
      <c r="S68" s="2">
        <f t="shared" si="28"/>
        <v>741502692.27565444</v>
      </c>
      <c r="T68" s="2">
        <f t="shared" si="29"/>
        <v>782862856.71185279</v>
      </c>
      <c r="U68" s="160">
        <f t="shared" si="30"/>
        <v>2377967067.3303165</v>
      </c>
    </row>
    <row r="69" spans="1:21" ht="14.25" customHeight="1" x14ac:dyDescent="0.3">
      <c r="A69" s="195">
        <v>4</v>
      </c>
      <c r="B69" s="4">
        <v>6</v>
      </c>
      <c r="C69" s="2">
        <v>6286.79</v>
      </c>
      <c r="D69" s="126">
        <f t="shared" si="18"/>
        <v>0.04</v>
      </c>
      <c r="E69" s="118">
        <f t="shared" si="19"/>
        <v>6078700.2686592005</v>
      </c>
      <c r="F69" s="2">
        <f t="shared" si="20"/>
        <v>10560835.5137376</v>
      </c>
      <c r="G69" s="119">
        <f t="shared" si="21"/>
        <v>11149906.730851199</v>
      </c>
      <c r="H69" s="116">
        <f t="shared" si="31"/>
        <v>7342910.0765529601</v>
      </c>
      <c r="I69" s="104">
        <f t="shared" si="32"/>
        <v>12757211.58854688</v>
      </c>
      <c r="J69" s="117">
        <f t="shared" si="33"/>
        <v>13468794.128362557</v>
      </c>
      <c r="K69" s="118">
        <f t="shared" ref="K69:M69" si="74">H69*1.19</f>
        <v>8738062.9910980221</v>
      </c>
      <c r="L69" s="2">
        <f t="shared" si="74"/>
        <v>15181081.790370787</v>
      </c>
      <c r="M69" s="119">
        <f t="shared" si="74"/>
        <v>16027865.012751441</v>
      </c>
      <c r="N69" s="110">
        <f t="shared" si="23"/>
        <v>1042693230.8705204</v>
      </c>
      <c r="O69" s="30">
        <f t="shared" si="24"/>
        <v>905762022.7868284</v>
      </c>
      <c r="P69" s="30">
        <f t="shared" si="25"/>
        <v>956284383.11374152</v>
      </c>
      <c r="Q69" s="31">
        <f t="shared" si="26"/>
        <v>2904739636.77109</v>
      </c>
      <c r="R69" s="2">
        <f t="shared" si="27"/>
        <v>863175438.14960647</v>
      </c>
      <c r="S69" s="2">
        <f t="shared" si="28"/>
        <v>749819321.47536957</v>
      </c>
      <c r="T69" s="2">
        <f t="shared" si="29"/>
        <v>791643377.89043522</v>
      </c>
      <c r="U69" s="160">
        <f t="shared" si="30"/>
        <v>2404638137.5154114</v>
      </c>
    </row>
    <row r="70" spans="1:21" ht="14.25" customHeight="1" x14ac:dyDescent="0.3">
      <c r="A70" s="195">
        <v>4</v>
      </c>
      <c r="B70" s="4">
        <v>7</v>
      </c>
      <c r="C70" s="2">
        <v>6354.64</v>
      </c>
      <c r="D70" s="126">
        <f t="shared" si="18"/>
        <v>0.04</v>
      </c>
      <c r="E70" s="118">
        <f t="shared" si="19"/>
        <v>6144304.4662272008</v>
      </c>
      <c r="F70" s="2">
        <f t="shared" si="20"/>
        <v>10674813.026841601</v>
      </c>
      <c r="G70" s="119">
        <f t="shared" si="21"/>
        <v>11270241.7780992</v>
      </c>
      <c r="H70" s="116">
        <f t="shared" si="31"/>
        <v>7342910.0765529601</v>
      </c>
      <c r="I70" s="104">
        <f t="shared" si="32"/>
        <v>12757211.58854688</v>
      </c>
      <c r="J70" s="117">
        <f t="shared" si="33"/>
        <v>13468794.128362557</v>
      </c>
      <c r="K70" s="118">
        <f t="shared" ref="K70:M70" si="75">H70*1.19</f>
        <v>8738062.9910980221</v>
      </c>
      <c r="L70" s="2">
        <f t="shared" si="75"/>
        <v>15181081.790370787</v>
      </c>
      <c r="M70" s="119">
        <f t="shared" si="75"/>
        <v>16027865.012751441</v>
      </c>
      <c r="N70" s="110">
        <f t="shared" si="23"/>
        <v>1042693230.8705204</v>
      </c>
      <c r="O70" s="30">
        <f t="shared" si="24"/>
        <v>905762022.7868284</v>
      </c>
      <c r="P70" s="30">
        <f t="shared" si="25"/>
        <v>956284383.11374152</v>
      </c>
      <c r="Q70" s="31">
        <f t="shared" si="26"/>
        <v>2904739636.77109</v>
      </c>
      <c r="R70" s="2">
        <f t="shared" si="27"/>
        <v>872491234.2042625</v>
      </c>
      <c r="S70" s="2">
        <f t="shared" si="28"/>
        <v>757911724.90575373</v>
      </c>
      <c r="T70" s="2">
        <f t="shared" si="29"/>
        <v>800187166.24504316</v>
      </c>
      <c r="U70" s="160">
        <f t="shared" si="30"/>
        <v>2430590125.3550596</v>
      </c>
    </row>
    <row r="71" spans="1:21" ht="14.25" customHeight="1" x14ac:dyDescent="0.3">
      <c r="A71" s="195">
        <v>4</v>
      </c>
      <c r="B71" s="4">
        <v>8</v>
      </c>
      <c r="C71" s="2">
        <v>6428.15</v>
      </c>
      <c r="D71" s="126">
        <f t="shared" si="18"/>
        <v>0.04</v>
      </c>
      <c r="E71" s="118">
        <f t="shared" si="19"/>
        <v>6215381.3205119995</v>
      </c>
      <c r="F71" s="2">
        <f t="shared" si="20"/>
        <v>10798298.465135999</v>
      </c>
      <c r="G71" s="119">
        <f t="shared" si="21"/>
        <v>11400615.091631999</v>
      </c>
      <c r="H71" s="116">
        <f t="shared" si="31"/>
        <v>7342910.0765529601</v>
      </c>
      <c r="I71" s="104">
        <f t="shared" si="32"/>
        <v>12757211.58854688</v>
      </c>
      <c r="J71" s="117">
        <f t="shared" si="33"/>
        <v>13468794.128362557</v>
      </c>
      <c r="K71" s="118">
        <f t="shared" ref="K71:M71" si="76">H71*1.19</f>
        <v>8738062.9910980221</v>
      </c>
      <c r="L71" s="2">
        <f t="shared" si="76"/>
        <v>15181081.790370787</v>
      </c>
      <c r="M71" s="119">
        <f t="shared" si="76"/>
        <v>16027865.012751441</v>
      </c>
      <c r="N71" s="110">
        <f t="shared" si="23"/>
        <v>1042693230.8705204</v>
      </c>
      <c r="O71" s="30">
        <f t="shared" si="24"/>
        <v>905762022.7868284</v>
      </c>
      <c r="P71" s="30">
        <f t="shared" si="25"/>
        <v>956284383.11374152</v>
      </c>
      <c r="Q71" s="31">
        <f t="shared" si="26"/>
        <v>2904739636.77109</v>
      </c>
      <c r="R71" s="2">
        <f t="shared" si="27"/>
        <v>882584147.5127039</v>
      </c>
      <c r="S71" s="2">
        <f t="shared" si="28"/>
        <v>766679191.02465594</v>
      </c>
      <c r="T71" s="2">
        <f t="shared" si="29"/>
        <v>809443671.50587189</v>
      </c>
      <c r="U71" s="160">
        <f t="shared" si="30"/>
        <v>2458707010.0432315</v>
      </c>
    </row>
    <row r="72" spans="1:21" ht="14.25" customHeight="1" x14ac:dyDescent="0.3">
      <c r="A72" s="195">
        <v>4</v>
      </c>
      <c r="B72" s="4">
        <v>9</v>
      </c>
      <c r="C72" s="2">
        <v>6499.9</v>
      </c>
      <c r="D72" s="126">
        <f t="shared" si="18"/>
        <v>0.04</v>
      </c>
      <c r="E72" s="118">
        <f t="shared" si="19"/>
        <v>6284756.4299519993</v>
      </c>
      <c r="F72" s="2">
        <f t="shared" si="20"/>
        <v>10918827.375456</v>
      </c>
      <c r="G72" s="119">
        <f t="shared" si="21"/>
        <v>11527866.965472</v>
      </c>
      <c r="H72" s="116">
        <f t="shared" si="31"/>
        <v>7342910.0765529601</v>
      </c>
      <c r="I72" s="104">
        <f t="shared" si="32"/>
        <v>12757211.58854688</v>
      </c>
      <c r="J72" s="117">
        <f t="shared" si="33"/>
        <v>13468794.128362557</v>
      </c>
      <c r="K72" s="118">
        <f t="shared" ref="K72:M72" si="77">H72*1.19</f>
        <v>8738062.9910980221</v>
      </c>
      <c r="L72" s="2">
        <f t="shared" si="77"/>
        <v>15181081.790370787</v>
      </c>
      <c r="M72" s="119">
        <f t="shared" si="77"/>
        <v>16027865.012751441</v>
      </c>
      <c r="N72" s="110">
        <f t="shared" si="23"/>
        <v>1042693230.8705204</v>
      </c>
      <c r="O72" s="30">
        <f t="shared" si="24"/>
        <v>905762022.7868284</v>
      </c>
      <c r="P72" s="30">
        <f t="shared" si="25"/>
        <v>956284383.11374152</v>
      </c>
      <c r="Q72" s="31">
        <f t="shared" si="26"/>
        <v>2904739636.77109</v>
      </c>
      <c r="R72" s="2">
        <f t="shared" si="27"/>
        <v>892435413.05318391</v>
      </c>
      <c r="S72" s="2">
        <f t="shared" si="28"/>
        <v>775236743.65737593</v>
      </c>
      <c r="T72" s="2">
        <f t="shared" si="29"/>
        <v>818478554.54851198</v>
      </c>
      <c r="U72" s="160">
        <f t="shared" si="30"/>
        <v>2486150711.2590718</v>
      </c>
    </row>
    <row r="73" spans="1:21" ht="14.25" customHeight="1" x14ac:dyDescent="0.3">
      <c r="A73" s="195">
        <v>4</v>
      </c>
      <c r="B73" s="4">
        <v>10</v>
      </c>
      <c r="C73" s="2">
        <v>6567.83</v>
      </c>
      <c r="D73" s="126">
        <f t="shared" si="18"/>
        <v>0.04</v>
      </c>
      <c r="E73" s="118">
        <f t="shared" si="19"/>
        <v>6350437.9795583999</v>
      </c>
      <c r="F73" s="2">
        <f t="shared" si="20"/>
        <v>11032939.2761952</v>
      </c>
      <c r="G73" s="119">
        <f t="shared" si="21"/>
        <v>11648343.896342399</v>
      </c>
      <c r="H73" s="116">
        <f t="shared" si="31"/>
        <v>7342910.0765529601</v>
      </c>
      <c r="I73" s="104">
        <f t="shared" si="32"/>
        <v>12757211.58854688</v>
      </c>
      <c r="J73" s="117">
        <f t="shared" si="33"/>
        <v>13468794.128362557</v>
      </c>
      <c r="K73" s="118">
        <f t="shared" ref="K73:M73" si="78">H73*1.19</f>
        <v>8738062.9910980221</v>
      </c>
      <c r="L73" s="2">
        <f t="shared" si="78"/>
        <v>15181081.790370787</v>
      </c>
      <c r="M73" s="119">
        <f t="shared" si="78"/>
        <v>16027865.012751441</v>
      </c>
      <c r="N73" s="110">
        <f t="shared" si="23"/>
        <v>1042693230.8705204</v>
      </c>
      <c r="O73" s="30">
        <f t="shared" si="24"/>
        <v>905762022.7868284</v>
      </c>
      <c r="P73" s="30">
        <f t="shared" si="25"/>
        <v>956284383.11374152</v>
      </c>
      <c r="Q73" s="31">
        <f t="shared" si="26"/>
        <v>2904739636.77109</v>
      </c>
      <c r="R73" s="2">
        <f t="shared" si="27"/>
        <v>901762193.09729278</v>
      </c>
      <c r="S73" s="2">
        <f t="shared" si="28"/>
        <v>783338688.60985923</v>
      </c>
      <c r="T73" s="2">
        <f t="shared" si="29"/>
        <v>827032416.64031029</v>
      </c>
      <c r="U73" s="160">
        <f t="shared" si="30"/>
        <v>2512133298.3474622</v>
      </c>
    </row>
    <row r="74" spans="1:21" ht="14.25" customHeight="1" x14ac:dyDescent="0.3">
      <c r="A74" s="195">
        <v>4</v>
      </c>
      <c r="B74" s="4">
        <v>11</v>
      </c>
      <c r="C74" s="2">
        <v>6645.9</v>
      </c>
      <c r="D74" s="126">
        <f t="shared" si="18"/>
        <v>0.04</v>
      </c>
      <c r="E74" s="118">
        <f t="shared" si="19"/>
        <v>6425923.9000320006</v>
      </c>
      <c r="F74" s="2">
        <f t="shared" si="20"/>
        <v>11164084.809696</v>
      </c>
      <c r="G74" s="119">
        <f t="shared" si="21"/>
        <v>11786804.576351998</v>
      </c>
      <c r="H74" s="116">
        <f t="shared" si="31"/>
        <v>7342910.0765529601</v>
      </c>
      <c r="I74" s="104">
        <f t="shared" si="32"/>
        <v>12757211.58854688</v>
      </c>
      <c r="J74" s="117">
        <f t="shared" si="33"/>
        <v>13468794.128362557</v>
      </c>
      <c r="K74" s="118">
        <f t="shared" ref="K74:M74" si="79">H74*1.19</f>
        <v>8738062.9910980221</v>
      </c>
      <c r="L74" s="2">
        <f t="shared" si="79"/>
        <v>15181081.790370787</v>
      </c>
      <c r="M74" s="119">
        <f t="shared" si="79"/>
        <v>16027865.012751441</v>
      </c>
      <c r="N74" s="110">
        <f t="shared" si="23"/>
        <v>1042693230.8705204</v>
      </c>
      <c r="O74" s="30">
        <f t="shared" si="24"/>
        <v>905762022.7868284</v>
      </c>
      <c r="P74" s="30">
        <f t="shared" si="25"/>
        <v>956284383.11374152</v>
      </c>
      <c r="Q74" s="31">
        <f t="shared" si="26"/>
        <v>2904739636.77109</v>
      </c>
      <c r="R74" s="2">
        <f t="shared" si="27"/>
        <v>912481193.80454409</v>
      </c>
      <c r="S74" s="2">
        <f t="shared" si="28"/>
        <v>792650021.48841596</v>
      </c>
      <c r="T74" s="2">
        <f t="shared" si="29"/>
        <v>836863124.9209919</v>
      </c>
      <c r="U74" s="160">
        <f t="shared" si="30"/>
        <v>2541994340.2139521</v>
      </c>
    </row>
    <row r="75" spans="1:21" ht="14.25" customHeight="1" thickBot="1" x14ac:dyDescent="0.35">
      <c r="A75" s="196">
        <v>4</v>
      </c>
      <c r="B75" s="197">
        <v>12</v>
      </c>
      <c r="C75" s="121">
        <v>6722.09</v>
      </c>
      <c r="D75" s="198">
        <f t="shared" si="18"/>
        <v>0.04</v>
      </c>
      <c r="E75" s="120">
        <f t="shared" si="19"/>
        <v>6499592.0476032011</v>
      </c>
      <c r="F75" s="121">
        <f t="shared" si="20"/>
        <v>11292072.233769601</v>
      </c>
      <c r="G75" s="122">
        <f t="shared" si="21"/>
        <v>11921930.9912352</v>
      </c>
      <c r="H75" s="167">
        <f t="shared" si="31"/>
        <v>7342910.0765529601</v>
      </c>
      <c r="I75" s="168">
        <f t="shared" si="32"/>
        <v>12757211.58854688</v>
      </c>
      <c r="J75" s="169">
        <f t="shared" si="33"/>
        <v>13468794.128362557</v>
      </c>
      <c r="K75" s="120">
        <f t="shared" ref="K75:M75" si="80">H75*1.19</f>
        <v>8738062.9910980221</v>
      </c>
      <c r="L75" s="121">
        <f t="shared" si="80"/>
        <v>15181081.790370787</v>
      </c>
      <c r="M75" s="122">
        <f t="shared" si="80"/>
        <v>16027865.012751441</v>
      </c>
      <c r="N75" s="170">
        <f t="shared" si="23"/>
        <v>1042693230.8705204</v>
      </c>
      <c r="O75" s="171">
        <f t="shared" si="24"/>
        <v>905762022.7868284</v>
      </c>
      <c r="P75" s="171">
        <f t="shared" si="25"/>
        <v>956284383.11374152</v>
      </c>
      <c r="Q75" s="199">
        <f t="shared" si="26"/>
        <v>2904739636.77109</v>
      </c>
      <c r="R75" s="121">
        <f t="shared" si="27"/>
        <v>922942070.75965452</v>
      </c>
      <c r="S75" s="121">
        <f t="shared" si="28"/>
        <v>801737128.59764171</v>
      </c>
      <c r="T75" s="121">
        <f t="shared" si="29"/>
        <v>846457100.37769926</v>
      </c>
      <c r="U75" s="173">
        <f t="shared" si="30"/>
        <v>2571136299.7349954</v>
      </c>
    </row>
    <row r="76" spans="1:21" ht="14.25" customHeight="1" x14ac:dyDescent="0.3">
      <c r="A76" s="187">
        <v>5</v>
      </c>
      <c r="B76" s="188">
        <v>1</v>
      </c>
      <c r="C76" s="157">
        <v>6802.41</v>
      </c>
      <c r="D76" s="189">
        <f t="shared" si="18"/>
        <v>0.05</v>
      </c>
      <c r="E76" s="190">
        <f t="shared" si="19"/>
        <v>6640496.3162160004</v>
      </c>
      <c r="F76" s="157">
        <f t="shared" si="20"/>
        <v>11536872.394698</v>
      </c>
      <c r="G76" s="191">
        <f t="shared" si="21"/>
        <v>12180385.822625998</v>
      </c>
      <c r="H76" s="151">
        <f t="shared" si="31"/>
        <v>8487540.2712240014</v>
      </c>
      <c r="I76" s="149">
        <f t="shared" si="32"/>
        <v>14745835.912121998</v>
      </c>
      <c r="J76" s="152">
        <f t="shared" si="33"/>
        <v>15568341.621714</v>
      </c>
      <c r="K76" s="190">
        <f t="shared" ref="K76:M76" si="81">H76*1.19</f>
        <v>10100172.922756562</v>
      </c>
      <c r="L76" s="157">
        <f t="shared" si="81"/>
        <v>17547544.735425178</v>
      </c>
      <c r="M76" s="191">
        <f t="shared" si="81"/>
        <v>18526326.529839657</v>
      </c>
      <c r="N76" s="192">
        <f t="shared" si="23"/>
        <v>1425906765.5656323</v>
      </c>
      <c r="O76" s="193">
        <f t="shared" si="24"/>
        <v>1238650216.6182477</v>
      </c>
      <c r="P76" s="193">
        <f t="shared" si="25"/>
        <v>1307740696.2239759</v>
      </c>
      <c r="Q76" s="194">
        <f t="shared" si="26"/>
        <v>3972297678.407856</v>
      </c>
      <c r="R76" s="157">
        <f t="shared" si="27"/>
        <v>1115603381.1242881</v>
      </c>
      <c r="S76" s="157">
        <f t="shared" si="28"/>
        <v>969097281.15463197</v>
      </c>
      <c r="T76" s="157">
        <f t="shared" si="29"/>
        <v>1023152409.1005839</v>
      </c>
      <c r="U76" s="158">
        <f t="shared" si="30"/>
        <v>3107853071.3795042</v>
      </c>
    </row>
    <row r="77" spans="1:21" ht="14.25" customHeight="1" x14ac:dyDescent="0.3">
      <c r="A77" s="195">
        <v>5</v>
      </c>
      <c r="B77" s="4">
        <v>2</v>
      </c>
      <c r="C77" s="2">
        <v>6877.08</v>
      </c>
      <c r="D77" s="126">
        <f t="shared" si="18"/>
        <v>0.05</v>
      </c>
      <c r="E77" s="118">
        <f t="shared" si="19"/>
        <v>6713388.9910079995</v>
      </c>
      <c r="F77" s="2">
        <f t="shared" si="20"/>
        <v>11663512.550423998</v>
      </c>
      <c r="G77" s="119">
        <f t="shared" si="21"/>
        <v>12314089.820087999</v>
      </c>
      <c r="H77" s="116">
        <f t="shared" si="31"/>
        <v>8487540.2712240014</v>
      </c>
      <c r="I77" s="104">
        <f t="shared" si="32"/>
        <v>14745835.912121998</v>
      </c>
      <c r="J77" s="117">
        <f t="shared" si="33"/>
        <v>15568341.621714</v>
      </c>
      <c r="K77" s="118">
        <f t="shared" ref="K77:M77" si="82">H77*1.19</f>
        <v>10100172.922756562</v>
      </c>
      <c r="L77" s="2">
        <f t="shared" si="82"/>
        <v>17547544.735425178</v>
      </c>
      <c r="M77" s="119">
        <f t="shared" si="82"/>
        <v>18526326.529839657</v>
      </c>
      <c r="N77" s="110">
        <f t="shared" si="23"/>
        <v>1425906765.5656323</v>
      </c>
      <c r="O77" s="30">
        <f t="shared" si="24"/>
        <v>1238650216.6182477</v>
      </c>
      <c r="P77" s="30">
        <f t="shared" si="25"/>
        <v>1307740696.2239759</v>
      </c>
      <c r="Q77" s="31">
        <f t="shared" si="26"/>
        <v>3972297678.407856</v>
      </c>
      <c r="R77" s="2">
        <f t="shared" si="27"/>
        <v>1127849350.4893439</v>
      </c>
      <c r="S77" s="2">
        <f t="shared" si="28"/>
        <v>979735054.23561585</v>
      </c>
      <c r="T77" s="2">
        <f t="shared" si="29"/>
        <v>1034383544.8873919</v>
      </c>
      <c r="U77" s="160">
        <f t="shared" si="30"/>
        <v>3141967949.6123519</v>
      </c>
    </row>
    <row r="78" spans="1:21" ht="14.25" customHeight="1" x14ac:dyDescent="0.3">
      <c r="A78" s="195">
        <v>5</v>
      </c>
      <c r="B78" s="4">
        <v>3</v>
      </c>
      <c r="C78" s="2">
        <v>6948.07</v>
      </c>
      <c r="D78" s="126">
        <f t="shared" si="18"/>
        <v>0.05</v>
      </c>
      <c r="E78" s="118">
        <f t="shared" si="19"/>
        <v>6782689.2586319996</v>
      </c>
      <c r="F78" s="2">
        <f t="shared" si="20"/>
        <v>11783911.434245998</v>
      </c>
      <c r="G78" s="119">
        <f t="shared" si="21"/>
        <v>12441204.414702</v>
      </c>
      <c r="H78" s="116">
        <f t="shared" si="31"/>
        <v>8487540.2712240014</v>
      </c>
      <c r="I78" s="104">
        <f t="shared" si="32"/>
        <v>14745835.912121998</v>
      </c>
      <c r="J78" s="117">
        <f t="shared" si="33"/>
        <v>15568341.621714</v>
      </c>
      <c r="K78" s="118">
        <f t="shared" ref="K78:M78" si="83">H78*1.19</f>
        <v>10100172.922756562</v>
      </c>
      <c r="L78" s="2">
        <f t="shared" si="83"/>
        <v>17547544.735425178</v>
      </c>
      <c r="M78" s="119">
        <f t="shared" si="83"/>
        <v>18526326.529839657</v>
      </c>
      <c r="N78" s="110">
        <f t="shared" si="23"/>
        <v>1425906765.5656323</v>
      </c>
      <c r="O78" s="30">
        <f t="shared" si="24"/>
        <v>1238650216.6182477</v>
      </c>
      <c r="P78" s="30">
        <f t="shared" si="25"/>
        <v>1307740696.2239759</v>
      </c>
      <c r="Q78" s="31">
        <f t="shared" si="26"/>
        <v>3972297678.407856</v>
      </c>
      <c r="R78" s="2">
        <f t="shared" si="27"/>
        <v>1139491795.450176</v>
      </c>
      <c r="S78" s="2">
        <f t="shared" si="28"/>
        <v>989848560.47666383</v>
      </c>
      <c r="T78" s="2">
        <f t="shared" si="29"/>
        <v>1045061170.834968</v>
      </c>
      <c r="U78" s="160">
        <f t="shared" si="30"/>
        <v>3174401526.7618079</v>
      </c>
    </row>
    <row r="79" spans="1:21" ht="14.25" customHeight="1" x14ac:dyDescent="0.3">
      <c r="A79" s="195">
        <v>5</v>
      </c>
      <c r="B79" s="4">
        <v>4</v>
      </c>
      <c r="C79" s="2">
        <v>7030.86</v>
      </c>
      <c r="D79" s="126">
        <f t="shared" si="18"/>
        <v>0.05</v>
      </c>
      <c r="E79" s="118">
        <f t="shared" si="19"/>
        <v>6863508.6579359993</v>
      </c>
      <c r="F79" s="2">
        <f t="shared" si="20"/>
        <v>11924323.092107998</v>
      </c>
      <c r="G79" s="119">
        <f t="shared" si="21"/>
        <v>12589448.072795998</v>
      </c>
      <c r="H79" s="116">
        <f t="shared" si="31"/>
        <v>8487540.2712240014</v>
      </c>
      <c r="I79" s="104">
        <f t="shared" si="32"/>
        <v>14745835.912121998</v>
      </c>
      <c r="J79" s="117">
        <f t="shared" si="33"/>
        <v>15568341.621714</v>
      </c>
      <c r="K79" s="118">
        <f t="shared" ref="K79:M79" si="84">H79*1.19</f>
        <v>10100172.922756562</v>
      </c>
      <c r="L79" s="2">
        <f t="shared" si="84"/>
        <v>17547544.735425178</v>
      </c>
      <c r="M79" s="119">
        <f t="shared" si="84"/>
        <v>18526326.529839657</v>
      </c>
      <c r="N79" s="110">
        <f t="shared" si="23"/>
        <v>1425906765.5656323</v>
      </c>
      <c r="O79" s="30">
        <f t="shared" si="24"/>
        <v>1238650216.6182477</v>
      </c>
      <c r="P79" s="30">
        <f t="shared" si="25"/>
        <v>1307740696.2239759</v>
      </c>
      <c r="Q79" s="31">
        <f t="shared" si="26"/>
        <v>3972297678.407856</v>
      </c>
      <c r="R79" s="2">
        <f t="shared" si="27"/>
        <v>1153069454.5332479</v>
      </c>
      <c r="S79" s="2">
        <f t="shared" si="28"/>
        <v>1001643139.7370719</v>
      </c>
      <c r="T79" s="2">
        <f t="shared" si="29"/>
        <v>1057513638.1148639</v>
      </c>
      <c r="U79" s="160">
        <f t="shared" si="30"/>
        <v>3212226232.3851838</v>
      </c>
    </row>
    <row r="80" spans="1:21" ht="14.25" customHeight="1" x14ac:dyDescent="0.3">
      <c r="A80" s="195">
        <v>5</v>
      </c>
      <c r="B80" s="4">
        <v>5</v>
      </c>
      <c r="C80" s="2">
        <v>7110.64</v>
      </c>
      <c r="D80" s="126">
        <f t="shared" si="18"/>
        <v>0.05</v>
      </c>
      <c r="E80" s="118">
        <f t="shared" si="19"/>
        <v>6941389.7024640013</v>
      </c>
      <c r="F80" s="2">
        <f t="shared" si="20"/>
        <v>12059629.796592001</v>
      </c>
      <c r="G80" s="119">
        <f t="shared" si="21"/>
        <v>12732302.029104</v>
      </c>
      <c r="H80" s="116">
        <f t="shared" si="31"/>
        <v>8487540.2712240014</v>
      </c>
      <c r="I80" s="104">
        <f t="shared" si="32"/>
        <v>14745835.912121998</v>
      </c>
      <c r="J80" s="117">
        <f t="shared" si="33"/>
        <v>15568341.621714</v>
      </c>
      <c r="K80" s="118">
        <f t="shared" ref="K80:M80" si="85">H80*1.19</f>
        <v>10100172.922756562</v>
      </c>
      <c r="L80" s="2">
        <f t="shared" si="85"/>
        <v>17547544.735425178</v>
      </c>
      <c r="M80" s="119">
        <f t="shared" si="85"/>
        <v>18526326.529839657</v>
      </c>
      <c r="N80" s="110">
        <f t="shared" si="23"/>
        <v>1425906765.5656323</v>
      </c>
      <c r="O80" s="30">
        <f t="shared" si="24"/>
        <v>1238650216.6182477</v>
      </c>
      <c r="P80" s="30">
        <f t="shared" si="25"/>
        <v>1307740696.2239759</v>
      </c>
      <c r="Q80" s="31">
        <f t="shared" si="26"/>
        <v>3972297678.407856</v>
      </c>
      <c r="R80" s="2">
        <f t="shared" si="27"/>
        <v>1166153470.0139523</v>
      </c>
      <c r="S80" s="2">
        <f t="shared" si="28"/>
        <v>1013008902.9137281</v>
      </c>
      <c r="T80" s="2">
        <f t="shared" si="29"/>
        <v>1069513370.444736</v>
      </c>
      <c r="U80" s="160">
        <f t="shared" si="30"/>
        <v>3248675743.3724165</v>
      </c>
    </row>
    <row r="81" spans="1:21" ht="14.25" customHeight="1" x14ac:dyDescent="0.3">
      <c r="A81" s="195">
        <v>5</v>
      </c>
      <c r="B81" s="4">
        <v>6</v>
      </c>
      <c r="C81" s="2">
        <v>7194.9</v>
      </c>
      <c r="D81" s="126">
        <f t="shared" si="18"/>
        <v>0.05</v>
      </c>
      <c r="E81" s="118">
        <f t="shared" si="19"/>
        <v>7023644.1122399997</v>
      </c>
      <c r="F81" s="2">
        <f t="shared" si="20"/>
        <v>12202534.571219999</v>
      </c>
      <c r="G81" s="119">
        <f t="shared" si="21"/>
        <v>12883177.867139999</v>
      </c>
      <c r="H81" s="116">
        <f t="shared" si="31"/>
        <v>8487540.2712240014</v>
      </c>
      <c r="I81" s="104">
        <f t="shared" si="32"/>
        <v>14745835.912121998</v>
      </c>
      <c r="J81" s="117">
        <f t="shared" si="33"/>
        <v>15568341.621714</v>
      </c>
      <c r="K81" s="118">
        <f t="shared" ref="K81:M81" si="86">H81*1.19</f>
        <v>10100172.922756562</v>
      </c>
      <c r="L81" s="2">
        <f t="shared" si="86"/>
        <v>17547544.735425178</v>
      </c>
      <c r="M81" s="119">
        <f t="shared" si="86"/>
        <v>18526326.529839657</v>
      </c>
      <c r="N81" s="110">
        <f t="shared" si="23"/>
        <v>1425906765.5656323</v>
      </c>
      <c r="O81" s="30">
        <f t="shared" si="24"/>
        <v>1238650216.6182477</v>
      </c>
      <c r="P81" s="30">
        <f t="shared" si="25"/>
        <v>1307740696.2239759</v>
      </c>
      <c r="Q81" s="31">
        <f t="shared" si="26"/>
        <v>3972297678.407856</v>
      </c>
      <c r="R81" s="2">
        <f t="shared" si="27"/>
        <v>1179972210.8563199</v>
      </c>
      <c r="S81" s="2">
        <f t="shared" si="28"/>
        <v>1025012903.9824799</v>
      </c>
      <c r="T81" s="2">
        <f t="shared" si="29"/>
        <v>1082186940.8397598</v>
      </c>
      <c r="U81" s="160">
        <f t="shared" si="30"/>
        <v>3287172055.6785598</v>
      </c>
    </row>
    <row r="82" spans="1:21" ht="14.25" customHeight="1" x14ac:dyDescent="0.3">
      <c r="A82" s="195">
        <v>5</v>
      </c>
      <c r="B82" s="4">
        <v>7</v>
      </c>
      <c r="C82" s="2">
        <v>7277.04</v>
      </c>
      <c r="D82" s="126">
        <f t="shared" si="18"/>
        <v>0.05</v>
      </c>
      <c r="E82" s="118">
        <f t="shared" si="19"/>
        <v>7103828.9831039999</v>
      </c>
      <c r="F82" s="2">
        <f t="shared" si="20"/>
        <v>12341843.830511998</v>
      </c>
      <c r="G82" s="119">
        <f t="shared" si="21"/>
        <v>13030257.636143999</v>
      </c>
      <c r="H82" s="116">
        <f t="shared" si="31"/>
        <v>8487540.2712240014</v>
      </c>
      <c r="I82" s="104">
        <f t="shared" si="32"/>
        <v>14745835.912121998</v>
      </c>
      <c r="J82" s="117">
        <f t="shared" si="33"/>
        <v>15568341.621714</v>
      </c>
      <c r="K82" s="118">
        <f t="shared" ref="K82:M82" si="87">H82*1.19</f>
        <v>10100172.922756562</v>
      </c>
      <c r="L82" s="2">
        <f t="shared" si="87"/>
        <v>17547544.735425178</v>
      </c>
      <c r="M82" s="119">
        <f t="shared" si="87"/>
        <v>18526326.529839657</v>
      </c>
      <c r="N82" s="110">
        <f t="shared" si="23"/>
        <v>1425906765.5656323</v>
      </c>
      <c r="O82" s="30">
        <f t="shared" si="24"/>
        <v>1238650216.6182477</v>
      </c>
      <c r="P82" s="30">
        <f t="shared" si="25"/>
        <v>1307740696.2239759</v>
      </c>
      <c r="Q82" s="31">
        <f t="shared" si="26"/>
        <v>3972297678.407856</v>
      </c>
      <c r="R82" s="2">
        <f t="shared" si="27"/>
        <v>1193443269.1614721</v>
      </c>
      <c r="S82" s="2">
        <f t="shared" si="28"/>
        <v>1036714881.7630079</v>
      </c>
      <c r="T82" s="2">
        <f t="shared" si="29"/>
        <v>1094541641.436096</v>
      </c>
      <c r="U82" s="160">
        <f t="shared" si="30"/>
        <v>3324699792.3605757</v>
      </c>
    </row>
    <row r="83" spans="1:21" ht="14.25" customHeight="1" x14ac:dyDescent="0.3">
      <c r="A83" s="195">
        <v>5</v>
      </c>
      <c r="B83" s="4">
        <v>8</v>
      </c>
      <c r="C83" s="2">
        <v>7365.57</v>
      </c>
      <c r="D83" s="126">
        <f t="shared" si="18"/>
        <v>0.05</v>
      </c>
      <c r="E83" s="118">
        <f t="shared" si="19"/>
        <v>7190251.7566319993</v>
      </c>
      <c r="F83" s="2">
        <f t="shared" si="20"/>
        <v>12491990.515745999</v>
      </c>
      <c r="G83" s="119">
        <f t="shared" si="21"/>
        <v>13188779.330201998</v>
      </c>
      <c r="H83" s="116">
        <f t="shared" si="31"/>
        <v>8487540.2712240014</v>
      </c>
      <c r="I83" s="104">
        <f t="shared" si="32"/>
        <v>14745835.912121998</v>
      </c>
      <c r="J83" s="117">
        <f t="shared" si="33"/>
        <v>15568341.621714</v>
      </c>
      <c r="K83" s="118">
        <f t="shared" ref="K83:M83" si="88">H83*1.19</f>
        <v>10100172.922756562</v>
      </c>
      <c r="L83" s="2">
        <f t="shared" si="88"/>
        <v>17547544.735425178</v>
      </c>
      <c r="M83" s="119">
        <f t="shared" si="88"/>
        <v>18526326.529839657</v>
      </c>
      <c r="N83" s="110">
        <f t="shared" si="23"/>
        <v>1425906765.5656323</v>
      </c>
      <c r="O83" s="30">
        <f t="shared" si="24"/>
        <v>1238650216.6182477</v>
      </c>
      <c r="P83" s="30">
        <f t="shared" si="25"/>
        <v>1307740696.2239759</v>
      </c>
      <c r="Q83" s="31">
        <f t="shared" si="26"/>
        <v>3972297678.407856</v>
      </c>
      <c r="R83" s="2">
        <f t="shared" si="27"/>
        <v>1207962295.1141758</v>
      </c>
      <c r="S83" s="2">
        <f t="shared" si="28"/>
        <v>1049327203.3226639</v>
      </c>
      <c r="T83" s="2">
        <f t="shared" si="29"/>
        <v>1107857463.7369678</v>
      </c>
      <c r="U83" s="160">
        <f t="shared" si="30"/>
        <v>3365146962.1738071</v>
      </c>
    </row>
    <row r="84" spans="1:21" ht="14.25" customHeight="1" x14ac:dyDescent="0.3">
      <c r="A84" s="195">
        <v>5</v>
      </c>
      <c r="B84" s="4">
        <v>9</v>
      </c>
      <c r="C84" s="2">
        <v>7452.58</v>
      </c>
      <c r="D84" s="126">
        <f t="shared" si="18"/>
        <v>0.05</v>
      </c>
      <c r="E84" s="118">
        <f t="shared" si="19"/>
        <v>7275190.7098080004</v>
      </c>
      <c r="F84" s="2">
        <f t="shared" si="20"/>
        <v>12639559.284324</v>
      </c>
      <c r="G84" s="119">
        <f t="shared" si="21"/>
        <v>13344579.314387999</v>
      </c>
      <c r="H84" s="116">
        <f t="shared" si="31"/>
        <v>8487540.2712240014</v>
      </c>
      <c r="I84" s="104">
        <f t="shared" si="32"/>
        <v>14745835.912121998</v>
      </c>
      <c r="J84" s="117">
        <f t="shared" si="33"/>
        <v>15568341.621714</v>
      </c>
      <c r="K84" s="118">
        <f t="shared" ref="K84:M84" si="89">H84*1.19</f>
        <v>10100172.922756562</v>
      </c>
      <c r="L84" s="2">
        <f t="shared" si="89"/>
        <v>17547544.735425178</v>
      </c>
      <c r="M84" s="119">
        <f t="shared" si="89"/>
        <v>18526326.529839657</v>
      </c>
      <c r="N84" s="110">
        <f t="shared" si="23"/>
        <v>1425906765.5656323</v>
      </c>
      <c r="O84" s="30">
        <f t="shared" si="24"/>
        <v>1238650216.6182477</v>
      </c>
      <c r="P84" s="30">
        <f t="shared" si="25"/>
        <v>1307740696.2239759</v>
      </c>
      <c r="Q84" s="31">
        <f t="shared" si="26"/>
        <v>3972297678.407856</v>
      </c>
      <c r="R84" s="2">
        <f t="shared" si="27"/>
        <v>1222232039.2477441</v>
      </c>
      <c r="S84" s="2">
        <f t="shared" si="28"/>
        <v>1061722979.883216</v>
      </c>
      <c r="T84" s="2">
        <f t="shared" si="29"/>
        <v>1120944662.408592</v>
      </c>
      <c r="U84" s="160">
        <f t="shared" si="30"/>
        <v>3404899681.5395517</v>
      </c>
    </row>
    <row r="85" spans="1:21" ht="14.25" customHeight="1" x14ac:dyDescent="0.3">
      <c r="A85" s="195">
        <v>5</v>
      </c>
      <c r="B85" s="4">
        <v>10</v>
      </c>
      <c r="C85" s="2">
        <v>7535.47</v>
      </c>
      <c r="D85" s="126">
        <f t="shared" si="18"/>
        <v>0.05</v>
      </c>
      <c r="E85" s="118">
        <f t="shared" si="19"/>
        <v>7356107.7288720002</v>
      </c>
      <c r="F85" s="2">
        <f t="shared" si="20"/>
        <v>12780140.541966001</v>
      </c>
      <c r="G85" s="119">
        <f t="shared" si="21"/>
        <v>13493002.032342</v>
      </c>
      <c r="H85" s="116">
        <f t="shared" si="31"/>
        <v>8487540.2712240014</v>
      </c>
      <c r="I85" s="104">
        <f t="shared" si="32"/>
        <v>14745835.912121998</v>
      </c>
      <c r="J85" s="117">
        <f t="shared" si="33"/>
        <v>15568341.621714</v>
      </c>
      <c r="K85" s="118">
        <f t="shared" ref="K85:M85" si="90">H85*1.19</f>
        <v>10100172.922756562</v>
      </c>
      <c r="L85" s="2">
        <f t="shared" si="90"/>
        <v>17547544.735425178</v>
      </c>
      <c r="M85" s="119">
        <f t="shared" si="90"/>
        <v>18526326.529839657</v>
      </c>
      <c r="N85" s="110">
        <f t="shared" si="23"/>
        <v>1425906765.5656323</v>
      </c>
      <c r="O85" s="30">
        <f t="shared" si="24"/>
        <v>1238650216.6182477</v>
      </c>
      <c r="P85" s="30">
        <f t="shared" si="25"/>
        <v>1307740696.2239759</v>
      </c>
      <c r="Q85" s="31">
        <f t="shared" si="26"/>
        <v>3972297678.407856</v>
      </c>
      <c r="R85" s="2">
        <f t="shared" si="27"/>
        <v>1235826098.450496</v>
      </c>
      <c r="S85" s="2">
        <f t="shared" si="28"/>
        <v>1073531805.5251441</v>
      </c>
      <c r="T85" s="2">
        <f t="shared" si="29"/>
        <v>1133412170.716728</v>
      </c>
      <c r="U85" s="160">
        <f t="shared" si="30"/>
        <v>3442770074.6923685</v>
      </c>
    </row>
    <row r="86" spans="1:21" ht="14.25" customHeight="1" x14ac:dyDescent="0.3">
      <c r="A86" s="195">
        <v>5</v>
      </c>
      <c r="B86" s="4">
        <v>11</v>
      </c>
      <c r="C86" s="2">
        <v>7629.29</v>
      </c>
      <c r="D86" s="126">
        <f t="shared" si="18"/>
        <v>0.05</v>
      </c>
      <c r="E86" s="118">
        <f t="shared" si="19"/>
        <v>7447694.5877040001</v>
      </c>
      <c r="F86" s="2">
        <f t="shared" si="20"/>
        <v>12939259.055562001</v>
      </c>
      <c r="G86" s="119">
        <f t="shared" si="21"/>
        <v>13660995.992993999</v>
      </c>
      <c r="H86" s="116">
        <f t="shared" si="31"/>
        <v>8487540.2712240014</v>
      </c>
      <c r="I86" s="104">
        <f t="shared" si="32"/>
        <v>14745835.912121998</v>
      </c>
      <c r="J86" s="117">
        <f t="shared" si="33"/>
        <v>15568341.621714</v>
      </c>
      <c r="K86" s="118">
        <f t="shared" ref="K86:M86" si="91">H86*1.19</f>
        <v>10100172.922756562</v>
      </c>
      <c r="L86" s="2">
        <f t="shared" si="91"/>
        <v>17547544.735425178</v>
      </c>
      <c r="M86" s="119">
        <f t="shared" si="91"/>
        <v>18526326.529839657</v>
      </c>
      <c r="N86" s="110">
        <f t="shared" si="23"/>
        <v>1425906765.5656323</v>
      </c>
      <c r="O86" s="30">
        <f t="shared" si="24"/>
        <v>1238650216.6182477</v>
      </c>
      <c r="P86" s="30">
        <f t="shared" si="25"/>
        <v>1307740696.2239759</v>
      </c>
      <c r="Q86" s="31">
        <f t="shared" si="26"/>
        <v>3972297678.407856</v>
      </c>
      <c r="R86" s="2">
        <f t="shared" si="27"/>
        <v>1251212690.734272</v>
      </c>
      <c r="S86" s="2">
        <f t="shared" si="28"/>
        <v>1086897760.667208</v>
      </c>
      <c r="T86" s="2">
        <f t="shared" si="29"/>
        <v>1147523663.4114959</v>
      </c>
      <c r="U86" s="160">
        <f t="shared" si="30"/>
        <v>3485634114.8129759</v>
      </c>
    </row>
    <row r="87" spans="1:21" ht="14.25" customHeight="1" thickBot="1" x14ac:dyDescent="0.35">
      <c r="A87" s="196">
        <v>5</v>
      </c>
      <c r="B87" s="197">
        <v>12</v>
      </c>
      <c r="C87" s="121">
        <v>7720.99</v>
      </c>
      <c r="D87" s="198">
        <f t="shared" si="18"/>
        <v>0.05</v>
      </c>
      <c r="E87" s="120">
        <f t="shared" si="19"/>
        <v>7537211.9076239998</v>
      </c>
      <c r="F87" s="121">
        <f t="shared" si="20"/>
        <v>13094782.053821998</v>
      </c>
      <c r="G87" s="122">
        <f t="shared" si="21"/>
        <v>13825193.884614</v>
      </c>
      <c r="H87" s="167">
        <f t="shared" si="31"/>
        <v>8487540.2712240014</v>
      </c>
      <c r="I87" s="168">
        <f t="shared" si="32"/>
        <v>14745835.912121998</v>
      </c>
      <c r="J87" s="169">
        <f t="shared" si="33"/>
        <v>15568341.621714</v>
      </c>
      <c r="K87" s="120">
        <f t="shared" ref="K87:M87" si="92">H87*1.19</f>
        <v>10100172.922756562</v>
      </c>
      <c r="L87" s="121">
        <f t="shared" si="92"/>
        <v>17547544.735425178</v>
      </c>
      <c r="M87" s="122">
        <f t="shared" si="92"/>
        <v>18526326.529839657</v>
      </c>
      <c r="N87" s="170">
        <f t="shared" si="23"/>
        <v>1425906765.5656323</v>
      </c>
      <c r="O87" s="171">
        <f t="shared" si="24"/>
        <v>1238650216.6182477</v>
      </c>
      <c r="P87" s="171">
        <f t="shared" si="25"/>
        <v>1307740696.2239759</v>
      </c>
      <c r="Q87" s="199">
        <f t="shared" si="26"/>
        <v>3972297678.407856</v>
      </c>
      <c r="R87" s="121">
        <f t="shared" si="27"/>
        <v>1266251600.4808319</v>
      </c>
      <c r="S87" s="121">
        <f t="shared" si="28"/>
        <v>1099961692.5210478</v>
      </c>
      <c r="T87" s="121">
        <f t="shared" si="29"/>
        <v>1161316286.3075759</v>
      </c>
      <c r="U87" s="173">
        <f t="shared" si="30"/>
        <v>3527529579.3094559</v>
      </c>
    </row>
    <row r="88" spans="1:21" ht="14.25" customHeight="1" x14ac:dyDescent="0.3"/>
    <row r="89" spans="1:21" ht="14.25" customHeight="1" x14ac:dyDescent="0.3"/>
    <row r="90" spans="1:21" ht="14.25" customHeight="1" x14ac:dyDescent="0.3"/>
    <row r="91" spans="1:21" ht="14.25" customHeight="1" x14ac:dyDescent="0.3"/>
    <row r="92" spans="1:21" ht="14.25" customHeight="1" x14ac:dyDescent="0.3"/>
    <row r="93" spans="1:21" ht="14.25" customHeight="1" x14ac:dyDescent="0.3"/>
    <row r="94" spans="1:21" ht="14.25" customHeight="1" x14ac:dyDescent="0.3"/>
    <row r="95" spans="1:21" ht="14.25" customHeight="1" x14ac:dyDescent="0.3"/>
    <row r="96" spans="1:21" ht="14.25" customHeight="1" x14ac:dyDescent="0.3"/>
    <row r="97" spans="1:21" ht="43.2" customHeight="1" x14ac:dyDescent="0.3">
      <c r="A97" s="226" t="s">
        <v>58</v>
      </c>
      <c r="B97" s="228" t="s">
        <v>274</v>
      </c>
      <c r="C97" s="230" t="s">
        <v>275</v>
      </c>
      <c r="D97" s="230" t="s">
        <v>287</v>
      </c>
      <c r="E97" s="220"/>
      <c r="F97" s="221"/>
      <c r="G97" s="221"/>
      <c r="H97" s="220"/>
      <c r="I97" s="221"/>
      <c r="J97" s="221"/>
      <c r="K97" s="220"/>
      <c r="L97" s="221"/>
      <c r="M97" s="221"/>
      <c r="N97" s="220"/>
      <c r="O97" s="221"/>
      <c r="P97" s="221"/>
      <c r="Q97" s="221"/>
      <c r="R97" s="220"/>
      <c r="S97" s="221"/>
      <c r="T97" s="221"/>
      <c r="U97" s="221"/>
    </row>
    <row r="98" spans="1:21" ht="14.25" customHeight="1" x14ac:dyDescent="0.3">
      <c r="A98" s="139">
        <v>1</v>
      </c>
      <c r="B98" s="227">
        <f>E15</f>
        <v>153</v>
      </c>
      <c r="C98" s="229">
        <f>SUMIF($A$28:$A$87,A98,$Q$28:$Q$87)</f>
        <v>12705749370.685091</v>
      </c>
      <c r="D98" s="229">
        <f>SUMIF($A$28:$A$87,A98,$U$28:$U$87)</f>
        <v>10588124475.570911</v>
      </c>
      <c r="E98" s="224"/>
      <c r="F98" s="222"/>
      <c r="G98" s="223"/>
      <c r="H98" s="222"/>
      <c r="I98" s="222"/>
      <c r="J98" s="223"/>
      <c r="K98" s="222"/>
      <c r="L98" s="222"/>
      <c r="M98" s="222"/>
      <c r="N98" s="222"/>
      <c r="O98" s="222"/>
      <c r="P98" s="223"/>
      <c r="Q98" s="222"/>
      <c r="R98" s="222"/>
      <c r="S98" s="222"/>
      <c r="T98" s="223"/>
      <c r="U98" s="222"/>
    </row>
    <row r="99" spans="1:21" ht="14.25" customHeight="1" x14ac:dyDescent="0.3">
      <c r="A99" s="139">
        <v>2</v>
      </c>
      <c r="B99" s="227">
        <f t="shared" ref="B99:B102" si="93">E16</f>
        <v>193</v>
      </c>
      <c r="C99" s="229">
        <f t="shared" ref="C99:C102" si="94">SUMIF($A$28:$A$87,A99,$Q$28:$Q$87)</f>
        <v>18102290986.504971</v>
      </c>
      <c r="D99" s="229">
        <f t="shared" ref="D99:D102" si="95">SUMIF($A$28:$A$87,A99,$U$28:$U$87)</f>
        <v>15085242488.754143</v>
      </c>
    </row>
    <row r="100" spans="1:21" ht="14.25" customHeight="1" x14ac:dyDescent="0.3">
      <c r="A100" s="139">
        <v>3</v>
      </c>
      <c r="B100" s="227">
        <f t="shared" si="93"/>
        <v>236</v>
      </c>
      <c r="C100" s="229">
        <f t="shared" si="94"/>
        <v>25244604034.132732</v>
      </c>
      <c r="D100" s="229">
        <f t="shared" si="95"/>
        <v>21037170028.443939</v>
      </c>
      <c r="E100" s="225"/>
    </row>
    <row r="101" spans="1:21" ht="14.25" customHeight="1" x14ac:dyDescent="0.3">
      <c r="A101" s="139">
        <v>4</v>
      </c>
      <c r="B101" s="227">
        <f t="shared" si="93"/>
        <v>284</v>
      </c>
      <c r="C101" s="229">
        <f t="shared" si="94"/>
        <v>34856875641.25309</v>
      </c>
      <c r="D101" s="229">
        <f t="shared" si="95"/>
        <v>29047396367.710903</v>
      </c>
      <c r="E101" s="225"/>
    </row>
    <row r="102" spans="1:21" ht="14.25" customHeight="1" x14ac:dyDescent="0.3">
      <c r="A102" s="139">
        <v>5</v>
      </c>
      <c r="B102" s="227">
        <f t="shared" si="93"/>
        <v>335</v>
      </c>
      <c r="C102" s="229">
        <f t="shared" si="94"/>
        <v>47667572140.894257</v>
      </c>
      <c r="D102" s="229">
        <f t="shared" si="95"/>
        <v>39722976784.078552</v>
      </c>
      <c r="E102" s="225"/>
    </row>
    <row r="103" spans="1:21" ht="14.25" customHeight="1" x14ac:dyDescent="0.3"/>
    <row r="104" spans="1:21" ht="14.25" customHeight="1" x14ac:dyDescent="0.3"/>
    <row r="105" spans="1:21" ht="14.25" customHeight="1" x14ac:dyDescent="0.3"/>
    <row r="106" spans="1:21" ht="14.25" customHeight="1" x14ac:dyDescent="0.3"/>
    <row r="107" spans="1:21" ht="14.25" customHeight="1" x14ac:dyDescent="0.3"/>
    <row r="108" spans="1:21" ht="14.25" customHeight="1" x14ac:dyDescent="0.3"/>
    <row r="109" spans="1:21" ht="14.25" customHeight="1" x14ac:dyDescent="0.3"/>
    <row r="110" spans="1:21" ht="14.25" customHeight="1" x14ac:dyDescent="0.3"/>
    <row r="111" spans="1:21" ht="14.25" customHeight="1" x14ac:dyDescent="0.3"/>
    <row r="112" spans="1:21"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sheetData>
  <mergeCells count="20">
    <mergeCell ref="E97:G97"/>
    <mergeCell ref="H97:J97"/>
    <mergeCell ref="K97:M97"/>
    <mergeCell ref="N97:Q97"/>
    <mergeCell ref="R97:U97"/>
    <mergeCell ref="R26:U26"/>
    <mergeCell ref="A1:N1"/>
    <mergeCell ref="A2:N2"/>
    <mergeCell ref="B6:B7"/>
    <mergeCell ref="C6:C7"/>
    <mergeCell ref="E6:G6"/>
    <mergeCell ref="H6:J6"/>
    <mergeCell ref="F12:H12"/>
    <mergeCell ref="I12:K12"/>
    <mergeCell ref="A21:N21"/>
    <mergeCell ref="A23:N23"/>
    <mergeCell ref="E26:G26"/>
    <mergeCell ref="H26:J26"/>
    <mergeCell ref="K26:M26"/>
    <mergeCell ref="N26:Q26"/>
  </mergeCells>
  <pageMargins left="0.7" right="0.7" top="0.75" bottom="0.75" header="0" footer="0"/>
  <pageSetup scale="27"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J1006"/>
  <sheetViews>
    <sheetView topLeftCell="A21" workbookViewId="0">
      <selection activeCell="E14" sqref="E14"/>
    </sheetView>
  </sheetViews>
  <sheetFormatPr baseColWidth="10" defaultColWidth="14.44140625" defaultRowHeight="15" customHeight="1" x14ac:dyDescent="0.3"/>
  <cols>
    <col min="1" max="1" width="6.33203125" customWidth="1"/>
    <col min="2" max="2" width="25.33203125" customWidth="1"/>
    <col min="3" max="3" width="12.6640625" customWidth="1"/>
    <col min="4" max="4" width="11.6640625" customWidth="1"/>
    <col min="5" max="5" width="14.88671875" customWidth="1"/>
    <col min="6" max="6" width="14.33203125" customWidth="1"/>
    <col min="7" max="7" width="22.109375" customWidth="1"/>
    <col min="8" max="8" width="15.33203125" bestFit="1" customWidth="1"/>
    <col min="9" max="9" width="15.6640625" customWidth="1"/>
    <col min="10" max="11" width="20.44140625" customWidth="1"/>
    <col min="12" max="12" width="14.33203125" customWidth="1"/>
    <col min="13" max="13" width="15.33203125" customWidth="1"/>
    <col min="14" max="26" width="10.6640625" customWidth="1"/>
  </cols>
  <sheetData>
    <row r="1" spans="1:10" ht="15" customHeight="1" x14ac:dyDescent="0.3">
      <c r="A1" s="88" t="s">
        <v>70</v>
      </c>
      <c r="B1" s="89"/>
      <c r="C1" s="89"/>
      <c r="D1" s="89"/>
      <c r="E1" s="89"/>
      <c r="F1" s="89"/>
      <c r="G1" s="90"/>
    </row>
    <row r="2" spans="1:10" ht="61.5" customHeight="1" x14ac:dyDescent="0.3">
      <c r="A2" s="219" t="s">
        <v>71</v>
      </c>
      <c r="B2" s="84"/>
      <c r="C2" s="84"/>
      <c r="D2" s="84"/>
      <c r="E2" s="84"/>
      <c r="F2" s="84"/>
      <c r="G2" s="85"/>
    </row>
    <row r="6" spans="1:10" ht="28.8" x14ac:dyDescent="0.3">
      <c r="A6" s="32" t="s">
        <v>72</v>
      </c>
      <c r="B6" s="33" t="s">
        <v>73</v>
      </c>
      <c r="C6" s="32" t="s">
        <v>74</v>
      </c>
      <c r="D6" s="18" t="s">
        <v>75</v>
      </c>
      <c r="E6" s="18" t="s">
        <v>76</v>
      </c>
      <c r="F6" s="34" t="s">
        <v>77</v>
      </c>
      <c r="G6" s="20" t="s">
        <v>78</v>
      </c>
      <c r="H6" s="18" t="s">
        <v>79</v>
      </c>
      <c r="I6" s="20" t="s">
        <v>80</v>
      </c>
      <c r="J6" s="35" t="s">
        <v>81</v>
      </c>
    </row>
    <row r="7" spans="1:10" ht="14.4" x14ac:dyDescent="0.3">
      <c r="A7" s="36">
        <v>1</v>
      </c>
      <c r="B7" s="37">
        <f t="shared" ref="B7:C7" si="0">E26</f>
        <v>1557389.5999999642</v>
      </c>
      <c r="C7" s="37">
        <f t="shared" si="0"/>
        <v>214822.39999999851</v>
      </c>
      <c r="D7" s="37">
        <f t="shared" ref="D7:D11" si="1">B7*0.04</f>
        <v>62295.583999998569</v>
      </c>
      <c r="E7" s="37">
        <f t="shared" ref="E7:E11" si="2">B7*0.04</f>
        <v>62295.583999998569</v>
      </c>
      <c r="F7" s="37">
        <f t="shared" ref="F7:F11" si="3">SUM(B7:E7)</f>
        <v>1896803.16799996</v>
      </c>
      <c r="G7" s="38">
        <f t="shared" ref="G7:G11" si="4">F7*8</f>
        <v>15174425.34399968</v>
      </c>
      <c r="H7" s="2">
        <f>7000000</f>
        <v>7000000</v>
      </c>
      <c r="I7" s="39">
        <f>1000000</f>
        <v>1000000</v>
      </c>
      <c r="J7" s="2">
        <f t="shared" ref="J7:J11" si="5">SUM(G7:I7)</f>
        <v>23174425.34399968</v>
      </c>
    </row>
    <row r="8" spans="1:10" ht="14.25" customHeight="1" x14ac:dyDescent="0.3">
      <c r="A8" s="25">
        <v>2</v>
      </c>
      <c r="B8" s="11">
        <f t="shared" ref="B8:C8" si="6">E27</f>
        <v>1714550</v>
      </c>
      <c r="C8" s="11">
        <f t="shared" si="6"/>
        <v>238014.39999999851</v>
      </c>
      <c r="D8" s="11">
        <f t="shared" si="1"/>
        <v>68582</v>
      </c>
      <c r="E8" s="11">
        <f t="shared" si="2"/>
        <v>68582</v>
      </c>
      <c r="F8" s="11">
        <f t="shared" si="3"/>
        <v>2089728.3999999985</v>
      </c>
      <c r="G8" s="2">
        <f t="shared" si="4"/>
        <v>16717827.199999988</v>
      </c>
      <c r="H8" s="2">
        <f t="shared" ref="H8:I8" si="7">H7*1.1</f>
        <v>7700000.0000000009</v>
      </c>
      <c r="I8" s="39">
        <f t="shared" si="7"/>
        <v>1100000</v>
      </c>
      <c r="J8" s="2">
        <f t="shared" si="5"/>
        <v>25517827.199999988</v>
      </c>
    </row>
    <row r="9" spans="1:10" ht="13.5" customHeight="1" x14ac:dyDescent="0.3">
      <c r="A9" s="25">
        <v>3</v>
      </c>
      <c r="B9" s="11">
        <f t="shared" ref="B9:C9" si="8">E28</f>
        <v>1821500</v>
      </c>
      <c r="C9" s="11">
        <f t="shared" si="8"/>
        <v>261206.39999999851</v>
      </c>
      <c r="D9" s="11">
        <f t="shared" si="1"/>
        <v>72860</v>
      </c>
      <c r="E9" s="11">
        <f t="shared" si="2"/>
        <v>72860</v>
      </c>
      <c r="F9" s="11">
        <f t="shared" si="3"/>
        <v>2228426.3999999985</v>
      </c>
      <c r="G9" s="2">
        <f t="shared" si="4"/>
        <v>17827411.199999988</v>
      </c>
      <c r="H9" s="2">
        <f t="shared" ref="H9:I9" si="9">H8*1.1</f>
        <v>8470000.0000000019</v>
      </c>
      <c r="I9" s="39">
        <f t="shared" si="9"/>
        <v>1210000</v>
      </c>
      <c r="J9" s="2">
        <f t="shared" si="5"/>
        <v>27507411.199999988</v>
      </c>
    </row>
    <row r="10" spans="1:10" ht="14.25" customHeight="1" x14ac:dyDescent="0.3">
      <c r="A10" s="25">
        <v>4</v>
      </c>
      <c r="B10" s="11">
        <f t="shared" ref="B10:C10" si="10">E29</f>
        <v>1941742.3999999166</v>
      </c>
      <c r="C10" s="11">
        <f t="shared" si="10"/>
        <v>284398.39999999851</v>
      </c>
      <c r="D10" s="11">
        <f t="shared" si="1"/>
        <v>77669.695999996664</v>
      </c>
      <c r="E10" s="11">
        <f t="shared" si="2"/>
        <v>77669.695999996664</v>
      </c>
      <c r="F10" s="11">
        <f t="shared" si="3"/>
        <v>2381480.1919999085</v>
      </c>
      <c r="G10" s="2">
        <f t="shared" si="4"/>
        <v>19051841.535999268</v>
      </c>
      <c r="H10" s="2">
        <f t="shared" ref="H10:I10" si="11">H9*1.1</f>
        <v>9317000.0000000037</v>
      </c>
      <c r="I10" s="39">
        <f t="shared" si="11"/>
        <v>1331000</v>
      </c>
      <c r="J10" s="2">
        <f t="shared" si="5"/>
        <v>29699841.535999272</v>
      </c>
    </row>
    <row r="11" spans="1:10" ht="14.25" customHeight="1" x14ac:dyDescent="0.3">
      <c r="A11" s="25">
        <v>5</v>
      </c>
      <c r="B11" s="11">
        <f t="shared" ref="B11:C11" si="12">E30</f>
        <v>2147246.5333333015</v>
      </c>
      <c r="C11" s="11">
        <f t="shared" si="12"/>
        <v>307590.39999999851</v>
      </c>
      <c r="D11" s="11">
        <f t="shared" si="1"/>
        <v>85889.861333332068</v>
      </c>
      <c r="E11" s="11">
        <f t="shared" si="2"/>
        <v>85889.861333332068</v>
      </c>
      <c r="F11" s="11">
        <f t="shared" si="3"/>
        <v>2626616.6559999641</v>
      </c>
      <c r="G11" s="2">
        <f t="shared" si="4"/>
        <v>21012933.247999713</v>
      </c>
      <c r="H11" s="2">
        <f t="shared" ref="H11:I11" si="13">H10*1.1</f>
        <v>10248700.000000006</v>
      </c>
      <c r="I11" s="39">
        <f t="shared" si="13"/>
        <v>1464100.0000000002</v>
      </c>
      <c r="J11" s="2">
        <f t="shared" si="5"/>
        <v>32725733.24799972</v>
      </c>
    </row>
    <row r="12" spans="1:10" ht="14.25" customHeight="1" x14ac:dyDescent="0.3"/>
    <row r="13" spans="1:10" ht="14.25" customHeight="1" x14ac:dyDescent="0.3"/>
    <row r="14" spans="1:10" ht="14.25" customHeight="1" x14ac:dyDescent="0.3"/>
    <row r="15" spans="1:10" ht="14.25" customHeight="1" x14ac:dyDescent="0.3"/>
    <row r="16" spans="1:10" ht="14.25" customHeight="1" x14ac:dyDescent="0.3"/>
    <row r="17" spans="1:6" ht="14.25" customHeight="1" x14ac:dyDescent="0.3">
      <c r="B17" s="5"/>
      <c r="E17" s="40"/>
    </row>
    <row r="18" spans="1:6" ht="26.4" x14ac:dyDescent="0.3">
      <c r="A18" s="94" t="s">
        <v>82</v>
      </c>
      <c r="B18" s="85"/>
      <c r="D18" s="41" t="s">
        <v>72</v>
      </c>
      <c r="E18" s="42" t="s">
        <v>83</v>
      </c>
      <c r="F18" s="43" t="s">
        <v>74</v>
      </c>
    </row>
    <row r="19" spans="1:6" ht="14.25" customHeight="1" x14ac:dyDescent="0.3">
      <c r="A19" s="4">
        <v>1</v>
      </c>
      <c r="B19" s="4" t="s">
        <v>84</v>
      </c>
      <c r="D19" s="44">
        <v>2021</v>
      </c>
      <c r="E19" s="45">
        <v>908526</v>
      </c>
      <c r="F19" s="46">
        <v>106454</v>
      </c>
    </row>
    <row r="20" spans="1:6" ht="14.25" customHeight="1" x14ac:dyDescent="0.3">
      <c r="A20" s="4">
        <v>2</v>
      </c>
      <c r="B20" s="4" t="s">
        <v>85</v>
      </c>
      <c r="D20" s="44">
        <v>2022</v>
      </c>
      <c r="E20" s="45">
        <v>1000000</v>
      </c>
      <c r="F20" s="46">
        <v>117172</v>
      </c>
    </row>
    <row r="21" spans="1:6" ht="14.25" customHeight="1" x14ac:dyDescent="0.3">
      <c r="A21" s="4">
        <v>3</v>
      </c>
      <c r="B21" s="4" t="s">
        <v>86</v>
      </c>
      <c r="D21" s="44">
        <v>2023</v>
      </c>
      <c r="E21" s="45">
        <v>1160000</v>
      </c>
      <c r="F21" s="46">
        <v>140606</v>
      </c>
    </row>
    <row r="22" spans="1:6" ht="14.25" customHeight="1" x14ac:dyDescent="0.3">
      <c r="A22" s="4">
        <v>4</v>
      </c>
      <c r="B22" s="4" t="s">
        <v>87</v>
      </c>
      <c r="D22" s="44">
        <v>2024</v>
      </c>
      <c r="E22" s="45">
        <v>1300000</v>
      </c>
      <c r="F22" s="46">
        <v>162000</v>
      </c>
    </row>
    <row r="23" spans="1:6" ht="14.25" customHeight="1" x14ac:dyDescent="0.3">
      <c r="A23" s="4">
        <v>5</v>
      </c>
      <c r="B23" s="4" t="s">
        <v>88</v>
      </c>
      <c r="D23" s="44">
        <v>2025</v>
      </c>
      <c r="E23" s="45">
        <v>1423500</v>
      </c>
      <c r="F23" s="46">
        <v>200000</v>
      </c>
    </row>
    <row r="24" spans="1:6" ht="14.25" customHeight="1" x14ac:dyDescent="0.3">
      <c r="A24" s="4">
        <v>6</v>
      </c>
      <c r="B24" s="4" t="s">
        <v>89</v>
      </c>
      <c r="D24" s="47"/>
      <c r="E24" s="48"/>
    </row>
    <row r="25" spans="1:6" ht="47.25" customHeight="1" x14ac:dyDescent="0.3">
      <c r="A25" s="4">
        <v>7</v>
      </c>
      <c r="B25" s="4" t="s">
        <v>90</v>
      </c>
      <c r="D25" s="49" t="s">
        <v>72</v>
      </c>
      <c r="E25" s="49" t="s">
        <v>91</v>
      </c>
      <c r="F25" s="49" t="s">
        <v>74</v>
      </c>
    </row>
    <row r="26" spans="1:6" ht="14.25" customHeight="1" x14ac:dyDescent="0.3">
      <c r="A26" s="4">
        <v>8</v>
      </c>
      <c r="B26" s="4" t="s">
        <v>92</v>
      </c>
      <c r="D26" s="25">
        <v>2026</v>
      </c>
      <c r="E26" s="11">
        <f t="shared" ref="E26:E30" si="14">FORECAST(D26,E19:E23,D19:D23)</f>
        <v>1557389.5999999642</v>
      </c>
      <c r="F26" s="2">
        <f>_xlfn.FORECAST.LINEAR(D26,'Gastos Operativos'!$F$19:$F$23,'Gastos Operativos'!$D$19:$D$23)</f>
        <v>214822.39999999851</v>
      </c>
    </row>
    <row r="27" spans="1:6" ht="14.25" customHeight="1" x14ac:dyDescent="0.3">
      <c r="D27" s="25">
        <v>2027</v>
      </c>
      <c r="E27" s="11">
        <f t="shared" si="14"/>
        <v>1714550</v>
      </c>
      <c r="F27" s="2">
        <f>_xlfn.FORECAST.LINEAR(D27,'Gastos Operativos'!$F$19:$F$23,'Gastos Operativos'!$D$19:$D$23)</f>
        <v>238014.39999999851</v>
      </c>
    </row>
    <row r="28" spans="1:6" ht="14.25" customHeight="1" x14ac:dyDescent="0.3">
      <c r="D28" s="25">
        <v>2028</v>
      </c>
      <c r="E28" s="11">
        <f t="shared" si="14"/>
        <v>1821500</v>
      </c>
      <c r="F28" s="2">
        <f>_xlfn.FORECAST.LINEAR(D28,'Gastos Operativos'!$F$19:$F$23,'Gastos Operativos'!$D$19:$D$23)</f>
        <v>261206.39999999851</v>
      </c>
    </row>
    <row r="29" spans="1:6" ht="14.25" customHeight="1" x14ac:dyDescent="0.3">
      <c r="D29" s="25">
        <v>2029</v>
      </c>
      <c r="E29" s="11">
        <f t="shared" si="14"/>
        <v>1941742.3999999166</v>
      </c>
      <c r="F29" s="2">
        <f>_xlfn.FORECAST.LINEAR(D29,'Gastos Operativos'!$F$19:$F$23,'Gastos Operativos'!$D$19:$D$23)</f>
        <v>284398.39999999851</v>
      </c>
    </row>
    <row r="30" spans="1:6" ht="14.25" customHeight="1" x14ac:dyDescent="0.3">
      <c r="D30" s="25">
        <v>2030</v>
      </c>
      <c r="E30" s="11">
        <f t="shared" si="14"/>
        <v>2147246.5333333015</v>
      </c>
      <c r="F30" s="2">
        <f>_xlfn.FORECAST.LINEAR(D30,'Gastos Operativos'!$F$19:$F$23,'Gastos Operativos'!$D$19:$D$23)</f>
        <v>307590.39999999851</v>
      </c>
    </row>
    <row r="31" spans="1:6" ht="14.25" customHeight="1" x14ac:dyDescent="0.3"/>
    <row r="32" spans="1:6"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row r="1001" ht="14.25" customHeight="1" x14ac:dyDescent="0.3"/>
    <row r="1002" ht="14.25" customHeight="1" x14ac:dyDescent="0.3"/>
    <row r="1003" ht="14.25" customHeight="1" x14ac:dyDescent="0.3"/>
    <row r="1004" ht="14.25" customHeight="1" x14ac:dyDescent="0.3"/>
    <row r="1005" ht="14.25" customHeight="1" x14ac:dyDescent="0.3"/>
    <row r="1006" ht="14.25" customHeight="1" x14ac:dyDescent="0.3"/>
  </sheetData>
  <mergeCells count="3">
    <mergeCell ref="A1:G1"/>
    <mergeCell ref="A2:G2"/>
    <mergeCell ref="A18:B18"/>
  </mergeCells>
  <pageMargins left="0.7" right="0.7" top="0.75" bottom="0.75" header="0" footer="0"/>
  <pageSetup scale="68"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G1001"/>
  <sheetViews>
    <sheetView topLeftCell="A8" workbookViewId="0">
      <selection activeCell="B32" sqref="B32"/>
    </sheetView>
  </sheetViews>
  <sheetFormatPr baseColWidth="10" defaultColWidth="14.44140625" defaultRowHeight="15" customHeight="1" x14ac:dyDescent="0.3"/>
  <cols>
    <col min="1" max="1" width="41.6640625" customWidth="1"/>
    <col min="2" max="2" width="31.6640625" customWidth="1"/>
    <col min="3" max="3" width="22.33203125" customWidth="1"/>
    <col min="4" max="4" width="19.33203125" customWidth="1"/>
    <col min="5" max="5" width="10.6640625" customWidth="1"/>
    <col min="6" max="6" width="17.6640625" customWidth="1"/>
    <col min="7" max="7" width="40.6640625" customWidth="1"/>
    <col min="8" max="26" width="10.6640625" customWidth="1"/>
  </cols>
  <sheetData>
    <row r="1" spans="1:7" ht="14.25" customHeight="1" x14ac:dyDescent="0.3">
      <c r="A1" s="95" t="s">
        <v>93</v>
      </c>
      <c r="B1" s="89"/>
      <c r="C1" s="89"/>
      <c r="D1" s="89"/>
      <c r="E1" s="89"/>
      <c r="F1" s="89"/>
      <c r="G1" s="90"/>
    </row>
    <row r="2" spans="1:7" ht="96.6" customHeight="1" x14ac:dyDescent="0.3">
      <c r="A2" s="96" t="s">
        <v>94</v>
      </c>
      <c r="B2" s="84"/>
      <c r="C2" s="84"/>
      <c r="D2" s="84"/>
      <c r="E2" s="84"/>
      <c r="F2" s="84"/>
      <c r="G2" s="85"/>
    </row>
    <row r="3" spans="1:7" ht="14.25" customHeight="1" x14ac:dyDescent="0.3"/>
    <row r="4" spans="1:7" ht="14.25" customHeight="1" x14ac:dyDescent="0.3"/>
    <row r="5" spans="1:7" ht="14.25" customHeight="1" x14ac:dyDescent="0.3">
      <c r="A5" s="140" t="s">
        <v>95</v>
      </c>
      <c r="B5" s="140" t="s">
        <v>96</v>
      </c>
    </row>
    <row r="6" spans="1:7" ht="14.25" customHeight="1" x14ac:dyDescent="0.3">
      <c r="A6" s="141" t="s">
        <v>97</v>
      </c>
      <c r="B6" s="142">
        <f>TOTAL_CELDA_ROBOTICA</f>
        <v>80044824.412799999</v>
      </c>
    </row>
    <row r="7" spans="1:7" ht="14.25" customHeight="1" x14ac:dyDescent="0.3">
      <c r="A7" s="141" t="s">
        <v>98</v>
      </c>
      <c r="B7" s="142">
        <f>TOTAL_COMP_AUTOMATIZACION</f>
        <v>434411341.68479991</v>
      </c>
    </row>
    <row r="8" spans="1:7" ht="14.25" customHeight="1" x14ac:dyDescent="0.3">
      <c r="A8" s="141" t="s">
        <v>99</v>
      </c>
      <c r="B8" s="142">
        <f>SUM(B6:B7)*0.5</f>
        <v>257228083.04879996</v>
      </c>
    </row>
    <row r="9" spans="1:7" ht="14.25" customHeight="1" x14ac:dyDescent="0.3">
      <c r="A9" s="141" t="s">
        <v>100</v>
      </c>
      <c r="B9" s="142">
        <f>'Propuesta Automatización'!$D$20</f>
        <v>49789090.909090914</v>
      </c>
    </row>
    <row r="10" spans="1:7" ht="14.25" customHeight="1" x14ac:dyDescent="0.3">
      <c r="A10" s="141" t="s">
        <v>101</v>
      </c>
      <c r="B10" s="142">
        <f>'Propuesta Automatización'!$D$29</f>
        <v>61634141.159999996</v>
      </c>
    </row>
    <row r="11" spans="1:7" ht="14.25" customHeight="1" x14ac:dyDescent="0.3">
      <c r="A11" s="143" t="s">
        <v>102</v>
      </c>
      <c r="B11" s="144">
        <f>SUM(B6:B10)</f>
        <v>883107481.2154907</v>
      </c>
    </row>
    <row r="12" spans="1:7" ht="14.25" customHeight="1" x14ac:dyDescent="0.3"/>
    <row r="13" spans="1:7" ht="14.25" customHeight="1" x14ac:dyDescent="0.3">
      <c r="G13" s="15"/>
    </row>
    <row r="14" spans="1:7" ht="14.25" customHeight="1" x14ac:dyDescent="0.3">
      <c r="A14" s="51" t="s">
        <v>103</v>
      </c>
      <c r="B14" s="52" t="s">
        <v>104</v>
      </c>
      <c r="C14" s="52" t="s">
        <v>105</v>
      </c>
      <c r="D14" s="53" t="s">
        <v>106</v>
      </c>
    </row>
    <row r="15" spans="1:7" ht="14.25" customHeight="1" x14ac:dyDescent="0.3">
      <c r="A15" s="54" t="s">
        <v>107</v>
      </c>
      <c r="B15" s="55">
        <f t="shared" ref="B15:B19" si="0">3360000 /44</f>
        <v>76363.636363636368</v>
      </c>
      <c r="C15" s="56">
        <f t="shared" ref="C15:C17" si="1">8*16</f>
        <v>128</v>
      </c>
      <c r="D15" s="57">
        <f>'Propuesta Automatización'!$B15*'Propuesta Automatización'!$C15</f>
        <v>9774545.4545454551</v>
      </c>
    </row>
    <row r="16" spans="1:7" ht="14.25" customHeight="1" x14ac:dyDescent="0.3">
      <c r="A16" s="54" t="s">
        <v>108</v>
      </c>
      <c r="B16" s="55">
        <f t="shared" si="0"/>
        <v>76363.636363636368</v>
      </c>
      <c r="C16" s="56">
        <f t="shared" si="1"/>
        <v>128</v>
      </c>
      <c r="D16" s="57">
        <f>'Propuesta Automatización'!$B16*'Propuesta Automatización'!$C16</f>
        <v>9774545.4545454551</v>
      </c>
    </row>
    <row r="17" spans="1:4" ht="14.25" customHeight="1" x14ac:dyDescent="0.3">
      <c r="A17" s="54" t="s">
        <v>108</v>
      </c>
      <c r="B17" s="55">
        <f t="shared" si="0"/>
        <v>76363.636363636368</v>
      </c>
      <c r="C17" s="56">
        <f t="shared" si="1"/>
        <v>128</v>
      </c>
      <c r="D17" s="57">
        <f>'Propuesta Automatización'!$B17*'Propuesta Automatización'!$C17</f>
        <v>9774545.4545454551</v>
      </c>
    </row>
    <row r="18" spans="1:4" ht="14.25" customHeight="1" x14ac:dyDescent="0.3">
      <c r="A18" s="54" t="s">
        <v>108</v>
      </c>
      <c r="B18" s="55">
        <f t="shared" si="0"/>
        <v>76363.636363636368</v>
      </c>
      <c r="C18" s="56">
        <v>128</v>
      </c>
      <c r="D18" s="57">
        <f>'Propuesta Automatización'!$B18*'Propuesta Automatización'!$C18</f>
        <v>9774545.4545454551</v>
      </c>
    </row>
    <row r="19" spans="1:4" ht="14.25" customHeight="1" x14ac:dyDescent="0.3">
      <c r="A19" s="54" t="s">
        <v>109</v>
      </c>
      <c r="B19" s="55">
        <f t="shared" si="0"/>
        <v>76363.636363636368</v>
      </c>
      <c r="C19" s="56">
        <v>140</v>
      </c>
      <c r="D19" s="57">
        <f>'Propuesta Automatización'!$B19*'Propuesta Automatización'!$C19</f>
        <v>10690909.090909092</v>
      </c>
    </row>
    <row r="20" spans="1:4" ht="14.25" customHeight="1" x14ac:dyDescent="0.3">
      <c r="A20" s="58" t="s">
        <v>96</v>
      </c>
      <c r="B20" s="58"/>
      <c r="C20" s="59">
        <f>SUM('Propuesta Automatización'!$C$15:$C$19)</f>
        <v>652</v>
      </c>
      <c r="D20" s="58">
        <f>SUM('Propuesta Automatización'!$D$15:$D$19)</f>
        <v>49789090.909090914</v>
      </c>
    </row>
    <row r="21" spans="1:4" ht="14.25" customHeight="1" x14ac:dyDescent="0.3"/>
    <row r="22" spans="1:4" ht="14.25" customHeight="1" x14ac:dyDescent="0.3"/>
    <row r="23" spans="1:4" ht="14.25" customHeight="1" x14ac:dyDescent="0.3">
      <c r="A23" s="51" t="s">
        <v>110</v>
      </c>
      <c r="B23" s="52" t="s">
        <v>111</v>
      </c>
      <c r="C23" s="52" t="s">
        <v>112</v>
      </c>
      <c r="D23" s="53" t="s">
        <v>113</v>
      </c>
    </row>
    <row r="24" spans="1:4" ht="14.25" customHeight="1" x14ac:dyDescent="0.3">
      <c r="A24" s="54" t="s">
        <v>114</v>
      </c>
      <c r="B24" s="56" t="s">
        <v>115</v>
      </c>
      <c r="C24" s="60">
        <v>1100</v>
      </c>
      <c r="D24" s="57">
        <f>'Propuesta Automatización'!$C24*TRM__HOY</f>
        <v>4428897</v>
      </c>
    </row>
    <row r="25" spans="1:4" ht="14.25" customHeight="1" x14ac:dyDescent="0.3">
      <c r="A25" s="54" t="s">
        <v>116</v>
      </c>
      <c r="B25" s="56" t="s">
        <v>115</v>
      </c>
      <c r="C25" s="60">
        <v>2000</v>
      </c>
      <c r="D25" s="57">
        <f>'Propuesta Automatización'!$C25*TRM__HOY</f>
        <v>8052540</v>
      </c>
    </row>
    <row r="26" spans="1:4" ht="14.25" customHeight="1" x14ac:dyDescent="0.3">
      <c r="A26" s="54" t="s">
        <v>117</v>
      </c>
      <c r="B26" s="56" t="s">
        <v>115</v>
      </c>
      <c r="C26" s="60">
        <v>3125</v>
      </c>
      <c r="D26" s="57">
        <f>'Propuesta Automatización'!$C26*TRM__HOY</f>
        <v>12582093.75</v>
      </c>
    </row>
    <row r="27" spans="1:4" ht="14.25" customHeight="1" x14ac:dyDescent="0.3">
      <c r="A27" s="54" t="s">
        <v>118</v>
      </c>
      <c r="B27" s="56" t="s">
        <v>119</v>
      </c>
      <c r="C27" s="60">
        <v>1712</v>
      </c>
      <c r="D27" s="57">
        <f>'Propuesta Automatización'!$C27*TRM__HOY</f>
        <v>6892974.2400000002</v>
      </c>
    </row>
    <row r="28" spans="1:4" ht="14.25" customHeight="1" x14ac:dyDescent="0.3">
      <c r="A28" s="54" t="s">
        <v>120</v>
      </c>
      <c r="B28" s="56" t="s">
        <v>121</v>
      </c>
      <c r="C28" s="60">
        <v>7371</v>
      </c>
      <c r="D28" s="57">
        <f>'Propuesta Automatización'!$C28*TRM__HOY</f>
        <v>29677636.169999998</v>
      </c>
    </row>
    <row r="29" spans="1:4" ht="14.25" customHeight="1" x14ac:dyDescent="0.3">
      <c r="A29" s="58" t="s">
        <v>96</v>
      </c>
      <c r="B29" s="50"/>
      <c r="C29" s="50">
        <f>SUM('Propuesta Automatización'!$C$24:$C$27)</f>
        <v>7937</v>
      </c>
      <c r="D29" s="50">
        <f>SUM('Propuesta Automatización'!$D$24:$D$28)</f>
        <v>61634141.159999996</v>
      </c>
    </row>
    <row r="30" spans="1:4" ht="14.25" customHeight="1" x14ac:dyDescent="0.3"/>
    <row r="31" spans="1:4" ht="14.25" customHeight="1" x14ac:dyDescent="0.3">
      <c r="A31" s="5"/>
    </row>
    <row r="32" spans="1:4"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row r="1001" ht="14.25" customHeight="1" x14ac:dyDescent="0.3"/>
  </sheetData>
  <mergeCells count="2">
    <mergeCell ref="A1:G1"/>
    <mergeCell ref="A2:G2"/>
  </mergeCells>
  <pageMargins left="0.7" right="0.7" top="0.75" bottom="0.75" header="0" footer="0"/>
  <pageSetup scale="66" orientation="landscape" r:id="rId1"/>
  <tableParts count="3">
    <tablePart r:id="rId2"/>
    <tablePart r:id="rId3"/>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G1000"/>
  <sheetViews>
    <sheetView topLeftCell="A57" workbookViewId="0">
      <selection activeCell="A4" sqref="A4:G79"/>
    </sheetView>
  </sheetViews>
  <sheetFormatPr baseColWidth="10" defaultColWidth="14.44140625" defaultRowHeight="15" customHeight="1" x14ac:dyDescent="0.3"/>
  <cols>
    <col min="1" max="1" width="7.5546875" customWidth="1"/>
    <col min="2" max="2" width="65.109375" customWidth="1"/>
    <col min="3" max="3" width="24.88671875" customWidth="1"/>
    <col min="4" max="4" width="28.88671875" customWidth="1"/>
    <col min="5" max="5" width="23.33203125" customWidth="1"/>
    <col min="6" max="6" width="16.33203125" customWidth="1"/>
    <col min="7" max="7" width="16.44140625" bestFit="1" customWidth="1"/>
    <col min="8" max="24" width="10.6640625" customWidth="1"/>
  </cols>
  <sheetData>
    <row r="1" spans="1:7" ht="14.25" customHeight="1" x14ac:dyDescent="0.3">
      <c r="A1" s="97" t="s">
        <v>122</v>
      </c>
      <c r="B1" s="89"/>
      <c r="C1" s="89"/>
      <c r="D1" s="89"/>
      <c r="E1" s="89"/>
      <c r="F1" s="98"/>
      <c r="G1" s="61" t="s">
        <v>123</v>
      </c>
    </row>
    <row r="2" spans="1:7" ht="15.6" x14ac:dyDescent="0.3">
      <c r="A2" s="99" t="s">
        <v>124</v>
      </c>
      <c r="B2" s="84"/>
      <c r="C2" s="84"/>
      <c r="D2" s="84"/>
      <c r="E2" s="84"/>
      <c r="F2" s="85"/>
      <c r="G2" s="62">
        <f>SUM(Table_5[TOTAL (COP)])</f>
        <v>434411341.68479991</v>
      </c>
    </row>
    <row r="3" spans="1:7" ht="14.25" customHeight="1" x14ac:dyDescent="0.3"/>
    <row r="4" spans="1:7" ht="14.4" x14ac:dyDescent="0.3">
      <c r="A4" s="128" t="s">
        <v>125</v>
      </c>
      <c r="B4" s="129" t="s">
        <v>13</v>
      </c>
      <c r="C4" s="129" t="s">
        <v>126</v>
      </c>
      <c r="D4" s="129" t="s">
        <v>127</v>
      </c>
      <c r="E4" s="129" t="s">
        <v>128</v>
      </c>
      <c r="F4" s="129" t="s">
        <v>11</v>
      </c>
      <c r="G4" s="130" t="s">
        <v>123</v>
      </c>
    </row>
    <row r="5" spans="1:7" ht="14.25" customHeight="1" x14ac:dyDescent="0.3">
      <c r="A5" s="131">
        <v>1</v>
      </c>
      <c r="B5" s="132" t="s">
        <v>129</v>
      </c>
      <c r="C5" s="133" t="s">
        <v>130</v>
      </c>
      <c r="D5" s="134">
        <v>304.67</v>
      </c>
      <c r="E5" s="134">
        <f t="shared" ref="E5:E36" si="0">D5*TRM__HOY</f>
        <v>1226683.6809</v>
      </c>
      <c r="F5" s="135">
        <v>2</v>
      </c>
      <c r="G5" s="136">
        <f t="shared" ref="G5:G79" si="1">E5*F5</f>
        <v>2453367.3618000001</v>
      </c>
    </row>
    <row r="6" spans="1:7" ht="14.25" customHeight="1" x14ac:dyDescent="0.3">
      <c r="A6" s="131">
        <v>2</v>
      </c>
      <c r="B6" s="132" t="s">
        <v>131</v>
      </c>
      <c r="C6" s="133" t="s">
        <v>132</v>
      </c>
      <c r="D6" s="134">
        <v>4190</v>
      </c>
      <c r="E6" s="134">
        <f t="shared" si="0"/>
        <v>16870071.300000001</v>
      </c>
      <c r="F6" s="135">
        <v>2</v>
      </c>
      <c r="G6" s="136">
        <f t="shared" si="1"/>
        <v>33740142.600000001</v>
      </c>
    </row>
    <row r="7" spans="1:7" ht="14.25" customHeight="1" x14ac:dyDescent="0.3">
      <c r="A7" s="131">
        <v>3</v>
      </c>
      <c r="B7" s="132" t="s">
        <v>133</v>
      </c>
      <c r="C7" s="133" t="s">
        <v>134</v>
      </c>
      <c r="D7" s="134">
        <v>3500</v>
      </c>
      <c r="E7" s="134">
        <f t="shared" si="0"/>
        <v>14091945</v>
      </c>
      <c r="F7" s="135">
        <v>1</v>
      </c>
      <c r="G7" s="136">
        <f t="shared" si="1"/>
        <v>14091945</v>
      </c>
    </row>
    <row r="8" spans="1:7" ht="14.25" customHeight="1" x14ac:dyDescent="0.3">
      <c r="A8" s="131">
        <v>4</v>
      </c>
      <c r="B8" s="132" t="s">
        <v>135</v>
      </c>
      <c r="C8" s="133" t="s">
        <v>136</v>
      </c>
      <c r="D8" s="134">
        <v>148</v>
      </c>
      <c r="E8" s="134">
        <f t="shared" si="0"/>
        <v>595887.96</v>
      </c>
      <c r="F8" s="135">
        <v>3</v>
      </c>
      <c r="G8" s="137">
        <f t="shared" si="1"/>
        <v>1787663.88</v>
      </c>
    </row>
    <row r="9" spans="1:7" ht="14.25" customHeight="1" x14ac:dyDescent="0.3">
      <c r="A9" s="131">
        <v>5</v>
      </c>
      <c r="B9" s="132" t="s">
        <v>137</v>
      </c>
      <c r="C9" s="133" t="s">
        <v>138</v>
      </c>
      <c r="D9" s="134">
        <v>150</v>
      </c>
      <c r="E9" s="134">
        <f t="shared" si="0"/>
        <v>603940.5</v>
      </c>
      <c r="F9" s="135">
        <v>4</v>
      </c>
      <c r="G9" s="137">
        <f t="shared" si="1"/>
        <v>2415762</v>
      </c>
    </row>
    <row r="10" spans="1:7" ht="14.25" customHeight="1" x14ac:dyDescent="0.3">
      <c r="A10" s="131">
        <v>6</v>
      </c>
      <c r="B10" s="132" t="s">
        <v>139</v>
      </c>
      <c r="C10" s="133" t="s">
        <v>140</v>
      </c>
      <c r="D10" s="134">
        <v>200</v>
      </c>
      <c r="E10" s="134">
        <f t="shared" si="0"/>
        <v>805254</v>
      </c>
      <c r="F10" s="135">
        <v>1</v>
      </c>
      <c r="G10" s="137">
        <f t="shared" si="1"/>
        <v>805254</v>
      </c>
    </row>
    <row r="11" spans="1:7" ht="14.25" customHeight="1" x14ac:dyDescent="0.3">
      <c r="A11" s="131">
        <v>7</v>
      </c>
      <c r="B11" s="132" t="s">
        <v>141</v>
      </c>
      <c r="C11" s="133" t="s">
        <v>142</v>
      </c>
      <c r="D11" s="134">
        <v>200</v>
      </c>
      <c r="E11" s="134">
        <f t="shared" si="0"/>
        <v>805254</v>
      </c>
      <c r="F11" s="135">
        <v>1</v>
      </c>
      <c r="G11" s="137">
        <f t="shared" si="1"/>
        <v>805254</v>
      </c>
    </row>
    <row r="12" spans="1:7" ht="14.25" customHeight="1" x14ac:dyDescent="0.3">
      <c r="A12" s="131">
        <v>8</v>
      </c>
      <c r="B12" s="132" t="s">
        <v>143</v>
      </c>
      <c r="C12" s="133" t="s">
        <v>144</v>
      </c>
      <c r="D12" s="134">
        <v>599</v>
      </c>
      <c r="E12" s="134">
        <f t="shared" si="0"/>
        <v>2411735.73</v>
      </c>
      <c r="F12" s="135">
        <v>3</v>
      </c>
      <c r="G12" s="137">
        <f t="shared" si="1"/>
        <v>7235207.1899999995</v>
      </c>
    </row>
    <row r="13" spans="1:7" ht="14.25" customHeight="1" x14ac:dyDescent="0.3">
      <c r="A13" s="131">
        <v>9</v>
      </c>
      <c r="B13" s="132" t="s">
        <v>145</v>
      </c>
      <c r="C13" s="133" t="s">
        <v>146</v>
      </c>
      <c r="D13" s="134">
        <v>120</v>
      </c>
      <c r="E13" s="134">
        <f t="shared" si="0"/>
        <v>483152.4</v>
      </c>
      <c r="F13" s="135">
        <v>2</v>
      </c>
      <c r="G13" s="137">
        <f t="shared" si="1"/>
        <v>966304.8</v>
      </c>
    </row>
    <row r="14" spans="1:7" ht="14.25" customHeight="1" x14ac:dyDescent="0.3">
      <c r="A14" s="131">
        <v>10</v>
      </c>
      <c r="B14" s="132" t="s">
        <v>147</v>
      </c>
      <c r="C14" s="133" t="s">
        <v>148</v>
      </c>
      <c r="D14" s="134">
        <v>40</v>
      </c>
      <c r="E14" s="134">
        <f t="shared" si="0"/>
        <v>161050.79999999999</v>
      </c>
      <c r="F14" s="135">
        <v>2</v>
      </c>
      <c r="G14" s="137">
        <f t="shared" si="1"/>
        <v>322101.59999999998</v>
      </c>
    </row>
    <row r="15" spans="1:7" ht="14.25" customHeight="1" x14ac:dyDescent="0.3">
      <c r="A15" s="131">
        <v>11</v>
      </c>
      <c r="B15" s="132" t="s">
        <v>149</v>
      </c>
      <c r="C15" s="138"/>
      <c r="D15" s="134">
        <v>1</v>
      </c>
      <c r="E15" s="134">
        <f t="shared" si="0"/>
        <v>4026.27</v>
      </c>
      <c r="F15" s="135">
        <v>8</v>
      </c>
      <c r="G15" s="137">
        <f t="shared" si="1"/>
        <v>32210.16</v>
      </c>
    </row>
    <row r="16" spans="1:7" ht="14.25" customHeight="1" x14ac:dyDescent="0.3">
      <c r="A16" s="131">
        <v>12</v>
      </c>
      <c r="B16" s="132" t="s">
        <v>150</v>
      </c>
      <c r="C16" s="133"/>
      <c r="D16" s="134">
        <v>200</v>
      </c>
      <c r="E16" s="134">
        <f t="shared" si="0"/>
        <v>805254</v>
      </c>
      <c r="F16" s="135">
        <v>1</v>
      </c>
      <c r="G16" s="137">
        <f t="shared" si="1"/>
        <v>805254</v>
      </c>
    </row>
    <row r="17" spans="1:7" ht="14.25" customHeight="1" x14ac:dyDescent="0.3">
      <c r="A17" s="131">
        <v>13</v>
      </c>
      <c r="B17" s="132" t="s">
        <v>151</v>
      </c>
      <c r="C17" s="133"/>
      <c r="D17" s="134">
        <v>1000</v>
      </c>
      <c r="E17" s="134">
        <f t="shared" si="0"/>
        <v>4026270</v>
      </c>
      <c r="F17" s="135">
        <v>1</v>
      </c>
      <c r="G17" s="136">
        <f t="shared" si="1"/>
        <v>4026270</v>
      </c>
    </row>
    <row r="18" spans="1:7" ht="14.25" customHeight="1" x14ac:dyDescent="0.3">
      <c r="A18" s="131">
        <v>14</v>
      </c>
      <c r="B18" s="132" t="s">
        <v>152</v>
      </c>
      <c r="C18" s="133" t="s">
        <v>153</v>
      </c>
      <c r="D18" s="134">
        <v>50</v>
      </c>
      <c r="E18" s="134">
        <f t="shared" si="0"/>
        <v>201313.5</v>
      </c>
      <c r="F18" s="135">
        <v>2</v>
      </c>
      <c r="G18" s="137">
        <f t="shared" si="1"/>
        <v>402627</v>
      </c>
    </row>
    <row r="19" spans="1:7" ht="14.25" customHeight="1" x14ac:dyDescent="0.3">
      <c r="A19" s="131">
        <v>15</v>
      </c>
      <c r="B19" s="132" t="s">
        <v>154</v>
      </c>
      <c r="C19" s="133" t="s">
        <v>155</v>
      </c>
      <c r="D19" s="134">
        <v>20</v>
      </c>
      <c r="E19" s="134">
        <f t="shared" si="0"/>
        <v>80525.399999999994</v>
      </c>
      <c r="F19" s="135">
        <v>2</v>
      </c>
      <c r="G19" s="137">
        <f t="shared" si="1"/>
        <v>161050.79999999999</v>
      </c>
    </row>
    <row r="20" spans="1:7" ht="14.25" customHeight="1" x14ac:dyDescent="0.3">
      <c r="A20" s="131">
        <v>16</v>
      </c>
      <c r="B20" s="132" t="s">
        <v>156</v>
      </c>
      <c r="C20" s="133"/>
      <c r="D20" s="134">
        <v>150</v>
      </c>
      <c r="E20" s="134">
        <f t="shared" si="0"/>
        <v>603940.5</v>
      </c>
      <c r="F20" s="135">
        <v>2</v>
      </c>
      <c r="G20" s="137">
        <f t="shared" si="1"/>
        <v>1207881</v>
      </c>
    </row>
    <row r="21" spans="1:7" ht="14.25" customHeight="1" x14ac:dyDescent="0.3">
      <c r="A21" s="131">
        <v>17</v>
      </c>
      <c r="B21" s="132" t="s">
        <v>157</v>
      </c>
      <c r="C21" s="133" t="s">
        <v>158</v>
      </c>
      <c r="D21" s="134">
        <v>3200</v>
      </c>
      <c r="E21" s="134">
        <f t="shared" si="0"/>
        <v>12884064</v>
      </c>
      <c r="F21" s="135">
        <v>1</v>
      </c>
      <c r="G21" s="136">
        <f t="shared" si="1"/>
        <v>12884064</v>
      </c>
    </row>
    <row r="22" spans="1:7" ht="14.25" customHeight="1" x14ac:dyDescent="0.3">
      <c r="A22" s="131">
        <v>18</v>
      </c>
      <c r="B22" s="132" t="s">
        <v>159</v>
      </c>
      <c r="C22" s="133" t="s">
        <v>160</v>
      </c>
      <c r="D22" s="134">
        <v>40</v>
      </c>
      <c r="E22" s="134">
        <f t="shared" si="0"/>
        <v>161050.79999999999</v>
      </c>
      <c r="F22" s="135">
        <v>1</v>
      </c>
      <c r="G22" s="137">
        <f t="shared" si="1"/>
        <v>161050.79999999999</v>
      </c>
    </row>
    <row r="23" spans="1:7" ht="14.25" customHeight="1" x14ac:dyDescent="0.3">
      <c r="A23" s="131">
        <v>19</v>
      </c>
      <c r="B23" s="132" t="s">
        <v>161</v>
      </c>
      <c r="C23" s="133" t="s">
        <v>160</v>
      </c>
      <c r="D23" s="134">
        <v>40</v>
      </c>
      <c r="E23" s="134">
        <f t="shared" si="0"/>
        <v>161050.79999999999</v>
      </c>
      <c r="F23" s="135">
        <v>1</v>
      </c>
      <c r="G23" s="137">
        <f t="shared" si="1"/>
        <v>161050.79999999999</v>
      </c>
    </row>
    <row r="24" spans="1:7" ht="14.25" customHeight="1" x14ac:dyDescent="0.3">
      <c r="A24" s="131">
        <v>20</v>
      </c>
      <c r="B24" s="132" t="s">
        <v>162</v>
      </c>
      <c r="C24" s="133" t="s">
        <v>163</v>
      </c>
      <c r="D24" s="134">
        <v>150</v>
      </c>
      <c r="E24" s="134">
        <f t="shared" si="0"/>
        <v>603940.5</v>
      </c>
      <c r="F24" s="135">
        <v>1</v>
      </c>
      <c r="G24" s="137">
        <f t="shared" si="1"/>
        <v>603940.5</v>
      </c>
    </row>
    <row r="25" spans="1:7" ht="14.25" customHeight="1" x14ac:dyDescent="0.3">
      <c r="A25" s="131">
        <v>21</v>
      </c>
      <c r="B25" s="132" t="s">
        <v>164</v>
      </c>
      <c r="C25" s="133" t="s">
        <v>165</v>
      </c>
      <c r="D25" s="134">
        <v>100</v>
      </c>
      <c r="E25" s="134">
        <f t="shared" si="0"/>
        <v>402627</v>
      </c>
      <c r="F25" s="135">
        <v>2</v>
      </c>
      <c r="G25" s="137">
        <f t="shared" si="1"/>
        <v>805254</v>
      </c>
    </row>
    <row r="26" spans="1:7" ht="14.25" customHeight="1" x14ac:dyDescent="0.3">
      <c r="A26" s="131">
        <v>22</v>
      </c>
      <c r="B26" s="132" t="s">
        <v>166</v>
      </c>
      <c r="C26" s="133" t="s">
        <v>167</v>
      </c>
      <c r="D26" s="134">
        <v>200</v>
      </c>
      <c r="E26" s="134">
        <f t="shared" si="0"/>
        <v>805254</v>
      </c>
      <c r="F26" s="135">
        <v>2</v>
      </c>
      <c r="G26" s="137">
        <f t="shared" si="1"/>
        <v>1610508</v>
      </c>
    </row>
    <row r="27" spans="1:7" ht="14.25" customHeight="1" x14ac:dyDescent="0.3">
      <c r="A27" s="131">
        <v>23</v>
      </c>
      <c r="B27" s="132" t="s">
        <v>168</v>
      </c>
      <c r="C27" s="133" t="s">
        <v>169</v>
      </c>
      <c r="D27" s="134">
        <v>1</v>
      </c>
      <c r="E27" s="134">
        <f t="shared" si="0"/>
        <v>4026.27</v>
      </c>
      <c r="F27" s="135">
        <v>4</v>
      </c>
      <c r="G27" s="137">
        <f t="shared" si="1"/>
        <v>16105.08</v>
      </c>
    </row>
    <row r="28" spans="1:7" ht="14.25" customHeight="1" x14ac:dyDescent="0.3">
      <c r="A28" s="131">
        <v>24</v>
      </c>
      <c r="B28" s="132" t="s">
        <v>170</v>
      </c>
      <c r="C28" s="133" t="s">
        <v>171</v>
      </c>
      <c r="D28" s="134">
        <v>1</v>
      </c>
      <c r="E28" s="134">
        <f t="shared" si="0"/>
        <v>4026.27</v>
      </c>
      <c r="F28" s="135">
        <v>2</v>
      </c>
      <c r="G28" s="137">
        <f t="shared" si="1"/>
        <v>8052.54</v>
      </c>
    </row>
    <row r="29" spans="1:7" ht="14.25" customHeight="1" x14ac:dyDescent="0.3">
      <c r="A29" s="131">
        <v>25</v>
      </c>
      <c r="B29" s="132" t="s">
        <v>172</v>
      </c>
      <c r="C29" s="133" t="s">
        <v>173</v>
      </c>
      <c r="D29" s="134">
        <v>1</v>
      </c>
      <c r="E29" s="134">
        <f t="shared" si="0"/>
        <v>4026.27</v>
      </c>
      <c r="F29" s="135">
        <v>4</v>
      </c>
      <c r="G29" s="137">
        <f t="shared" si="1"/>
        <v>16105.08</v>
      </c>
    </row>
    <row r="30" spans="1:7" ht="14.25" customHeight="1" x14ac:dyDescent="0.3">
      <c r="A30" s="131">
        <v>26</v>
      </c>
      <c r="B30" s="132" t="s">
        <v>174</v>
      </c>
      <c r="C30" s="133" t="s">
        <v>173</v>
      </c>
      <c r="D30" s="134">
        <v>1</v>
      </c>
      <c r="E30" s="134">
        <f t="shared" si="0"/>
        <v>4026.27</v>
      </c>
      <c r="F30" s="135">
        <v>10</v>
      </c>
      <c r="G30" s="137">
        <f t="shared" si="1"/>
        <v>40262.699999999997</v>
      </c>
    </row>
    <row r="31" spans="1:7" ht="14.25" customHeight="1" x14ac:dyDescent="0.3">
      <c r="A31" s="131">
        <v>27</v>
      </c>
      <c r="B31" s="132" t="s">
        <v>175</v>
      </c>
      <c r="C31" s="133" t="s">
        <v>173</v>
      </c>
      <c r="D31" s="134">
        <v>1</v>
      </c>
      <c r="E31" s="134">
        <f t="shared" si="0"/>
        <v>4026.27</v>
      </c>
      <c r="F31" s="135">
        <v>30</v>
      </c>
      <c r="G31" s="137">
        <f t="shared" si="1"/>
        <v>120788.1</v>
      </c>
    </row>
    <row r="32" spans="1:7" ht="14.25" customHeight="1" x14ac:dyDescent="0.3">
      <c r="A32" s="131">
        <v>28</v>
      </c>
      <c r="B32" s="132" t="s">
        <v>176</v>
      </c>
      <c r="C32" s="133" t="s">
        <v>173</v>
      </c>
      <c r="D32" s="134">
        <v>1</v>
      </c>
      <c r="E32" s="134">
        <f t="shared" si="0"/>
        <v>4026.27</v>
      </c>
      <c r="F32" s="135">
        <v>20</v>
      </c>
      <c r="G32" s="137">
        <f t="shared" si="1"/>
        <v>80525.399999999994</v>
      </c>
    </row>
    <row r="33" spans="1:7" ht="14.25" customHeight="1" x14ac:dyDescent="0.3">
      <c r="A33" s="131">
        <v>29</v>
      </c>
      <c r="B33" s="132" t="s">
        <v>177</v>
      </c>
      <c r="C33" s="133" t="s">
        <v>173</v>
      </c>
      <c r="D33" s="134">
        <v>1</v>
      </c>
      <c r="E33" s="134">
        <f t="shared" si="0"/>
        <v>4026.27</v>
      </c>
      <c r="F33" s="135">
        <v>2</v>
      </c>
      <c r="G33" s="137">
        <f t="shared" si="1"/>
        <v>8052.54</v>
      </c>
    </row>
    <row r="34" spans="1:7" ht="14.25" customHeight="1" x14ac:dyDescent="0.3">
      <c r="A34" s="131">
        <v>30</v>
      </c>
      <c r="B34" s="132" t="s">
        <v>178</v>
      </c>
      <c r="C34" s="133" t="s">
        <v>173</v>
      </c>
      <c r="D34" s="134">
        <v>1</v>
      </c>
      <c r="E34" s="134">
        <f t="shared" si="0"/>
        <v>4026.27</v>
      </c>
      <c r="F34" s="135">
        <v>3</v>
      </c>
      <c r="G34" s="137">
        <f t="shared" si="1"/>
        <v>12078.81</v>
      </c>
    </row>
    <row r="35" spans="1:7" ht="14.25" customHeight="1" x14ac:dyDescent="0.3">
      <c r="A35" s="131">
        <v>31</v>
      </c>
      <c r="B35" s="132" t="s">
        <v>179</v>
      </c>
      <c r="C35" s="133" t="s">
        <v>173</v>
      </c>
      <c r="D35" s="134">
        <v>1</v>
      </c>
      <c r="E35" s="134">
        <f t="shared" si="0"/>
        <v>4026.27</v>
      </c>
      <c r="F35" s="135">
        <v>3</v>
      </c>
      <c r="G35" s="137">
        <f t="shared" si="1"/>
        <v>12078.81</v>
      </c>
    </row>
    <row r="36" spans="1:7" ht="14.25" customHeight="1" x14ac:dyDescent="0.3">
      <c r="A36" s="131">
        <v>32</v>
      </c>
      <c r="B36" s="132" t="s">
        <v>180</v>
      </c>
      <c r="C36" s="138"/>
      <c r="D36" s="134">
        <v>1</v>
      </c>
      <c r="E36" s="134">
        <f t="shared" si="0"/>
        <v>4026.27</v>
      </c>
      <c r="F36" s="135">
        <v>43</v>
      </c>
      <c r="G36" s="137">
        <f t="shared" si="1"/>
        <v>173129.61</v>
      </c>
    </row>
    <row r="37" spans="1:7" ht="14.25" customHeight="1" x14ac:dyDescent="0.3">
      <c r="A37" s="131">
        <v>33</v>
      </c>
      <c r="B37" s="132" t="s">
        <v>181</v>
      </c>
      <c r="C37" s="133">
        <v>3246418</v>
      </c>
      <c r="D37" s="134">
        <v>0.5</v>
      </c>
      <c r="E37" s="134">
        <f t="shared" ref="E37:E68" si="2">D37*TRM__HOY</f>
        <v>2013.135</v>
      </c>
      <c r="F37" s="135">
        <v>43</v>
      </c>
      <c r="G37" s="137">
        <f t="shared" si="1"/>
        <v>86564.804999999993</v>
      </c>
    </row>
    <row r="38" spans="1:7" ht="14.25" customHeight="1" x14ac:dyDescent="0.3">
      <c r="A38" s="131">
        <v>34</v>
      </c>
      <c r="B38" s="132" t="s">
        <v>182</v>
      </c>
      <c r="C38" s="135"/>
      <c r="D38" s="134">
        <v>0.5</v>
      </c>
      <c r="E38" s="134">
        <f t="shared" si="2"/>
        <v>2013.135</v>
      </c>
      <c r="F38" s="135">
        <v>3</v>
      </c>
      <c r="G38" s="137">
        <f t="shared" si="1"/>
        <v>6039.4049999999997</v>
      </c>
    </row>
    <row r="39" spans="1:7" ht="14.25" customHeight="1" x14ac:dyDescent="0.3">
      <c r="A39" s="131">
        <v>35</v>
      </c>
      <c r="B39" s="132" t="s">
        <v>183</v>
      </c>
      <c r="C39" s="135"/>
      <c r="D39" s="134">
        <v>0.5</v>
      </c>
      <c r="E39" s="134">
        <f t="shared" si="2"/>
        <v>2013.135</v>
      </c>
      <c r="F39" s="135">
        <v>13</v>
      </c>
      <c r="G39" s="137">
        <f t="shared" si="1"/>
        <v>26170.755000000001</v>
      </c>
    </row>
    <row r="40" spans="1:7" ht="14.25" customHeight="1" x14ac:dyDescent="0.3">
      <c r="A40" s="131">
        <v>36</v>
      </c>
      <c r="B40" s="132" t="s">
        <v>184</v>
      </c>
      <c r="C40" s="135"/>
      <c r="D40" s="134">
        <v>0.5</v>
      </c>
      <c r="E40" s="134">
        <f t="shared" si="2"/>
        <v>2013.135</v>
      </c>
      <c r="F40" s="135">
        <v>2</v>
      </c>
      <c r="G40" s="137">
        <f t="shared" si="1"/>
        <v>4026.27</v>
      </c>
    </row>
    <row r="41" spans="1:7" ht="14.25" customHeight="1" x14ac:dyDescent="0.3">
      <c r="A41" s="131">
        <v>37</v>
      </c>
      <c r="B41" s="132" t="s">
        <v>185</v>
      </c>
      <c r="C41" s="135"/>
      <c r="D41" s="134">
        <v>0.5</v>
      </c>
      <c r="E41" s="134">
        <f t="shared" si="2"/>
        <v>2013.135</v>
      </c>
      <c r="F41" s="135">
        <v>1</v>
      </c>
      <c r="G41" s="137">
        <f t="shared" si="1"/>
        <v>2013.135</v>
      </c>
    </row>
    <row r="42" spans="1:7" ht="14.25" customHeight="1" x14ac:dyDescent="0.3">
      <c r="A42" s="131">
        <v>38</v>
      </c>
      <c r="B42" s="132" t="s">
        <v>186</v>
      </c>
      <c r="C42" s="138"/>
      <c r="D42" s="134">
        <v>0.5</v>
      </c>
      <c r="E42" s="134">
        <f t="shared" si="2"/>
        <v>2013.135</v>
      </c>
      <c r="F42" s="135">
        <v>24</v>
      </c>
      <c r="G42" s="137">
        <f t="shared" si="1"/>
        <v>48315.24</v>
      </c>
    </row>
    <row r="43" spans="1:7" ht="14.25" customHeight="1" x14ac:dyDescent="0.3">
      <c r="A43" s="131">
        <v>39</v>
      </c>
      <c r="B43" s="132" t="s">
        <v>187</v>
      </c>
      <c r="C43" s="138"/>
      <c r="D43" s="134">
        <v>0.5</v>
      </c>
      <c r="E43" s="134">
        <f t="shared" si="2"/>
        <v>2013.135</v>
      </c>
      <c r="F43" s="135">
        <v>2</v>
      </c>
      <c r="G43" s="137">
        <f t="shared" si="1"/>
        <v>4026.27</v>
      </c>
    </row>
    <row r="44" spans="1:7" ht="14.25" customHeight="1" x14ac:dyDescent="0.3">
      <c r="A44" s="131">
        <v>40</v>
      </c>
      <c r="B44" s="132" t="s">
        <v>188</v>
      </c>
      <c r="C44" s="138"/>
      <c r="D44" s="134">
        <v>0.5</v>
      </c>
      <c r="E44" s="134">
        <f t="shared" si="2"/>
        <v>2013.135</v>
      </c>
      <c r="F44" s="135">
        <v>7.8</v>
      </c>
      <c r="G44" s="137">
        <f t="shared" si="1"/>
        <v>15702.453</v>
      </c>
    </row>
    <row r="45" spans="1:7" ht="14.25" customHeight="1" x14ac:dyDescent="0.3">
      <c r="A45" s="131">
        <v>41</v>
      </c>
      <c r="B45" s="132" t="s">
        <v>189</v>
      </c>
      <c r="C45" s="133"/>
      <c r="D45" s="134">
        <v>15</v>
      </c>
      <c r="E45" s="134">
        <f t="shared" si="2"/>
        <v>60394.05</v>
      </c>
      <c r="F45" s="135">
        <v>2</v>
      </c>
      <c r="G45" s="137">
        <f t="shared" si="1"/>
        <v>120788.1</v>
      </c>
    </row>
    <row r="46" spans="1:7" ht="14.25" customHeight="1" x14ac:dyDescent="0.3">
      <c r="A46" s="131">
        <v>42</v>
      </c>
      <c r="B46" s="132" t="s">
        <v>190</v>
      </c>
      <c r="C46" s="133"/>
      <c r="D46" s="134">
        <v>15</v>
      </c>
      <c r="E46" s="134">
        <f t="shared" si="2"/>
        <v>60394.05</v>
      </c>
      <c r="F46" s="135">
        <v>2</v>
      </c>
      <c r="G46" s="137">
        <f t="shared" si="1"/>
        <v>120788.1</v>
      </c>
    </row>
    <row r="47" spans="1:7" ht="14.25" customHeight="1" x14ac:dyDescent="0.3">
      <c r="A47" s="131">
        <v>43</v>
      </c>
      <c r="B47" s="132" t="s">
        <v>191</v>
      </c>
      <c r="C47" s="133"/>
      <c r="D47" s="134">
        <v>15</v>
      </c>
      <c r="E47" s="134">
        <f t="shared" si="2"/>
        <v>60394.05</v>
      </c>
      <c r="F47" s="135">
        <v>2</v>
      </c>
      <c r="G47" s="137">
        <f t="shared" si="1"/>
        <v>120788.1</v>
      </c>
    </row>
    <row r="48" spans="1:7" ht="14.25" customHeight="1" x14ac:dyDescent="0.3">
      <c r="A48" s="131">
        <v>44</v>
      </c>
      <c r="B48" s="132" t="s">
        <v>192</v>
      </c>
      <c r="C48" s="138"/>
      <c r="D48" s="134">
        <v>1</v>
      </c>
      <c r="E48" s="134">
        <f t="shared" si="2"/>
        <v>4026.27</v>
      </c>
      <c r="F48" s="135">
        <v>16</v>
      </c>
      <c r="G48" s="137">
        <f t="shared" si="1"/>
        <v>64420.32</v>
      </c>
    </row>
    <row r="49" spans="1:7" ht="28.8" x14ac:dyDescent="0.3">
      <c r="A49" s="131">
        <v>45</v>
      </c>
      <c r="B49" s="132" t="s">
        <v>193</v>
      </c>
      <c r="C49" s="133"/>
      <c r="D49" s="134">
        <v>10</v>
      </c>
      <c r="E49" s="134">
        <f t="shared" si="2"/>
        <v>40262.699999999997</v>
      </c>
      <c r="F49" s="135">
        <v>2</v>
      </c>
      <c r="G49" s="137">
        <f t="shared" si="1"/>
        <v>80525.399999999994</v>
      </c>
    </row>
    <row r="50" spans="1:7" ht="14.25" customHeight="1" x14ac:dyDescent="0.3">
      <c r="A50" s="131">
        <v>46</v>
      </c>
      <c r="B50" s="132" t="s">
        <v>194</v>
      </c>
      <c r="C50" s="133"/>
      <c r="D50" s="134">
        <v>10</v>
      </c>
      <c r="E50" s="134">
        <f t="shared" si="2"/>
        <v>40262.699999999997</v>
      </c>
      <c r="F50" s="135">
        <v>4</v>
      </c>
      <c r="G50" s="137">
        <f t="shared" si="1"/>
        <v>161050.79999999999</v>
      </c>
    </row>
    <row r="51" spans="1:7" ht="14.25" customHeight="1" x14ac:dyDescent="0.3">
      <c r="A51" s="131">
        <v>47</v>
      </c>
      <c r="B51" s="132" t="s">
        <v>195</v>
      </c>
      <c r="C51" s="133"/>
      <c r="D51" s="134">
        <v>10</v>
      </c>
      <c r="E51" s="134">
        <f t="shared" si="2"/>
        <v>40262.699999999997</v>
      </c>
      <c r="F51" s="135">
        <v>8</v>
      </c>
      <c r="G51" s="137">
        <f t="shared" si="1"/>
        <v>322101.59999999998</v>
      </c>
    </row>
    <row r="52" spans="1:7" ht="14.25" customHeight="1" x14ac:dyDescent="0.3">
      <c r="A52" s="131">
        <v>48</v>
      </c>
      <c r="B52" s="132" t="s">
        <v>196</v>
      </c>
      <c r="C52" s="133"/>
      <c r="D52" s="134">
        <v>10</v>
      </c>
      <c r="E52" s="134">
        <f t="shared" si="2"/>
        <v>40262.699999999997</v>
      </c>
      <c r="F52" s="135">
        <v>4</v>
      </c>
      <c r="G52" s="137">
        <f t="shared" si="1"/>
        <v>161050.79999999999</v>
      </c>
    </row>
    <row r="53" spans="1:7" ht="14.25" customHeight="1" x14ac:dyDescent="0.3">
      <c r="A53" s="131">
        <v>49</v>
      </c>
      <c r="B53" s="132" t="s">
        <v>197</v>
      </c>
      <c r="C53" s="138"/>
      <c r="D53" s="134">
        <v>25</v>
      </c>
      <c r="E53" s="134">
        <f t="shared" si="2"/>
        <v>100656.75</v>
      </c>
      <c r="F53" s="135">
        <v>4</v>
      </c>
      <c r="G53" s="137">
        <f t="shared" si="1"/>
        <v>402627</v>
      </c>
    </row>
    <row r="54" spans="1:7" ht="14.25" customHeight="1" x14ac:dyDescent="0.3">
      <c r="A54" s="131">
        <v>50</v>
      </c>
      <c r="B54" s="132" t="s">
        <v>198</v>
      </c>
      <c r="C54" s="138"/>
      <c r="D54" s="134">
        <v>25</v>
      </c>
      <c r="E54" s="134">
        <f t="shared" si="2"/>
        <v>100656.75</v>
      </c>
      <c r="F54" s="135">
        <v>2</v>
      </c>
      <c r="G54" s="137">
        <f t="shared" si="1"/>
        <v>201313.5</v>
      </c>
    </row>
    <row r="55" spans="1:7" ht="14.25" customHeight="1" x14ac:dyDescent="0.3">
      <c r="A55" s="131">
        <v>51</v>
      </c>
      <c r="B55" s="132" t="s">
        <v>199</v>
      </c>
      <c r="C55" s="138"/>
      <c r="D55" s="134">
        <v>10</v>
      </c>
      <c r="E55" s="134">
        <f t="shared" si="2"/>
        <v>40262.699999999997</v>
      </c>
      <c r="F55" s="135">
        <v>6</v>
      </c>
      <c r="G55" s="137">
        <f t="shared" si="1"/>
        <v>241576.19999999998</v>
      </c>
    </row>
    <row r="56" spans="1:7" ht="14.25" customHeight="1" x14ac:dyDescent="0.3">
      <c r="A56" s="131">
        <v>52</v>
      </c>
      <c r="B56" s="132" t="s">
        <v>200</v>
      </c>
      <c r="C56" s="138"/>
      <c r="D56" s="134">
        <v>2</v>
      </c>
      <c r="E56" s="134">
        <f t="shared" si="2"/>
        <v>8052.54</v>
      </c>
      <c r="F56" s="135">
        <v>8</v>
      </c>
      <c r="G56" s="137">
        <f t="shared" si="1"/>
        <v>64420.32</v>
      </c>
    </row>
    <row r="57" spans="1:7" ht="14.25" customHeight="1" x14ac:dyDescent="0.3">
      <c r="A57" s="131">
        <v>53</v>
      </c>
      <c r="B57" s="132" t="s">
        <v>201</v>
      </c>
      <c r="C57" s="138"/>
      <c r="D57" s="134">
        <v>50</v>
      </c>
      <c r="E57" s="134">
        <f t="shared" si="2"/>
        <v>201313.5</v>
      </c>
      <c r="F57" s="135">
        <v>0.5</v>
      </c>
      <c r="G57" s="137">
        <f t="shared" si="1"/>
        <v>100656.75</v>
      </c>
    </row>
    <row r="58" spans="1:7" ht="14.25" customHeight="1" x14ac:dyDescent="0.3">
      <c r="A58" s="131">
        <v>54</v>
      </c>
      <c r="B58" s="132" t="s">
        <v>202</v>
      </c>
      <c r="C58" s="138"/>
      <c r="D58" s="134">
        <v>50</v>
      </c>
      <c r="E58" s="134">
        <f t="shared" si="2"/>
        <v>201313.5</v>
      </c>
      <c r="F58" s="135">
        <v>0.5</v>
      </c>
      <c r="G58" s="137">
        <f t="shared" si="1"/>
        <v>100656.75</v>
      </c>
    </row>
    <row r="59" spans="1:7" ht="14.25" customHeight="1" x14ac:dyDescent="0.3">
      <c r="A59" s="131">
        <v>55</v>
      </c>
      <c r="B59" s="132" t="s">
        <v>203</v>
      </c>
      <c r="C59" s="138"/>
      <c r="D59" s="134">
        <v>50</v>
      </c>
      <c r="E59" s="134">
        <f t="shared" si="2"/>
        <v>201313.5</v>
      </c>
      <c r="F59" s="135">
        <v>0.02</v>
      </c>
      <c r="G59" s="137">
        <f t="shared" si="1"/>
        <v>4026.27</v>
      </c>
    </row>
    <row r="60" spans="1:7" ht="14.25" customHeight="1" x14ac:dyDescent="0.3">
      <c r="A60" s="131">
        <v>56</v>
      </c>
      <c r="B60" s="132" t="s">
        <v>204</v>
      </c>
      <c r="C60" s="138"/>
      <c r="D60" s="134">
        <v>50</v>
      </c>
      <c r="E60" s="134">
        <f t="shared" si="2"/>
        <v>201313.5</v>
      </c>
      <c r="F60" s="135">
        <v>0.6</v>
      </c>
      <c r="G60" s="137">
        <f t="shared" si="1"/>
        <v>120788.09999999999</v>
      </c>
    </row>
    <row r="61" spans="1:7" ht="14.25" customHeight="1" x14ac:dyDescent="0.3">
      <c r="A61" s="131">
        <v>57</v>
      </c>
      <c r="B61" s="132" t="s">
        <v>205</v>
      </c>
      <c r="C61" s="138"/>
      <c r="D61" s="134">
        <v>50</v>
      </c>
      <c r="E61" s="134">
        <f t="shared" si="2"/>
        <v>201313.5</v>
      </c>
      <c r="F61" s="135">
        <v>0.5</v>
      </c>
      <c r="G61" s="137">
        <f t="shared" si="1"/>
        <v>100656.75</v>
      </c>
    </row>
    <row r="62" spans="1:7" ht="14.25" customHeight="1" x14ac:dyDescent="0.3">
      <c r="A62" s="131">
        <v>58</v>
      </c>
      <c r="B62" s="132" t="s">
        <v>206</v>
      </c>
      <c r="C62" s="138"/>
      <c r="D62" s="134">
        <v>50</v>
      </c>
      <c r="E62" s="134">
        <f t="shared" si="2"/>
        <v>201313.5</v>
      </c>
      <c r="F62" s="135">
        <v>0.1</v>
      </c>
      <c r="G62" s="137">
        <f t="shared" si="1"/>
        <v>20131.350000000002</v>
      </c>
    </row>
    <row r="63" spans="1:7" ht="14.25" customHeight="1" x14ac:dyDescent="0.3">
      <c r="A63" s="131">
        <v>59</v>
      </c>
      <c r="B63" s="132" t="s">
        <v>207</v>
      </c>
      <c r="C63" s="138"/>
      <c r="D63" s="134">
        <v>10</v>
      </c>
      <c r="E63" s="134">
        <f t="shared" si="2"/>
        <v>40262.699999999997</v>
      </c>
      <c r="F63" s="135">
        <v>0.68</v>
      </c>
      <c r="G63" s="137">
        <f t="shared" si="1"/>
        <v>27378.635999999999</v>
      </c>
    </row>
    <row r="64" spans="1:7" ht="14.25" customHeight="1" x14ac:dyDescent="0.3">
      <c r="A64" s="131">
        <v>60</v>
      </c>
      <c r="B64" s="132" t="s">
        <v>208</v>
      </c>
      <c r="C64" s="138"/>
      <c r="D64" s="134">
        <v>10</v>
      </c>
      <c r="E64" s="134">
        <f t="shared" si="2"/>
        <v>40262.699999999997</v>
      </c>
      <c r="F64" s="135">
        <v>0.68</v>
      </c>
      <c r="G64" s="137">
        <f t="shared" si="1"/>
        <v>27378.635999999999</v>
      </c>
    </row>
    <row r="65" spans="1:7" ht="14.25" customHeight="1" x14ac:dyDescent="0.3">
      <c r="A65" s="131">
        <v>61</v>
      </c>
      <c r="B65" s="132" t="s">
        <v>209</v>
      </c>
      <c r="C65" s="138"/>
      <c r="D65" s="134">
        <v>10</v>
      </c>
      <c r="E65" s="134">
        <f t="shared" si="2"/>
        <v>40262.699999999997</v>
      </c>
      <c r="F65" s="135">
        <v>0.68</v>
      </c>
      <c r="G65" s="137">
        <f t="shared" si="1"/>
        <v>27378.635999999999</v>
      </c>
    </row>
    <row r="66" spans="1:7" ht="14.25" customHeight="1" x14ac:dyDescent="0.3">
      <c r="A66" s="131">
        <v>62</v>
      </c>
      <c r="B66" s="132" t="s">
        <v>210</v>
      </c>
      <c r="C66" s="138"/>
      <c r="D66" s="134">
        <v>10</v>
      </c>
      <c r="E66" s="134">
        <f t="shared" si="2"/>
        <v>40262.699999999997</v>
      </c>
      <c r="F66" s="135">
        <v>0.68</v>
      </c>
      <c r="G66" s="137">
        <f t="shared" si="1"/>
        <v>27378.635999999999</v>
      </c>
    </row>
    <row r="67" spans="1:7" ht="14.25" customHeight="1" x14ac:dyDescent="0.3">
      <c r="A67" s="131">
        <v>63</v>
      </c>
      <c r="B67" s="132" t="s">
        <v>211</v>
      </c>
      <c r="C67" s="138"/>
      <c r="D67" s="134">
        <v>10</v>
      </c>
      <c r="E67" s="134">
        <f t="shared" si="2"/>
        <v>40262.699999999997</v>
      </c>
      <c r="F67" s="135">
        <v>0.68</v>
      </c>
      <c r="G67" s="137">
        <f t="shared" si="1"/>
        <v>27378.635999999999</v>
      </c>
    </row>
    <row r="68" spans="1:7" ht="14.25" customHeight="1" x14ac:dyDescent="0.3">
      <c r="A68" s="131">
        <v>64</v>
      </c>
      <c r="B68" s="132" t="s">
        <v>212</v>
      </c>
      <c r="C68" s="138"/>
      <c r="D68" s="134">
        <v>10</v>
      </c>
      <c r="E68" s="134">
        <f t="shared" si="2"/>
        <v>40262.699999999997</v>
      </c>
      <c r="F68" s="135">
        <v>0.5</v>
      </c>
      <c r="G68" s="137">
        <f t="shared" si="1"/>
        <v>20131.349999999999</v>
      </c>
    </row>
    <row r="69" spans="1:7" ht="14.25" customHeight="1" x14ac:dyDescent="0.3">
      <c r="A69" s="131">
        <v>65</v>
      </c>
      <c r="B69" s="132" t="s">
        <v>213</v>
      </c>
      <c r="C69" s="138"/>
      <c r="D69" s="134">
        <v>10</v>
      </c>
      <c r="E69" s="134">
        <f t="shared" ref="E69:E100" si="3">D69*TRM__HOY</f>
        <v>40262.699999999997</v>
      </c>
      <c r="F69" s="135">
        <v>0.5</v>
      </c>
      <c r="G69" s="137">
        <f t="shared" si="1"/>
        <v>20131.349999999999</v>
      </c>
    </row>
    <row r="70" spans="1:7" ht="14.25" customHeight="1" x14ac:dyDescent="0.3">
      <c r="A70" s="131">
        <v>66</v>
      </c>
      <c r="B70" s="132" t="s">
        <v>214</v>
      </c>
      <c r="C70" s="138"/>
      <c r="D70" s="134">
        <v>10</v>
      </c>
      <c r="E70" s="134">
        <f t="shared" si="3"/>
        <v>40262.699999999997</v>
      </c>
      <c r="F70" s="135">
        <v>0.5</v>
      </c>
      <c r="G70" s="137">
        <f t="shared" si="1"/>
        <v>20131.349999999999</v>
      </c>
    </row>
    <row r="71" spans="1:7" ht="14.25" customHeight="1" x14ac:dyDescent="0.3">
      <c r="A71" s="131">
        <v>67</v>
      </c>
      <c r="B71" s="132" t="s">
        <v>215</v>
      </c>
      <c r="C71" s="138"/>
      <c r="D71" s="134">
        <v>10</v>
      </c>
      <c r="E71" s="134">
        <f t="shared" si="3"/>
        <v>40262.699999999997</v>
      </c>
      <c r="F71" s="135">
        <v>0.5</v>
      </c>
      <c r="G71" s="137">
        <f t="shared" si="1"/>
        <v>20131.349999999999</v>
      </c>
    </row>
    <row r="72" spans="1:7" ht="14.25" customHeight="1" x14ac:dyDescent="0.3">
      <c r="A72" s="131">
        <v>68</v>
      </c>
      <c r="B72" s="132" t="s">
        <v>216</v>
      </c>
      <c r="C72" s="138"/>
      <c r="D72" s="134">
        <v>10</v>
      </c>
      <c r="E72" s="134">
        <f t="shared" si="3"/>
        <v>40262.699999999997</v>
      </c>
      <c r="F72" s="135">
        <v>0.5</v>
      </c>
      <c r="G72" s="137">
        <f t="shared" si="1"/>
        <v>20131.349999999999</v>
      </c>
    </row>
    <row r="73" spans="1:7" ht="14.25" customHeight="1" x14ac:dyDescent="0.3">
      <c r="A73" s="131">
        <v>69</v>
      </c>
      <c r="B73" s="132" t="s">
        <v>217</v>
      </c>
      <c r="C73" s="138"/>
      <c r="D73" s="134">
        <v>10</v>
      </c>
      <c r="E73" s="134">
        <f t="shared" si="3"/>
        <v>40262.699999999997</v>
      </c>
      <c r="F73" s="135">
        <v>0.5</v>
      </c>
      <c r="G73" s="137">
        <f t="shared" si="1"/>
        <v>20131.349999999999</v>
      </c>
    </row>
    <row r="74" spans="1:7" ht="14.25" customHeight="1" x14ac:dyDescent="0.3">
      <c r="A74" s="131">
        <v>70</v>
      </c>
      <c r="B74" s="132" t="s">
        <v>218</v>
      </c>
      <c r="C74" s="138"/>
      <c r="D74" s="134">
        <v>10</v>
      </c>
      <c r="E74" s="134">
        <f t="shared" si="3"/>
        <v>40262.699999999997</v>
      </c>
      <c r="F74" s="135">
        <v>0.5</v>
      </c>
      <c r="G74" s="137">
        <f t="shared" si="1"/>
        <v>20131.349999999999</v>
      </c>
    </row>
    <row r="75" spans="1:7" ht="14.25" customHeight="1" x14ac:dyDescent="0.3">
      <c r="A75" s="131">
        <v>71</v>
      </c>
      <c r="B75" s="132" t="s">
        <v>219</v>
      </c>
      <c r="C75" s="138"/>
      <c r="D75" s="134">
        <v>10</v>
      </c>
      <c r="E75" s="134">
        <f t="shared" si="3"/>
        <v>40262.699999999997</v>
      </c>
      <c r="F75" s="135">
        <v>0.5</v>
      </c>
      <c r="G75" s="137">
        <f t="shared" si="1"/>
        <v>20131.349999999999</v>
      </c>
    </row>
    <row r="76" spans="1:7" ht="14.25" customHeight="1" x14ac:dyDescent="0.3">
      <c r="A76" s="131">
        <v>72</v>
      </c>
      <c r="B76" s="132" t="s">
        <v>220</v>
      </c>
      <c r="C76" s="138" t="s">
        <v>221</v>
      </c>
      <c r="D76" s="134">
        <v>1000</v>
      </c>
      <c r="E76" s="134">
        <f t="shared" si="3"/>
        <v>4026270</v>
      </c>
      <c r="F76" s="135">
        <v>22</v>
      </c>
      <c r="G76" s="137">
        <f t="shared" si="1"/>
        <v>88577940</v>
      </c>
    </row>
    <row r="77" spans="1:7" ht="14.25" customHeight="1" x14ac:dyDescent="0.3">
      <c r="A77" s="131">
        <v>73</v>
      </c>
      <c r="B77" s="132" t="s">
        <v>222</v>
      </c>
      <c r="C77" s="138" t="s">
        <v>223</v>
      </c>
      <c r="D77" s="134">
        <v>300</v>
      </c>
      <c r="E77" s="134">
        <f t="shared" si="3"/>
        <v>1207881</v>
      </c>
      <c r="F77" s="135">
        <v>11</v>
      </c>
      <c r="G77" s="137">
        <f t="shared" si="1"/>
        <v>13286691</v>
      </c>
    </row>
    <row r="78" spans="1:7" ht="14.25" customHeight="1" x14ac:dyDescent="0.3">
      <c r="A78" s="131">
        <v>74</v>
      </c>
      <c r="B78" s="132" t="s">
        <v>224</v>
      </c>
      <c r="C78" s="138"/>
      <c r="D78" s="134">
        <v>24000</v>
      </c>
      <c r="E78" s="134">
        <f t="shared" si="3"/>
        <v>96630480</v>
      </c>
      <c r="F78" s="135">
        <v>1</v>
      </c>
      <c r="G78" s="137">
        <f t="shared" si="1"/>
        <v>96630480</v>
      </c>
    </row>
    <row r="79" spans="1:7" ht="14.25" customHeight="1" x14ac:dyDescent="0.3">
      <c r="A79" s="145">
        <v>75</v>
      </c>
      <c r="B79" s="146" t="s">
        <v>264</v>
      </c>
      <c r="C79" s="145"/>
      <c r="D79" s="134">
        <v>4000</v>
      </c>
      <c r="E79" s="134">
        <f t="shared" si="3"/>
        <v>16105080</v>
      </c>
      <c r="F79" s="145">
        <v>9</v>
      </c>
      <c r="G79" s="137">
        <f t="shared" si="1"/>
        <v>144945720</v>
      </c>
    </row>
    <row r="80" spans="1:7"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mergeCells count="2">
    <mergeCell ref="A1:F1"/>
    <mergeCell ref="A2:F2"/>
  </mergeCells>
  <pageMargins left="0.7" right="0.7" top="0.75" bottom="0.75" header="0" footer="0"/>
  <pageSetup scale="44" orientation="landscape"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H1000"/>
  <sheetViews>
    <sheetView workbookViewId="0">
      <selection activeCell="A5" sqref="A5:G15"/>
    </sheetView>
  </sheetViews>
  <sheetFormatPr baseColWidth="10" defaultColWidth="14.44140625" defaultRowHeight="15" customHeight="1" x14ac:dyDescent="0.3"/>
  <cols>
    <col min="1" max="1" width="6" customWidth="1"/>
    <col min="2" max="2" width="35.33203125" customWidth="1"/>
    <col min="3" max="3" width="41.109375" customWidth="1"/>
    <col min="4" max="4" width="18.109375" customWidth="1"/>
    <col min="5" max="5" width="18.44140625" customWidth="1"/>
    <col min="6" max="6" width="15.33203125" customWidth="1"/>
    <col min="7" max="7" width="15.88671875" customWidth="1"/>
    <col min="8" max="8" width="32.6640625" customWidth="1"/>
    <col min="9" max="26" width="10.6640625" customWidth="1"/>
  </cols>
  <sheetData>
    <row r="1" spans="1:8" ht="14.25" customHeight="1" x14ac:dyDescent="0.3">
      <c r="A1" s="100" t="s">
        <v>225</v>
      </c>
      <c r="B1" s="89"/>
      <c r="C1" s="89"/>
      <c r="D1" s="89"/>
      <c r="E1" s="89"/>
      <c r="F1" s="89"/>
      <c r="G1" s="90"/>
      <c r="H1" s="61" t="s">
        <v>96</v>
      </c>
    </row>
    <row r="2" spans="1:8" ht="14.25" customHeight="1" x14ac:dyDescent="0.3">
      <c r="A2" s="235" t="s">
        <v>286</v>
      </c>
      <c r="B2" s="84"/>
      <c r="C2" s="84"/>
      <c r="D2" s="84"/>
      <c r="E2" s="84"/>
      <c r="F2" s="84"/>
      <c r="G2" s="85"/>
      <c r="H2" s="63">
        <f>SUM('Celda Robótica'!$G$5:$G$15)</f>
        <v>80044824.412799999</v>
      </c>
    </row>
    <row r="3" spans="1:8" ht="14.25" customHeight="1" x14ac:dyDescent="0.3"/>
    <row r="4" spans="1:8" ht="14.25" customHeight="1" x14ac:dyDescent="0.3"/>
    <row r="5" spans="1:8" ht="32.25" customHeight="1" x14ac:dyDescent="0.3">
      <c r="A5" s="205" t="s">
        <v>125</v>
      </c>
      <c r="B5" s="206" t="s">
        <v>13</v>
      </c>
      <c r="C5" s="206" t="s">
        <v>126</v>
      </c>
      <c r="D5" s="206" t="s">
        <v>10</v>
      </c>
      <c r="E5" s="206" t="s">
        <v>226</v>
      </c>
      <c r="F5" s="206" t="s">
        <v>11</v>
      </c>
      <c r="G5" s="206" t="s">
        <v>123</v>
      </c>
      <c r="H5" s="207" t="s">
        <v>14</v>
      </c>
    </row>
    <row r="6" spans="1:8" ht="14.25" customHeight="1" x14ac:dyDescent="0.3">
      <c r="A6" s="208">
        <v>1</v>
      </c>
      <c r="B6" s="202" t="s">
        <v>227</v>
      </c>
      <c r="C6" s="202" t="s">
        <v>228</v>
      </c>
      <c r="D6" s="212">
        <v>5799</v>
      </c>
      <c r="E6" s="203">
        <f>Table_6[[#This Row],[PRECIO UNITARIO (USD)]]*TRM__HOY</f>
        <v>23348339.73</v>
      </c>
      <c r="F6" s="202">
        <v>1</v>
      </c>
      <c r="G6" s="203">
        <f>Table_6[[#This Row],[PRECIO UNITARIO (COP)]]*Table_6[[#This Row],[CANTIDAD]]</f>
        <v>23348339.73</v>
      </c>
      <c r="H6" s="214" t="s">
        <v>229</v>
      </c>
    </row>
    <row r="7" spans="1:8" ht="14.25" customHeight="1" x14ac:dyDescent="0.3">
      <c r="A7" s="208">
        <v>2</v>
      </c>
      <c r="B7" s="202" t="s">
        <v>230</v>
      </c>
      <c r="C7" s="202" t="s">
        <v>231</v>
      </c>
      <c r="D7" s="212">
        <v>8899</v>
      </c>
      <c r="E7" s="203">
        <f>Table_6[[#This Row],[PRECIO UNITARIO (USD)]]*TRM__HOY</f>
        <v>35829776.729999997</v>
      </c>
      <c r="F7" s="202">
        <v>1</v>
      </c>
      <c r="G7" s="203">
        <f>Table_6[[#This Row],[PRECIO UNITARIO (COP)]]*Table_6[[#This Row],[CANTIDAD]]</f>
        <v>35829776.729999997</v>
      </c>
      <c r="H7" s="214" t="s">
        <v>229</v>
      </c>
    </row>
    <row r="8" spans="1:8" ht="14.25" customHeight="1" x14ac:dyDescent="0.3">
      <c r="A8" s="208">
        <v>3</v>
      </c>
      <c r="B8" s="202" t="s">
        <v>232</v>
      </c>
      <c r="C8" s="202" t="s">
        <v>233</v>
      </c>
      <c r="D8" s="212">
        <v>549</v>
      </c>
      <c r="E8" s="203">
        <f>Table_6[[#This Row],[PRECIO UNITARIO (USD)]]*TRM__HOY</f>
        <v>2210422.23</v>
      </c>
      <c r="F8" s="202">
        <v>2</v>
      </c>
      <c r="G8" s="203">
        <f>Table_6[[#This Row],[PRECIO UNITARIO (COP)]]*Table_6[[#This Row],[CANTIDAD]]</f>
        <v>4420844.46</v>
      </c>
      <c r="H8" s="214" t="s">
        <v>229</v>
      </c>
    </row>
    <row r="9" spans="1:8" ht="14.25" customHeight="1" x14ac:dyDescent="0.3">
      <c r="A9" s="208">
        <v>4</v>
      </c>
      <c r="B9" s="202" t="s">
        <v>234</v>
      </c>
      <c r="C9" s="202" t="s">
        <v>235</v>
      </c>
      <c r="D9" s="212">
        <v>90</v>
      </c>
      <c r="E9" s="203">
        <f>Table_6[[#This Row],[PRECIO UNITARIO (USD)]]*TRM__HOY</f>
        <v>362364.3</v>
      </c>
      <c r="F9" s="202">
        <v>2</v>
      </c>
      <c r="G9" s="203">
        <f>Table_6[[#This Row],[PRECIO UNITARIO (COP)]]*Table_6[[#This Row],[CANTIDAD]]</f>
        <v>724728.6</v>
      </c>
      <c r="H9" s="214" t="s">
        <v>229</v>
      </c>
    </row>
    <row r="10" spans="1:8" ht="14.25" customHeight="1" x14ac:dyDescent="0.3">
      <c r="A10" s="208">
        <v>5</v>
      </c>
      <c r="B10" s="202" t="s">
        <v>236</v>
      </c>
      <c r="C10" s="202" t="s">
        <v>237</v>
      </c>
      <c r="D10" s="212">
        <v>2199</v>
      </c>
      <c r="E10" s="203">
        <f>Table_6[[#This Row],[PRECIO UNITARIO (USD)]]*TRM__HOY</f>
        <v>8853767.7300000004</v>
      </c>
      <c r="F10" s="202">
        <v>1</v>
      </c>
      <c r="G10" s="203">
        <f>Table_6[[#This Row],[PRECIO UNITARIO (COP)]]*Table_6[[#This Row],[CANTIDAD]]</f>
        <v>8853767.7300000004</v>
      </c>
      <c r="H10" s="214" t="s">
        <v>229</v>
      </c>
    </row>
    <row r="11" spans="1:8" ht="32.25" customHeight="1" x14ac:dyDescent="0.3">
      <c r="A11" s="208">
        <v>6</v>
      </c>
      <c r="B11" s="202" t="s">
        <v>238</v>
      </c>
      <c r="C11" s="204" t="s">
        <v>239</v>
      </c>
      <c r="D11" s="212">
        <v>199.68</v>
      </c>
      <c r="E11" s="203">
        <f>Table_6[[#This Row],[PRECIO UNITARIO (USD)]]*TRM__HOY</f>
        <v>803965.59360000002</v>
      </c>
      <c r="F11" s="202">
        <v>1</v>
      </c>
      <c r="G11" s="203">
        <f>Table_6[[#This Row],[PRECIO UNITARIO (COP)]]*Table_6[[#This Row],[CANTIDAD]]</f>
        <v>803965.59360000002</v>
      </c>
      <c r="H11" s="214" t="s">
        <v>240</v>
      </c>
    </row>
    <row r="12" spans="1:8" ht="14.25" customHeight="1" x14ac:dyDescent="0.3">
      <c r="A12" s="208">
        <v>7</v>
      </c>
      <c r="B12" s="202" t="s">
        <v>241</v>
      </c>
      <c r="C12" s="202" t="s">
        <v>266</v>
      </c>
      <c r="D12" s="212">
        <v>82.79</v>
      </c>
      <c r="E12" s="203">
        <f>Table_6[[#This Row],[PRECIO UNITARIO (USD)]]*TRM__HOY</f>
        <v>333334.8933</v>
      </c>
      <c r="F12" s="202">
        <v>1</v>
      </c>
      <c r="G12" s="203">
        <f>Table_6[[#This Row],[PRECIO UNITARIO (COP)]]*Table_6[[#This Row],[CANTIDAD]]</f>
        <v>333334.8933</v>
      </c>
      <c r="H12" s="214" t="s">
        <v>242</v>
      </c>
    </row>
    <row r="13" spans="1:8" ht="14.25" customHeight="1" x14ac:dyDescent="0.3">
      <c r="A13" s="208">
        <v>8</v>
      </c>
      <c r="B13" s="202" t="s">
        <v>267</v>
      </c>
      <c r="C13" s="204" t="s">
        <v>268</v>
      </c>
      <c r="D13" s="212">
        <v>246.81</v>
      </c>
      <c r="E13" s="203">
        <f>Table_6[[#This Row],[PRECIO UNITARIO (USD)]]*TRM__HOY</f>
        <v>993723.69869999995</v>
      </c>
      <c r="F13" s="202">
        <v>4</v>
      </c>
      <c r="G13" s="203">
        <f>Table_6[[#This Row],[PRECIO UNITARIO (COP)]]*Table_6[[#This Row],[CANTIDAD]]</f>
        <v>3974894.7947999998</v>
      </c>
      <c r="H13" s="214"/>
    </row>
    <row r="14" spans="1:8" ht="14.25" customHeight="1" x14ac:dyDescent="0.3">
      <c r="A14" s="208">
        <v>9</v>
      </c>
      <c r="B14" s="202" t="s">
        <v>269</v>
      </c>
      <c r="C14" s="204" t="s">
        <v>270</v>
      </c>
      <c r="D14" s="212">
        <v>74.55</v>
      </c>
      <c r="E14" s="203">
        <f>Table_6[[#This Row],[PRECIO UNITARIO (USD)]]*TRM__HOY</f>
        <v>300158.42849999998</v>
      </c>
      <c r="F14" s="202">
        <v>3</v>
      </c>
      <c r="G14" s="203">
        <f>Table_6[[#This Row],[PRECIO UNITARIO (COP)]]*Table_6[[#This Row],[CANTIDAD]]</f>
        <v>900475.2855</v>
      </c>
      <c r="H14" s="214" t="s">
        <v>273</v>
      </c>
    </row>
    <row r="15" spans="1:8" ht="14.25" customHeight="1" x14ac:dyDescent="0.3">
      <c r="A15" s="209">
        <v>10</v>
      </c>
      <c r="B15" s="210" t="s">
        <v>271</v>
      </c>
      <c r="C15" s="211" t="s">
        <v>272</v>
      </c>
      <c r="D15" s="213">
        <v>212.28</v>
      </c>
      <c r="E15" s="203">
        <f>Table_6[[#This Row],[PRECIO UNITARIO (USD)]]*TRM__HOY</f>
        <v>854696.5956</v>
      </c>
      <c r="F15" s="210">
        <v>1</v>
      </c>
      <c r="G15" s="203">
        <f>Table_6[[#This Row],[PRECIO UNITARIO (COP)]]*Table_6[[#This Row],[CANTIDAD]]</f>
        <v>854696.5956</v>
      </c>
      <c r="H15" s="215" t="s">
        <v>242</v>
      </c>
    </row>
    <row r="16" spans="1:8" ht="14.25" customHeight="1" x14ac:dyDescent="0.3">
      <c r="A16" s="5"/>
      <c r="B16" s="5"/>
      <c r="C16" s="5"/>
      <c r="D16" s="5"/>
      <c r="E16" s="5"/>
      <c r="F16" s="5"/>
      <c r="G16" s="5"/>
      <c r="H16" s="5"/>
    </row>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mergeCells count="2">
    <mergeCell ref="A1:G1"/>
    <mergeCell ref="A2:G2"/>
  </mergeCells>
  <hyperlinks>
    <hyperlink ref="C11" r:id="rId1" xr:uid="{12C62CD1-0E41-4E20-BB1E-2AB80A3FCB60}"/>
    <hyperlink ref="C13" r:id="rId2" display="https://www.grainger.com/product/835M59?gucid=N%3AN%3AFPL%3AFree%3AGGL%3ACSM-1946%3Atew63h3%3A20501231&amp;utm_source=chatgpt.com" xr:uid="{0A634531-9884-4F97-8B8F-DA4D27972946}"/>
    <hyperlink ref="C14" r:id="rId3" display="https://articulo.mercadolibre.com.co/MCO-1646682002-barrera-perimetral-fotoelectrica-a-100mts-6-rayos-exterior-_JM?matt_tool=69323373&amp;matt_word=&amp;matt_source=google&amp;matt_campaign_id=22126928543&amp;matt_ad_group_id=171342873297&amp;matt_match_type=&amp;matt_network=g&amp;matt_device=c&amp;matt_creative=729836840398&amp;matt_keyword=&amp;matt_ad_position=&amp;matt_ad_type=pla&amp;matt_merchant_id=129727709&amp;matt_product_id=MCO1646682002&amp;matt_product_partition_id=2387145049582&amp;matt_target_id=pla-2387145049582&amp;cq_src=google_ads&amp;cq_cmp=22126928543&amp;cq_net=g&amp;cq_plt=gp&amp;cq_med=pla&amp;gad_source=1&amp;gad_campaignid=22126928543&amp;gclid=CjwKCAjw7fzDBhA7EiwAOqJkhwKXl3t6HLxior1YjXhyH9PDj5AQovQPIe_rrwQMNz8C5VUd4hJgrhoChcoQAvD_BwE" xr:uid="{CB3F4AD1-C85A-4240-9FAB-21062F8B3981}"/>
    <hyperlink ref="C15" r:id="rId4" xr:uid="{B3F178ED-71E2-461C-ACA7-837619B821BC}"/>
  </hyperlinks>
  <pageMargins left="0.7" right="0.7" top="0.75" bottom="0.75" header="0" footer="0"/>
  <pageSetup scale="66" orientation="landscape" r:id="rId5"/>
  <tableParts count="1">
    <tablePart r:id="rId6"/>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J1012"/>
  <sheetViews>
    <sheetView tabSelected="1" zoomScale="70" zoomScaleNormal="70" workbookViewId="0">
      <selection activeCell="G4" sqref="G4:H9"/>
    </sheetView>
  </sheetViews>
  <sheetFormatPr baseColWidth="10" defaultColWidth="14.44140625" defaultRowHeight="15" customHeight="1" x14ac:dyDescent="0.3"/>
  <cols>
    <col min="1" max="1" width="18.88671875" customWidth="1"/>
    <col min="2" max="2" width="19.44140625" customWidth="1"/>
    <col min="3" max="4" width="20.6640625" customWidth="1"/>
    <col min="5" max="5" width="24.88671875" customWidth="1"/>
    <col min="6" max="6" width="19.109375" customWidth="1"/>
    <col min="7" max="7" width="20.5546875" customWidth="1"/>
    <col min="8" max="8" width="19.109375" customWidth="1"/>
    <col min="9" max="9" width="19.6640625" bestFit="1" customWidth="1"/>
    <col min="10" max="10" width="22.109375" customWidth="1"/>
    <col min="11" max="26" width="10.6640625" customWidth="1"/>
  </cols>
  <sheetData>
    <row r="1" spans="1:10" ht="14.4" x14ac:dyDescent="0.3">
      <c r="A1" s="83" t="s">
        <v>243</v>
      </c>
      <c r="B1" s="84"/>
      <c r="C1" s="84"/>
      <c r="D1" s="84"/>
      <c r="E1" s="84"/>
      <c r="F1" s="84"/>
      <c r="G1" s="84"/>
      <c r="H1" s="84"/>
      <c r="I1" s="84"/>
      <c r="J1" s="85"/>
    </row>
    <row r="2" spans="1:10" ht="14.4" x14ac:dyDescent="0.3">
      <c r="A2" s="86" t="s">
        <v>244</v>
      </c>
      <c r="B2" s="84"/>
      <c r="C2" s="84"/>
      <c r="D2" s="84"/>
      <c r="E2" s="84"/>
      <c r="F2" s="84"/>
      <c r="G2" s="84"/>
      <c r="H2" s="84"/>
      <c r="I2" s="84"/>
      <c r="J2" s="85"/>
    </row>
    <row r="4" spans="1:10" ht="32.25" customHeight="1" x14ac:dyDescent="0.3">
      <c r="A4" s="64" t="s">
        <v>245</v>
      </c>
      <c r="B4" s="65">
        <f t="array" aca="1" ref="B4" ca="1">NPV(H9,I15:I74)-TOTAL_INVERSIÓN_INICIAL</f>
        <v>431522557.72495234</v>
      </c>
      <c r="C4" s="218" t="s">
        <v>280</v>
      </c>
      <c r="D4" s="84"/>
      <c r="E4" s="85"/>
      <c r="F4" s="66"/>
      <c r="G4" s="67" t="s">
        <v>246</v>
      </c>
      <c r="H4" s="68">
        <f>H5*1.5</f>
        <v>1324661221.823236</v>
      </c>
    </row>
    <row r="5" spans="1:10" ht="51" customHeight="1" x14ac:dyDescent="0.3">
      <c r="A5" s="64" t="s">
        <v>247</v>
      </c>
      <c r="B5" s="69">
        <f ca="1">IRR(FLUJO_CAJA)</f>
        <v>0.13733237824521471</v>
      </c>
      <c r="C5" s="218" t="s">
        <v>281</v>
      </c>
      <c r="D5" s="84"/>
      <c r="E5" s="85"/>
      <c r="F5" s="66"/>
      <c r="G5" s="67" t="s">
        <v>248</v>
      </c>
      <c r="H5" s="68">
        <f>TOTAL_INVERSIÓN_INICIAL</f>
        <v>883107481.2154907</v>
      </c>
    </row>
    <row r="6" spans="1:10" ht="50.4" customHeight="1" x14ac:dyDescent="0.3">
      <c r="A6" s="64" t="s">
        <v>249</v>
      </c>
      <c r="B6" s="70">
        <f>B22+(ABS(J22)/I23)</f>
        <v>8.0385904579947454</v>
      </c>
      <c r="C6" s="218" t="s">
        <v>282</v>
      </c>
      <c r="D6" s="84"/>
      <c r="E6" s="85"/>
      <c r="F6" s="66"/>
      <c r="G6" s="67" t="s">
        <v>250</v>
      </c>
      <c r="H6" s="71">
        <v>0.1</v>
      </c>
    </row>
    <row r="7" spans="1:10" ht="57" customHeight="1" x14ac:dyDescent="0.3">
      <c r="A7" s="64" t="s">
        <v>251</v>
      </c>
      <c r="B7" s="69">
        <f ca="1">(J74-TOTAL_INVERSIÓN_INICIAL)/TOTAL_INVERSIÓN_INICIAL</f>
        <v>13.640663529914416</v>
      </c>
      <c r="C7" s="218" t="s">
        <v>283</v>
      </c>
      <c r="D7" s="84"/>
      <c r="E7" s="85"/>
      <c r="F7" s="66"/>
      <c r="G7" s="67" t="s">
        <v>252</v>
      </c>
      <c r="H7" s="72">
        <v>0.15</v>
      </c>
    </row>
    <row r="8" spans="1:10" ht="31.2" x14ac:dyDescent="0.3">
      <c r="A8" s="64" t="s">
        <v>253</v>
      </c>
      <c r="B8" s="69">
        <f ca="1">(1+B7)^(1/5)-1</f>
        <v>0.71045696552794957</v>
      </c>
      <c r="C8" s="218" t="s">
        <v>284</v>
      </c>
      <c r="D8" s="84"/>
      <c r="E8" s="85"/>
      <c r="F8" s="66"/>
      <c r="G8" s="67" t="s">
        <v>254</v>
      </c>
      <c r="H8" s="72">
        <v>0.35</v>
      </c>
    </row>
    <row r="9" spans="1:10" ht="52.2" customHeight="1" x14ac:dyDescent="0.3">
      <c r="A9" s="64" t="s">
        <v>255</v>
      </c>
      <c r="B9" s="70">
        <f t="array" aca="1" ref="B9" ca="1">NPV(H9,I15:I74)/TOTAL_INVERSIÓN_INICIAL</f>
        <v>1.4886410396286234</v>
      </c>
      <c r="C9" s="218" t="s">
        <v>285</v>
      </c>
      <c r="D9" s="84"/>
      <c r="E9" s="85"/>
      <c r="F9" s="66"/>
      <c r="G9" s="73" t="s">
        <v>256</v>
      </c>
      <c r="H9" s="74">
        <f>(H4/(H4+H5))*H6+(H5/(H4+H5))*H7*(1-H8)</f>
        <v>9.8999999999999991E-2</v>
      </c>
    </row>
    <row r="10" spans="1:10" ht="35.25" customHeight="1" x14ac:dyDescent="0.3">
      <c r="A10" s="64" t="s">
        <v>257</v>
      </c>
      <c r="B10" s="75">
        <f ca="1">SUM(G15:G74)/SUM(C15:C74)</f>
        <v>0.15334299328438275</v>
      </c>
      <c r="C10" s="101" t="s">
        <v>265</v>
      </c>
      <c r="D10" s="84"/>
      <c r="E10" s="85"/>
      <c r="F10" s="66"/>
    </row>
    <row r="11" spans="1:10" ht="36.75" customHeight="1" x14ac:dyDescent="0.3">
      <c r="A11" s="76"/>
      <c r="B11" s="77"/>
      <c r="C11" s="78"/>
    </row>
    <row r="13" spans="1:10" ht="15.6" x14ac:dyDescent="0.3">
      <c r="A13" s="79" t="s">
        <v>58</v>
      </c>
      <c r="B13" s="79" t="s">
        <v>66</v>
      </c>
      <c r="C13" s="79" t="s">
        <v>48</v>
      </c>
      <c r="D13" s="79" t="s">
        <v>258</v>
      </c>
      <c r="E13" s="79" t="s">
        <v>70</v>
      </c>
      <c r="F13" s="79" t="s">
        <v>259</v>
      </c>
      <c r="G13" s="79" t="s">
        <v>260</v>
      </c>
      <c r="H13" s="79" t="s">
        <v>261</v>
      </c>
      <c r="I13" s="80" t="s">
        <v>262</v>
      </c>
      <c r="J13" s="79" t="s">
        <v>263</v>
      </c>
    </row>
    <row r="14" spans="1:10" ht="14.25" customHeight="1" x14ac:dyDescent="0.3">
      <c r="A14" s="81">
        <v>0</v>
      </c>
      <c r="B14" s="81">
        <v>0</v>
      </c>
      <c r="C14" s="82">
        <v>0</v>
      </c>
      <c r="D14" s="82">
        <v>0</v>
      </c>
      <c r="E14" s="82">
        <v>0</v>
      </c>
      <c r="F14" s="82">
        <f>-TOTAL_INVERSIÓN_INICIAL</f>
        <v>-883107481.2154907</v>
      </c>
      <c r="G14" s="82">
        <f t="shared" ref="G14:G74" si="0">C14-D14-E14+F14</f>
        <v>-883107481.2154907</v>
      </c>
      <c r="H14" s="82"/>
      <c r="I14" s="82">
        <f t="shared" ref="I14:I74" si="1">G14-H14</f>
        <v>-883107481.2154907</v>
      </c>
      <c r="J14" s="82">
        <f>I14</f>
        <v>-883107481.2154907</v>
      </c>
    </row>
    <row r="15" spans="1:10" ht="14.25" customHeight="1" x14ac:dyDescent="0.3">
      <c r="A15" s="81">
        <v>1</v>
      </c>
      <c r="B15" s="81">
        <v>1</v>
      </c>
      <c r="C15" s="82">
        <f>Ventas!Q28</f>
        <v>1058812447.5570912</v>
      </c>
      <c r="D15" s="82">
        <f>Ventas!U28</f>
        <v>841155021.56908798</v>
      </c>
      <c r="E15" s="82">
        <f>LOOKUP('Flujo De Caja'!A15,'Gastos Operativos'!$A$7:$A$11,'Gastos Operativos'!$J$7:$J$11)</f>
        <v>23174425.34399968</v>
      </c>
      <c r="F15" s="82"/>
      <c r="G15" s="82">
        <f t="shared" si="0"/>
        <v>194483000.64400357</v>
      </c>
      <c r="H15" s="82">
        <f t="shared" ref="H15:H74" si="2">G15*$H$8</f>
        <v>68069050.225401253</v>
      </c>
      <c r="I15" s="82">
        <f t="shared" si="1"/>
        <v>126413950.41860232</v>
      </c>
      <c r="J15" s="82">
        <f t="shared" ref="J15:J74" si="3">J14+I15</f>
        <v>-756693530.79688835</v>
      </c>
    </row>
    <row r="16" spans="1:10" ht="14.25" customHeight="1" x14ac:dyDescent="0.3">
      <c r="A16" s="81">
        <v>1</v>
      </c>
      <c r="B16" s="81">
        <v>2</v>
      </c>
      <c r="C16" s="82">
        <f>Ventas!Q29</f>
        <v>1058812447.5570912</v>
      </c>
      <c r="D16" s="82">
        <f>Ventas!U29</f>
        <v>847740683.52466547</v>
      </c>
      <c r="E16" s="82">
        <f>LOOKUP('Flujo De Caja'!A16,'Gastos Operativos'!$A$7:$A$11,'Gastos Operativos'!$J$7:$J$11)</f>
        <v>23174425.34399968</v>
      </c>
      <c r="F16" s="82"/>
      <c r="G16" s="82">
        <f t="shared" si="0"/>
        <v>187897338.68842608</v>
      </c>
      <c r="H16" s="82">
        <f t="shared" si="2"/>
        <v>65764068.540949121</v>
      </c>
      <c r="I16" s="82">
        <f t="shared" si="1"/>
        <v>122133270.14747696</v>
      </c>
      <c r="J16" s="82">
        <f t="shared" si="3"/>
        <v>-634560260.64941144</v>
      </c>
    </row>
    <row r="17" spans="1:10" ht="14.25" customHeight="1" x14ac:dyDescent="0.3">
      <c r="A17" s="81">
        <v>1</v>
      </c>
      <c r="B17" s="81">
        <v>3</v>
      </c>
      <c r="C17" s="82">
        <f>Ventas!Q30</f>
        <v>1058812447.5570912</v>
      </c>
      <c r="D17" s="82">
        <f>Ventas!U30</f>
        <v>854278406.17574406</v>
      </c>
      <c r="E17" s="82">
        <f>LOOKUP('Flujo De Caja'!A17,'Gastos Operativos'!$A$7:$A$11,'Gastos Operativos'!$J$7:$J$11)</f>
        <v>23174425.34399968</v>
      </c>
      <c r="F17" s="82"/>
      <c r="G17" s="82">
        <f t="shared" si="0"/>
        <v>181359616.0373475</v>
      </c>
      <c r="H17" s="82">
        <f t="shared" si="2"/>
        <v>63475865.61307162</v>
      </c>
      <c r="I17" s="82">
        <f t="shared" si="1"/>
        <v>117883750.42427588</v>
      </c>
      <c r="J17" s="82">
        <f t="shared" si="3"/>
        <v>-516676510.22513556</v>
      </c>
    </row>
    <row r="18" spans="1:10" ht="14.25" customHeight="1" x14ac:dyDescent="0.3">
      <c r="A18" s="81">
        <v>1</v>
      </c>
      <c r="B18" s="81">
        <v>4</v>
      </c>
      <c r="C18" s="82">
        <f>Ventas!Q31</f>
        <v>1058812447.5570912</v>
      </c>
      <c r="D18" s="82">
        <f>Ventas!U31</f>
        <v>862194383.83117437</v>
      </c>
      <c r="E18" s="82">
        <f>LOOKUP('Flujo De Caja'!A18,'Gastos Operativos'!$A$7:$A$11,'Gastos Operativos'!$J$7:$J$11)</f>
        <v>23174425.34399968</v>
      </c>
      <c r="F18" s="82"/>
      <c r="G18" s="82">
        <f t="shared" si="0"/>
        <v>173443638.38191718</v>
      </c>
      <c r="H18" s="82">
        <f t="shared" si="2"/>
        <v>60705273.433671005</v>
      </c>
      <c r="I18" s="82">
        <f t="shared" si="1"/>
        <v>112738364.94824618</v>
      </c>
      <c r="J18" s="82">
        <f t="shared" si="3"/>
        <v>-403938145.27688938</v>
      </c>
    </row>
    <row r="19" spans="1:10" ht="14.25" customHeight="1" x14ac:dyDescent="0.3">
      <c r="A19" s="81">
        <v>1</v>
      </c>
      <c r="B19" s="81">
        <v>5</v>
      </c>
      <c r="C19" s="82">
        <f>Ventas!Q32</f>
        <v>1058812447.5570912</v>
      </c>
      <c r="D19" s="82">
        <f>Ventas!U32</f>
        <v>869658933.03590405</v>
      </c>
      <c r="E19" s="82">
        <f>LOOKUP('Flujo De Caja'!A19,'Gastos Operativos'!$A$7:$A$11,'Gastos Operativos'!$J$7:$J$11)</f>
        <v>23174425.34399968</v>
      </c>
      <c r="F19" s="82"/>
      <c r="G19" s="82">
        <f t="shared" si="0"/>
        <v>165979089.1771875</v>
      </c>
      <c r="H19" s="82">
        <f t="shared" si="2"/>
        <v>58092681.212015621</v>
      </c>
      <c r="I19" s="82">
        <f t="shared" si="1"/>
        <v>107886407.96517187</v>
      </c>
      <c r="J19" s="82">
        <f t="shared" si="3"/>
        <v>-296051737.31171751</v>
      </c>
    </row>
    <row r="20" spans="1:10" ht="14.25" customHeight="1" x14ac:dyDescent="0.3">
      <c r="A20" s="81">
        <v>1</v>
      </c>
      <c r="B20" s="81">
        <v>6</v>
      </c>
      <c r="C20" s="82">
        <f>Ventas!Q33</f>
        <v>1058812447.5570912</v>
      </c>
      <c r="D20" s="82">
        <f>Ventas!U33</f>
        <v>877596882.87256312</v>
      </c>
      <c r="E20" s="82">
        <f>LOOKUP('Flujo De Caja'!A20,'Gastos Operativos'!$A$7:$A$11,'Gastos Operativos'!$J$7:$J$11)</f>
        <v>23174425.34399968</v>
      </c>
      <c r="F20" s="82"/>
      <c r="G20" s="82">
        <f t="shared" si="0"/>
        <v>158041139.34052843</v>
      </c>
      <c r="H20" s="82">
        <f t="shared" si="2"/>
        <v>55314398.769184947</v>
      </c>
      <c r="I20" s="82">
        <f t="shared" si="1"/>
        <v>102726740.57134348</v>
      </c>
      <c r="J20" s="82">
        <f t="shared" si="3"/>
        <v>-193324996.74037403</v>
      </c>
    </row>
    <row r="21" spans="1:10" ht="14.25" customHeight="1" x14ac:dyDescent="0.3">
      <c r="A21" s="216">
        <v>1</v>
      </c>
      <c r="B21" s="216">
        <v>7</v>
      </c>
      <c r="C21" s="217">
        <f>Ventas!Q34</f>
        <v>1058812447.5570912</v>
      </c>
      <c r="D21" s="217">
        <f>Ventas!U34</f>
        <v>885263176.65039349</v>
      </c>
      <c r="E21" s="217">
        <f>LOOKUP('Flujo De Caja'!A21,'Gastos Operativos'!$A$7:$A$11,'Gastos Operativos'!$J$7:$J$11)</f>
        <v>23174425.34399968</v>
      </c>
      <c r="F21" s="217"/>
      <c r="G21" s="217">
        <f t="shared" si="0"/>
        <v>150374845.56269807</v>
      </c>
      <c r="H21" s="217">
        <f t="shared" si="2"/>
        <v>52631195.946944319</v>
      </c>
      <c r="I21" s="217">
        <f t="shared" si="1"/>
        <v>97743649.61575374</v>
      </c>
      <c r="J21" s="217">
        <f t="shared" si="3"/>
        <v>-95581347.124620289</v>
      </c>
    </row>
    <row r="22" spans="1:10" ht="14.25" customHeight="1" x14ac:dyDescent="0.3">
      <c r="A22" s="200">
        <v>1</v>
      </c>
      <c r="B22" s="200">
        <v>8</v>
      </c>
      <c r="C22" s="201">
        <f>Ventas!Q35</f>
        <v>1058812447.5570912</v>
      </c>
      <c r="D22" s="201">
        <f>Ventas!U35</f>
        <v>893754425.95981443</v>
      </c>
      <c r="E22" s="201">
        <f>LOOKUP('Flujo De Caja'!A22,'Gastos Operativos'!$A$7:$A$11,'Gastos Operativos'!$J$7:$J$11)</f>
        <v>23174425.34399968</v>
      </c>
      <c r="F22" s="201"/>
      <c r="G22" s="201">
        <f t="shared" si="0"/>
        <v>141883596.25327712</v>
      </c>
      <c r="H22" s="201">
        <f t="shared" si="2"/>
        <v>49659258.688646987</v>
      </c>
      <c r="I22" s="201">
        <f t="shared" si="1"/>
        <v>92224337.564630136</v>
      </c>
      <c r="J22" s="201">
        <f t="shared" si="3"/>
        <v>-3357009.5599901527</v>
      </c>
    </row>
    <row r="23" spans="1:10" ht="14.25" customHeight="1" x14ac:dyDescent="0.3">
      <c r="A23" s="200">
        <v>1</v>
      </c>
      <c r="B23" s="200">
        <v>9</v>
      </c>
      <c r="C23" s="201">
        <f>Ventas!Q36</f>
        <v>1058812447.5570912</v>
      </c>
      <c r="D23" s="201">
        <f>Ventas!U36</f>
        <v>901806231.64465916</v>
      </c>
      <c r="E23" s="201">
        <f>LOOKUP('Flujo De Caja'!A23,'Gastos Operativos'!$A$7:$A$11,'Gastos Operativos'!$J$7:$J$11)</f>
        <v>23174425.34399968</v>
      </c>
      <c r="F23" s="201"/>
      <c r="G23" s="201">
        <f t="shared" si="0"/>
        <v>133831790.56843239</v>
      </c>
      <c r="H23" s="201">
        <f t="shared" si="2"/>
        <v>46841126.698951334</v>
      </c>
      <c r="I23" s="201">
        <f t="shared" si="1"/>
        <v>86990663.869481057</v>
      </c>
      <c r="J23" s="201">
        <f t="shared" si="3"/>
        <v>83633654.309490904</v>
      </c>
    </row>
    <row r="24" spans="1:10" ht="14.25" customHeight="1" x14ac:dyDescent="0.3">
      <c r="A24" s="81">
        <v>1</v>
      </c>
      <c r="B24" s="81">
        <v>10</v>
      </c>
      <c r="C24" s="82">
        <f>Ventas!Q37</f>
        <v>1058812447.5570912</v>
      </c>
      <c r="D24" s="82">
        <f>Ventas!U37</f>
        <v>909216849.13182712</v>
      </c>
      <c r="E24" s="82">
        <f>LOOKUP('Flujo De Caja'!A24,'Gastos Operativos'!$A$7:$A$11,'Gastos Operativos'!$J$7:$J$11)</f>
        <v>23174425.34399968</v>
      </c>
      <c r="F24" s="82"/>
      <c r="G24" s="82">
        <f t="shared" si="0"/>
        <v>126421173.08126444</v>
      </c>
      <c r="H24" s="82">
        <f t="shared" si="2"/>
        <v>44247410.578442551</v>
      </c>
      <c r="I24" s="82">
        <f t="shared" si="1"/>
        <v>82173762.502821892</v>
      </c>
      <c r="J24" s="82">
        <f t="shared" si="3"/>
        <v>165807416.81231278</v>
      </c>
    </row>
    <row r="25" spans="1:10" ht="14.25" customHeight="1" x14ac:dyDescent="0.3">
      <c r="A25" s="81">
        <v>1</v>
      </c>
      <c r="B25" s="81">
        <v>11</v>
      </c>
      <c r="C25" s="82">
        <f>Ventas!Q38</f>
        <v>1058812447.5570912</v>
      </c>
      <c r="D25" s="82">
        <f>Ventas!U38</f>
        <v>918317327.10259175</v>
      </c>
      <c r="E25" s="82">
        <f>LOOKUP('Flujo De Caja'!A25,'Gastos Operativos'!$A$7:$A$11,'Gastos Operativos'!$J$7:$J$11)</f>
        <v>23174425.34399968</v>
      </c>
      <c r="F25" s="82"/>
      <c r="G25" s="82">
        <f t="shared" si="0"/>
        <v>117320695.1104998</v>
      </c>
      <c r="H25" s="82">
        <f t="shared" si="2"/>
        <v>41062243.288674928</v>
      </c>
      <c r="I25" s="82">
        <f t="shared" si="1"/>
        <v>76258451.821824878</v>
      </c>
      <c r="J25" s="82">
        <f t="shared" si="3"/>
        <v>242065868.63413766</v>
      </c>
    </row>
    <row r="26" spans="1:10" ht="14.25" customHeight="1" x14ac:dyDescent="0.3">
      <c r="A26" s="81">
        <v>1</v>
      </c>
      <c r="B26" s="81">
        <v>12</v>
      </c>
      <c r="C26" s="82">
        <f>Ventas!Q39</f>
        <v>1058812447.5570912</v>
      </c>
      <c r="D26" s="82">
        <f>Ventas!U39</f>
        <v>927142154.0724864</v>
      </c>
      <c r="E26" s="82">
        <f>LOOKUP('Flujo De Caja'!A26,'Gastos Operativos'!$A$7:$A$11,'Gastos Operativos'!$J$7:$J$11)</f>
        <v>23174425.34399968</v>
      </c>
      <c r="F26" s="82">
        <f ca="1">IFERROR(__xludf.DUMMYFUNCTION("-('Propuesta Automatización'!$D$27+'Propuesta Automatización'!$D$28)"),-36570610.41)</f>
        <v>-36570610.409999996</v>
      </c>
      <c r="G26" s="82">
        <f t="shared" ca="1" si="0"/>
        <v>71925257.730605155</v>
      </c>
      <c r="H26" s="82">
        <f t="shared" ca="1" si="2"/>
        <v>25173840.205711804</v>
      </c>
      <c r="I26" s="82">
        <f t="shared" ca="1" si="1"/>
        <v>46751417.524893351</v>
      </c>
      <c r="J26" s="82">
        <f t="shared" ca="1" si="3"/>
        <v>288817286.15903103</v>
      </c>
    </row>
    <row r="27" spans="1:10" ht="14.25" customHeight="1" x14ac:dyDescent="0.3">
      <c r="A27" s="81">
        <v>2</v>
      </c>
      <c r="B27" s="81">
        <v>1</v>
      </c>
      <c r="C27" s="82">
        <f>Ventas!Q40</f>
        <v>1508524248.8754144</v>
      </c>
      <c r="D27" s="82">
        <f>Ventas!U40</f>
        <v>1193451906.8573565</v>
      </c>
      <c r="E27" s="82">
        <f>LOOKUP('Flujo De Caja'!A27,'Gastos Operativos'!$A$7:$A$11,'Gastos Operativos'!$J$7:$J$11)</f>
        <v>25517827.199999988</v>
      </c>
      <c r="F27" s="82"/>
      <c r="G27" s="82">
        <f t="shared" si="0"/>
        <v>289554514.81805784</v>
      </c>
      <c r="H27" s="82">
        <f t="shared" si="2"/>
        <v>101344080.18632023</v>
      </c>
      <c r="I27" s="82">
        <f t="shared" si="1"/>
        <v>188210434.63173759</v>
      </c>
      <c r="J27" s="82">
        <f t="shared" ca="1" si="3"/>
        <v>477027720.79076862</v>
      </c>
    </row>
    <row r="28" spans="1:10" ht="14.25" customHeight="1" x14ac:dyDescent="0.3">
      <c r="A28" s="81">
        <v>2</v>
      </c>
      <c r="B28" s="81">
        <v>2</v>
      </c>
      <c r="C28" s="82">
        <f>Ventas!Q41</f>
        <v>1508524248.8754144</v>
      </c>
      <c r="D28" s="82">
        <f>Ventas!U41</f>
        <v>1203809982.3328032</v>
      </c>
      <c r="E28" s="82">
        <f>LOOKUP('Flujo De Caja'!A28,'Gastos Operativos'!$A$7:$A$11,'Gastos Operativos'!$J$7:$J$11)</f>
        <v>25517827.199999988</v>
      </c>
      <c r="F28" s="82"/>
      <c r="G28" s="82">
        <f t="shared" si="0"/>
        <v>279196439.34261113</v>
      </c>
      <c r="H28" s="82">
        <f t="shared" si="2"/>
        <v>97718753.769913897</v>
      </c>
      <c r="I28" s="82">
        <f t="shared" si="1"/>
        <v>181477685.57269722</v>
      </c>
      <c r="J28" s="82">
        <f t="shared" ca="1" si="3"/>
        <v>658505406.36346579</v>
      </c>
    </row>
    <row r="29" spans="1:10" ht="14.25" customHeight="1" x14ac:dyDescent="0.3">
      <c r="A29" s="81">
        <v>2</v>
      </c>
      <c r="B29" s="81">
        <v>3</v>
      </c>
      <c r="C29" s="82">
        <f>Ventas!Q42</f>
        <v>1508524248.8754144</v>
      </c>
      <c r="D29" s="82">
        <f>Ventas!U42</f>
        <v>1213944044.3794367</v>
      </c>
      <c r="E29" s="82">
        <f>LOOKUP('Flujo De Caja'!A29,'Gastos Operativos'!$A$7:$A$11,'Gastos Operativos'!$J$7:$J$11)</f>
        <v>25517827.199999988</v>
      </c>
      <c r="F29" s="82"/>
      <c r="G29" s="82">
        <f t="shared" si="0"/>
        <v>269062377.29597765</v>
      </c>
      <c r="H29" s="82">
        <f t="shared" si="2"/>
        <v>94171832.053592175</v>
      </c>
      <c r="I29" s="82">
        <f t="shared" si="1"/>
        <v>174890545.24238548</v>
      </c>
      <c r="J29" s="82">
        <f t="shared" ca="1" si="3"/>
        <v>833395951.60585129</v>
      </c>
    </row>
    <row r="30" spans="1:10" ht="14.25" customHeight="1" x14ac:dyDescent="0.3">
      <c r="A30" s="81">
        <v>2</v>
      </c>
      <c r="B30" s="81">
        <v>4</v>
      </c>
      <c r="C30" s="82">
        <f>Ventas!Q43</f>
        <v>1508524248.8754144</v>
      </c>
      <c r="D30" s="82">
        <f>Ventas!U43</f>
        <v>1226066225.6067839</v>
      </c>
      <c r="E30" s="82">
        <f>LOOKUP('Flujo De Caja'!A30,'Gastos Operativos'!$A$7:$A$11,'Gastos Operativos'!$J$7:$J$11)</f>
        <v>25517827.199999988</v>
      </c>
      <c r="F30" s="82"/>
      <c r="G30" s="82">
        <f t="shared" si="0"/>
        <v>256940196.06863052</v>
      </c>
      <c r="H30" s="82">
        <f t="shared" si="2"/>
        <v>89929068.624020681</v>
      </c>
      <c r="I30" s="82">
        <f t="shared" si="1"/>
        <v>167011127.44460982</v>
      </c>
      <c r="J30" s="82">
        <f t="shared" ca="1" si="3"/>
        <v>1000407079.0504611</v>
      </c>
    </row>
    <row r="31" spans="1:10" ht="14.25" customHeight="1" x14ac:dyDescent="0.3">
      <c r="A31" s="81">
        <v>2</v>
      </c>
      <c r="B31" s="81">
        <v>5</v>
      </c>
      <c r="C31" s="82">
        <f>Ventas!Q44</f>
        <v>1508524248.8754144</v>
      </c>
      <c r="D31" s="82">
        <f>Ventas!U44</f>
        <v>1237577461.1191874</v>
      </c>
      <c r="E31" s="82">
        <f>LOOKUP('Flujo De Caja'!A31,'Gastos Operativos'!$A$7:$A$11,'Gastos Operativos'!$J$7:$J$11)</f>
        <v>25517827.199999988</v>
      </c>
      <c r="F31" s="82"/>
      <c r="G31" s="82">
        <f t="shared" si="0"/>
        <v>245428960.55622703</v>
      </c>
      <c r="H31" s="82">
        <f t="shared" si="2"/>
        <v>85900136.194679454</v>
      </c>
      <c r="I31" s="82">
        <f t="shared" si="1"/>
        <v>159528824.36154759</v>
      </c>
      <c r="J31" s="82">
        <f t="shared" ca="1" si="3"/>
        <v>1159935903.4120088</v>
      </c>
    </row>
    <row r="32" spans="1:10" ht="14.25" customHeight="1" x14ac:dyDescent="0.3">
      <c r="A32" s="81">
        <v>2</v>
      </c>
      <c r="B32" s="81">
        <v>6</v>
      </c>
      <c r="C32" s="82">
        <f>Ventas!Q45</f>
        <v>1508524248.8754144</v>
      </c>
      <c r="D32" s="82">
        <f>Ventas!U45</f>
        <v>1249793829.8109214</v>
      </c>
      <c r="E32" s="82">
        <f>LOOKUP('Flujo De Caja'!A32,'Gastos Operativos'!$A$7:$A$11,'Gastos Operativos'!$J$7:$J$11)</f>
        <v>25517827.199999988</v>
      </c>
      <c r="F32" s="82"/>
      <c r="G32" s="82">
        <f t="shared" si="0"/>
        <v>233212591.86449295</v>
      </c>
      <c r="H32" s="82">
        <f t="shared" si="2"/>
        <v>81624407.152572528</v>
      </c>
      <c r="I32" s="82">
        <f t="shared" si="1"/>
        <v>151588184.71192044</v>
      </c>
      <c r="J32" s="82">
        <f t="shared" ca="1" si="3"/>
        <v>1311524088.1239293</v>
      </c>
    </row>
    <row r="33" spans="1:10" ht="14.25" customHeight="1" x14ac:dyDescent="0.3">
      <c r="A33" s="81">
        <v>2</v>
      </c>
      <c r="B33" s="81">
        <v>7</v>
      </c>
      <c r="C33" s="82">
        <f>Ventas!Q46</f>
        <v>1508524248.8754144</v>
      </c>
      <c r="D33" s="82">
        <f>Ventas!U46</f>
        <v>1261625811.8236706</v>
      </c>
      <c r="E33" s="82">
        <f>LOOKUP('Flujo De Caja'!A33,'Gastos Operativos'!$A$7:$A$11,'Gastos Operativos'!$J$7:$J$11)</f>
        <v>25517827.199999988</v>
      </c>
      <c r="F33" s="82"/>
      <c r="G33" s="82">
        <f t="shared" si="0"/>
        <v>221380609.85174376</v>
      </c>
      <c r="H33" s="82">
        <f t="shared" si="2"/>
        <v>77483213.448110312</v>
      </c>
      <c r="I33" s="82">
        <f t="shared" si="1"/>
        <v>143897396.40363345</v>
      </c>
      <c r="J33" s="82">
        <f t="shared" ca="1" si="3"/>
        <v>1455421484.5275626</v>
      </c>
    </row>
    <row r="34" spans="1:10" ht="14.25" customHeight="1" x14ac:dyDescent="0.3">
      <c r="A34" s="81">
        <v>2</v>
      </c>
      <c r="B34" s="81">
        <v>8</v>
      </c>
      <c r="C34" s="82">
        <f>Ventas!Q47</f>
        <v>1508524248.8754144</v>
      </c>
      <c r="D34" s="82">
        <f>Ventas!U47</f>
        <v>1274618590.694813</v>
      </c>
      <c r="E34" s="82">
        <f>LOOKUP('Flujo De Caja'!A34,'Gastos Operativos'!$A$7:$A$11,'Gastos Operativos'!$J$7:$J$11)</f>
        <v>25517827.199999988</v>
      </c>
      <c r="F34" s="82"/>
      <c r="G34" s="82">
        <f t="shared" si="0"/>
        <v>208387830.98060137</v>
      </c>
      <c r="H34" s="82">
        <f t="shared" si="2"/>
        <v>72935740.843210474</v>
      </c>
      <c r="I34" s="82">
        <f t="shared" si="1"/>
        <v>135452090.13739091</v>
      </c>
      <c r="J34" s="82">
        <f t="shared" ca="1" si="3"/>
        <v>1590873574.6649535</v>
      </c>
    </row>
    <row r="35" spans="1:10" ht="14.25" customHeight="1" x14ac:dyDescent="0.3">
      <c r="A35" s="81">
        <v>2</v>
      </c>
      <c r="B35" s="81">
        <v>9</v>
      </c>
      <c r="C35" s="82">
        <f>Ventas!Q48</f>
        <v>1508524248.8754144</v>
      </c>
      <c r="D35" s="82">
        <f>Ventas!U48</f>
        <v>1287079337.6725245</v>
      </c>
      <c r="E35" s="82">
        <f>LOOKUP('Flujo De Caja'!A35,'Gastos Operativos'!$A$7:$A$11,'Gastos Operativos'!$J$7:$J$11)</f>
        <v>25517827.199999988</v>
      </c>
      <c r="F35" s="82"/>
      <c r="G35" s="82">
        <f t="shared" si="0"/>
        <v>195927084.00288993</v>
      </c>
      <c r="H35" s="82">
        <f t="shared" si="2"/>
        <v>68574479.401011467</v>
      </c>
      <c r="I35" s="82">
        <f t="shared" si="1"/>
        <v>127352604.60187846</v>
      </c>
      <c r="J35" s="82">
        <f t="shared" ca="1" si="3"/>
        <v>1718226179.2668319</v>
      </c>
    </row>
    <row r="36" spans="1:10" ht="14.25" customHeight="1" x14ac:dyDescent="0.3">
      <c r="A36" s="81">
        <v>2</v>
      </c>
      <c r="B36" s="81">
        <v>10</v>
      </c>
      <c r="C36" s="82">
        <f>Ventas!Q49</f>
        <v>1508524248.8754144</v>
      </c>
      <c r="D36" s="82">
        <f>Ventas!U49</f>
        <v>1298679669.4350238</v>
      </c>
      <c r="E36" s="82">
        <f>LOOKUP('Flujo De Caja'!A36,'Gastos Operativos'!$A$7:$A$11,'Gastos Operativos'!$J$7:$J$11)</f>
        <v>25517827.199999988</v>
      </c>
      <c r="F36" s="82"/>
      <c r="G36" s="82">
        <f t="shared" si="0"/>
        <v>184326752.2403906</v>
      </c>
      <c r="H36" s="82">
        <f t="shared" si="2"/>
        <v>64514363.284136705</v>
      </c>
      <c r="I36" s="82">
        <f t="shared" si="1"/>
        <v>119812388.95625389</v>
      </c>
      <c r="J36" s="82">
        <f t="shared" ca="1" si="3"/>
        <v>1838038568.2230859</v>
      </c>
    </row>
    <row r="37" spans="1:10" ht="14.25" customHeight="1" x14ac:dyDescent="0.3">
      <c r="A37" s="81">
        <v>2</v>
      </c>
      <c r="B37" s="81">
        <v>11</v>
      </c>
      <c r="C37" s="82">
        <f>Ventas!Q50</f>
        <v>1508524248.8754144</v>
      </c>
      <c r="D37" s="82">
        <f>Ventas!U50</f>
        <v>1312553228.3785439</v>
      </c>
      <c r="E37" s="82">
        <f>LOOKUP('Flujo De Caja'!A37,'Gastos Operativos'!$A$7:$A$11,'Gastos Operativos'!$J$7:$J$11)</f>
        <v>25517827.199999988</v>
      </c>
      <c r="F37" s="82"/>
      <c r="G37" s="82">
        <f t="shared" si="0"/>
        <v>170453193.29687053</v>
      </c>
      <c r="H37" s="82">
        <f t="shared" si="2"/>
        <v>59658617.653904684</v>
      </c>
      <c r="I37" s="82">
        <f t="shared" si="1"/>
        <v>110794575.64296585</v>
      </c>
      <c r="J37" s="82">
        <f t="shared" ca="1" si="3"/>
        <v>1948833143.8660517</v>
      </c>
    </row>
    <row r="38" spans="1:10" ht="14.25" customHeight="1" x14ac:dyDescent="0.3">
      <c r="A38" s="81">
        <v>2</v>
      </c>
      <c r="B38" s="81">
        <v>12</v>
      </c>
      <c r="C38" s="82">
        <f>Ventas!Q51</f>
        <v>1508524248.8754144</v>
      </c>
      <c r="D38" s="82">
        <f>Ventas!U51</f>
        <v>1326042400.6430786</v>
      </c>
      <c r="E38" s="82">
        <f>LOOKUP('Flujo De Caja'!A38,'Gastos Operativos'!$A$7:$A$11,'Gastos Operativos'!$J$7:$J$11)</f>
        <v>25517827.199999988</v>
      </c>
      <c r="F38" s="82">
        <f ca="1">F26</f>
        <v>-36570610.409999996</v>
      </c>
      <c r="G38" s="82">
        <f t="shared" ca="1" si="0"/>
        <v>120393410.62233582</v>
      </c>
      <c r="H38" s="82">
        <f t="shared" ca="1" si="2"/>
        <v>42137693.717817537</v>
      </c>
      <c r="I38" s="82">
        <f t="shared" ca="1" si="1"/>
        <v>78255716.904518276</v>
      </c>
      <c r="J38" s="82">
        <f t="shared" ca="1" si="3"/>
        <v>2027088860.77057</v>
      </c>
    </row>
    <row r="39" spans="1:10" ht="14.25" customHeight="1" x14ac:dyDescent="0.3">
      <c r="A39" s="81">
        <v>3</v>
      </c>
      <c r="B39" s="81">
        <v>1</v>
      </c>
      <c r="C39" s="82">
        <f>Ventas!Q52</f>
        <v>2103717002.844394</v>
      </c>
      <c r="D39" s="82">
        <f>Ventas!U52</f>
        <v>1657387750.2978458</v>
      </c>
      <c r="E39" s="82">
        <f>LOOKUP('Flujo De Caja'!A39,'Gastos Operativos'!$A$7:$A$11,'Gastos Operativos'!$J$7:$J$11)</f>
        <v>27507411.199999988</v>
      </c>
      <c r="F39" s="82"/>
      <c r="G39" s="82">
        <f t="shared" si="0"/>
        <v>418821841.34654814</v>
      </c>
      <c r="H39" s="82">
        <f t="shared" si="2"/>
        <v>146587644.47129184</v>
      </c>
      <c r="I39" s="82">
        <f t="shared" si="1"/>
        <v>272234196.8752563</v>
      </c>
      <c r="J39" s="82">
        <f t="shared" ca="1" si="3"/>
        <v>2299323057.6458263</v>
      </c>
    </row>
    <row r="40" spans="1:10" ht="14.25" customHeight="1" x14ac:dyDescent="0.3">
      <c r="A40" s="81">
        <v>3</v>
      </c>
      <c r="B40" s="81">
        <v>2</v>
      </c>
      <c r="C40" s="82">
        <f>Ventas!Q53</f>
        <v>2103717002.844394</v>
      </c>
      <c r="D40" s="82">
        <f>Ventas!U53</f>
        <v>1673133451.7521224</v>
      </c>
      <c r="E40" s="82">
        <f>LOOKUP('Flujo De Caja'!A40,'Gastos Operativos'!$A$7:$A$11,'Gastos Operativos'!$J$7:$J$11)</f>
        <v>27507411.199999988</v>
      </c>
      <c r="F40" s="82"/>
      <c r="G40" s="82">
        <f t="shared" si="0"/>
        <v>403076139.89227158</v>
      </c>
      <c r="H40" s="82">
        <f t="shared" si="2"/>
        <v>141076648.96229506</v>
      </c>
      <c r="I40" s="82">
        <f t="shared" si="1"/>
        <v>261999490.92997652</v>
      </c>
      <c r="J40" s="82">
        <f t="shared" ca="1" si="3"/>
        <v>2561322548.5758028</v>
      </c>
    </row>
    <row r="41" spans="1:10" ht="14.25" customHeight="1" x14ac:dyDescent="0.3">
      <c r="A41" s="81">
        <v>3</v>
      </c>
      <c r="B41" s="81">
        <v>3</v>
      </c>
      <c r="C41" s="82">
        <f>Ventas!Q54</f>
        <v>2103717002.844394</v>
      </c>
      <c r="D41" s="82">
        <f>Ventas!U54</f>
        <v>1688891744.7309527</v>
      </c>
      <c r="E41" s="82">
        <f>LOOKUP('Flujo De Caja'!A41,'Gastos Operativos'!$A$7:$A$11,'Gastos Operativos'!$J$7:$J$11)</f>
        <v>27507411.199999988</v>
      </c>
      <c r="F41" s="82"/>
      <c r="G41" s="82">
        <f t="shared" si="0"/>
        <v>387317846.91344124</v>
      </c>
      <c r="H41" s="82">
        <f t="shared" si="2"/>
        <v>135561246.41970444</v>
      </c>
      <c r="I41" s="82">
        <f t="shared" si="1"/>
        <v>251756600.4937368</v>
      </c>
      <c r="J41" s="82">
        <f t="shared" ca="1" si="3"/>
        <v>2813079149.0695395</v>
      </c>
    </row>
    <row r="42" spans="1:10" ht="14.25" customHeight="1" x14ac:dyDescent="0.3">
      <c r="A42" s="81">
        <v>3</v>
      </c>
      <c r="B42" s="81">
        <v>4</v>
      </c>
      <c r="C42" s="82">
        <f>Ventas!Q55</f>
        <v>2103717002.844394</v>
      </c>
      <c r="D42" s="82">
        <f>Ventas!U55</f>
        <v>1706888181.1991856</v>
      </c>
      <c r="E42" s="82">
        <f>LOOKUP('Flujo De Caja'!A42,'Gastos Operativos'!$A$7:$A$11,'Gastos Operativos'!$J$7:$J$11)</f>
        <v>27507411.199999988</v>
      </c>
      <c r="F42" s="82"/>
      <c r="G42" s="82">
        <f t="shared" si="0"/>
        <v>369321410.44520837</v>
      </c>
      <c r="H42" s="82">
        <f t="shared" si="2"/>
        <v>129262493.65582292</v>
      </c>
      <c r="I42" s="82">
        <f t="shared" si="1"/>
        <v>240058916.78938544</v>
      </c>
      <c r="J42" s="82">
        <f t="shared" ca="1" si="3"/>
        <v>3053138065.8589249</v>
      </c>
    </row>
    <row r="43" spans="1:10" ht="14.25" customHeight="1" x14ac:dyDescent="0.3">
      <c r="A43" s="81">
        <v>3</v>
      </c>
      <c r="B43" s="81">
        <v>5</v>
      </c>
      <c r="C43" s="82">
        <f>Ventas!Q56</f>
        <v>2103717002.844394</v>
      </c>
      <c r="D43" s="82">
        <f>Ventas!U56</f>
        <v>1724078760.0959878</v>
      </c>
      <c r="E43" s="82">
        <f>LOOKUP('Flujo De Caja'!A43,'Gastos Operativos'!$A$7:$A$11,'Gastos Operativos'!$J$7:$J$11)</f>
        <v>27507411.199999988</v>
      </c>
      <c r="F43" s="82"/>
      <c r="G43" s="82">
        <f t="shared" si="0"/>
        <v>352130831.54840618</v>
      </c>
      <c r="H43" s="82">
        <f t="shared" si="2"/>
        <v>123245791.04194215</v>
      </c>
      <c r="I43" s="82">
        <f t="shared" si="1"/>
        <v>228885040.50646403</v>
      </c>
      <c r="J43" s="82">
        <f t="shared" ca="1" si="3"/>
        <v>3282023106.3653889</v>
      </c>
    </row>
    <row r="44" spans="1:10" ht="14.25" customHeight="1" x14ac:dyDescent="0.3">
      <c r="A44" s="81">
        <v>3</v>
      </c>
      <c r="B44" s="81">
        <v>6</v>
      </c>
      <c r="C44" s="82">
        <f>Ventas!Q57</f>
        <v>2103717002.844394</v>
      </c>
      <c r="D44" s="82">
        <f>Ventas!U57</f>
        <v>1742289252.4816322</v>
      </c>
      <c r="E44" s="82">
        <f>LOOKUP('Flujo De Caja'!A44,'Gastos Operativos'!$A$7:$A$11,'Gastos Operativos'!$J$7:$J$11)</f>
        <v>27507411.199999988</v>
      </c>
      <c r="F44" s="82"/>
      <c r="G44" s="82">
        <f t="shared" si="0"/>
        <v>333920339.16276175</v>
      </c>
      <c r="H44" s="82">
        <f t="shared" si="2"/>
        <v>116872118.70696661</v>
      </c>
      <c r="I44" s="82">
        <f t="shared" si="1"/>
        <v>217048220.45579514</v>
      </c>
      <c r="J44" s="82">
        <f t="shared" ca="1" si="3"/>
        <v>3499071326.8211842</v>
      </c>
    </row>
    <row r="45" spans="1:10" ht="14.25" customHeight="1" x14ac:dyDescent="0.3">
      <c r="A45" s="81">
        <v>3</v>
      </c>
      <c r="B45" s="81">
        <v>7</v>
      </c>
      <c r="C45" s="82">
        <f>Ventas!Q58</f>
        <v>2103717002.844394</v>
      </c>
      <c r="D45" s="82">
        <f>Ventas!U58</f>
        <v>1759970900.836025</v>
      </c>
      <c r="E45" s="82">
        <f>LOOKUP('Flujo De Caja'!A45,'Gastos Operativos'!$A$7:$A$11,'Gastos Operativos'!$J$7:$J$11)</f>
        <v>27507411.199999988</v>
      </c>
      <c r="F45" s="82"/>
      <c r="G45" s="82">
        <f t="shared" si="0"/>
        <v>316238690.80836898</v>
      </c>
      <c r="H45" s="82">
        <f t="shared" si="2"/>
        <v>110683541.78292914</v>
      </c>
      <c r="I45" s="82">
        <f t="shared" si="1"/>
        <v>205555149.02543986</v>
      </c>
      <c r="J45" s="82">
        <f t="shared" ca="1" si="3"/>
        <v>3704626475.8466239</v>
      </c>
    </row>
    <row r="46" spans="1:10" ht="14.25" customHeight="1" x14ac:dyDescent="0.3">
      <c r="A46" s="81">
        <v>3</v>
      </c>
      <c r="B46" s="81">
        <v>8</v>
      </c>
      <c r="C46" s="82">
        <f>Ventas!Q59</f>
        <v>2103717002.844394</v>
      </c>
      <c r="D46" s="82">
        <f>Ventas!U59</f>
        <v>1779245377.0464478</v>
      </c>
      <c r="E46" s="82">
        <f>LOOKUP('Flujo De Caja'!A46,'Gastos Operativos'!$A$7:$A$11,'Gastos Operativos'!$J$7:$J$11)</f>
        <v>27507411.199999988</v>
      </c>
      <c r="F46" s="82"/>
      <c r="G46" s="82">
        <f t="shared" si="0"/>
        <v>296964214.59794623</v>
      </c>
      <c r="H46" s="82">
        <f t="shared" si="2"/>
        <v>103937475.10928117</v>
      </c>
      <c r="I46" s="82">
        <f t="shared" si="1"/>
        <v>193026739.48866504</v>
      </c>
      <c r="J46" s="82">
        <f t="shared" ca="1" si="3"/>
        <v>3897653215.335289</v>
      </c>
    </row>
    <row r="47" spans="1:10" ht="14.25" customHeight="1" x14ac:dyDescent="0.3">
      <c r="A47" s="81">
        <v>3</v>
      </c>
      <c r="B47" s="81">
        <v>9</v>
      </c>
      <c r="C47" s="82">
        <f>Ventas!Q60</f>
        <v>2103717002.844394</v>
      </c>
      <c r="D47" s="82">
        <f>Ventas!U60</f>
        <v>1797912312.1971602</v>
      </c>
      <c r="E47" s="82">
        <f>LOOKUP('Flujo De Caja'!A47,'Gastos Operativos'!$A$7:$A$11,'Gastos Operativos'!$J$7:$J$11)</f>
        <v>27507411.199999988</v>
      </c>
      <c r="F47" s="82"/>
      <c r="G47" s="82">
        <f t="shared" si="0"/>
        <v>278297279.44723374</v>
      </c>
      <c r="H47" s="82">
        <f t="shared" si="2"/>
        <v>97404047.806531802</v>
      </c>
      <c r="I47" s="82">
        <f t="shared" si="1"/>
        <v>180893231.64070195</v>
      </c>
      <c r="J47" s="82">
        <f t="shared" ca="1" si="3"/>
        <v>4078546446.9759908</v>
      </c>
    </row>
    <row r="48" spans="1:10" ht="14.25" customHeight="1" x14ac:dyDescent="0.3">
      <c r="A48" s="81">
        <v>3</v>
      </c>
      <c r="B48" s="81">
        <v>10</v>
      </c>
      <c r="C48" s="82">
        <f>Ventas!Q61</f>
        <v>2103717002.844394</v>
      </c>
      <c r="D48" s="82">
        <f>Ventas!U61</f>
        <v>1815446010.1380477</v>
      </c>
      <c r="E48" s="82">
        <f>LOOKUP('Flujo De Caja'!A48,'Gastos Operativos'!$A$7:$A$11,'Gastos Operativos'!$J$7:$J$11)</f>
        <v>27507411.199999988</v>
      </c>
      <c r="F48" s="82"/>
      <c r="G48" s="82">
        <f t="shared" si="0"/>
        <v>260763581.50634629</v>
      </c>
      <c r="H48" s="82">
        <f t="shared" si="2"/>
        <v>91267253.527221188</v>
      </c>
      <c r="I48" s="82">
        <f t="shared" si="1"/>
        <v>169496327.97912508</v>
      </c>
      <c r="J48" s="82">
        <f t="shared" ca="1" si="3"/>
        <v>4248042774.9551158</v>
      </c>
    </row>
    <row r="49" spans="1:10" ht="14.25" customHeight="1" x14ac:dyDescent="0.3">
      <c r="A49" s="81">
        <v>3</v>
      </c>
      <c r="B49" s="81">
        <v>11</v>
      </c>
      <c r="C49" s="82">
        <f>Ventas!Q62</f>
        <v>2103717002.844394</v>
      </c>
      <c r="D49" s="82">
        <f>Ventas!U62</f>
        <v>1835967047.2792776</v>
      </c>
      <c r="E49" s="82">
        <f>LOOKUP('Flujo De Caja'!A49,'Gastos Operativos'!$A$7:$A$11,'Gastos Operativos'!$J$7:$J$11)</f>
        <v>27507411.199999988</v>
      </c>
      <c r="F49" s="82"/>
      <c r="G49" s="82">
        <f t="shared" si="0"/>
        <v>240242544.36511642</v>
      </c>
      <c r="H49" s="82">
        <f t="shared" si="2"/>
        <v>84084890.52779074</v>
      </c>
      <c r="I49" s="82">
        <f t="shared" si="1"/>
        <v>156157653.83732569</v>
      </c>
      <c r="J49" s="82">
        <f t="shared" ca="1" si="3"/>
        <v>4404200428.7924414</v>
      </c>
    </row>
    <row r="50" spans="1:10" ht="14.25" customHeight="1" x14ac:dyDescent="0.3">
      <c r="A50" s="81">
        <v>3</v>
      </c>
      <c r="B50" s="81">
        <v>12</v>
      </c>
      <c r="C50" s="82">
        <f>Ventas!Q63</f>
        <v>2103717002.844394</v>
      </c>
      <c r="D50" s="82">
        <f>Ventas!U63</f>
        <v>1855959240.389256</v>
      </c>
      <c r="E50" s="82">
        <f>LOOKUP('Flujo De Caja'!A50,'Gastos Operativos'!$A$7:$A$11,'Gastos Operativos'!$J$7:$J$11)</f>
        <v>27507411.199999988</v>
      </c>
      <c r="F50" s="82">
        <f ca="1">F26</f>
        <v>-36570610.409999996</v>
      </c>
      <c r="G50" s="82">
        <f t="shared" ca="1" si="0"/>
        <v>183679740.84513798</v>
      </c>
      <c r="H50" s="82">
        <f t="shared" ca="1" si="2"/>
        <v>64287909.295798287</v>
      </c>
      <c r="I50" s="82">
        <f t="shared" ca="1" si="1"/>
        <v>119391831.5493397</v>
      </c>
      <c r="J50" s="82">
        <f t="shared" ca="1" si="3"/>
        <v>4523592260.3417807</v>
      </c>
    </row>
    <row r="51" spans="1:10" ht="14.25" customHeight="1" x14ac:dyDescent="0.3">
      <c r="A51" s="81">
        <v>4</v>
      </c>
      <c r="B51" s="81">
        <v>1</v>
      </c>
      <c r="C51" s="82">
        <f>Ventas!Q64</f>
        <v>2904739636.77109</v>
      </c>
      <c r="D51" s="82">
        <f>Ventas!U64</f>
        <v>2280753254.0757117</v>
      </c>
      <c r="E51" s="82">
        <f>LOOKUP('Flujo De Caja'!A51,'Gastos Operativos'!$A$7:$A$11,'Gastos Operativos'!$J$7:$J$11)</f>
        <v>29699841.535999272</v>
      </c>
      <c r="F51" s="82"/>
      <c r="G51" s="82">
        <f t="shared" si="0"/>
        <v>594286541.15937901</v>
      </c>
      <c r="H51" s="82">
        <f t="shared" si="2"/>
        <v>208000289.40578264</v>
      </c>
      <c r="I51" s="82">
        <f t="shared" si="1"/>
        <v>386286251.75359637</v>
      </c>
      <c r="J51" s="82">
        <f t="shared" ca="1" si="3"/>
        <v>4909878512.095377</v>
      </c>
    </row>
    <row r="52" spans="1:10" ht="14.25" customHeight="1" x14ac:dyDescent="0.3">
      <c r="A52" s="81">
        <v>4</v>
      </c>
      <c r="B52" s="81">
        <v>2</v>
      </c>
      <c r="C52" s="82">
        <f>Ventas!Q65</f>
        <v>2904739636.77109</v>
      </c>
      <c r="D52" s="82">
        <f>Ventas!U65</f>
        <v>2304104305.7722559</v>
      </c>
      <c r="E52" s="82">
        <f>LOOKUP('Flujo De Caja'!A52,'Gastos Operativos'!$A$7:$A$11,'Gastos Operativos'!$J$7:$J$11)</f>
        <v>29699841.535999272</v>
      </c>
      <c r="F52" s="82"/>
      <c r="G52" s="82">
        <f t="shared" si="0"/>
        <v>570935489.46283484</v>
      </c>
      <c r="H52" s="82">
        <f t="shared" si="2"/>
        <v>199827421.31199217</v>
      </c>
      <c r="I52" s="82">
        <f t="shared" si="1"/>
        <v>371108068.15084267</v>
      </c>
      <c r="J52" s="82">
        <f t="shared" ca="1" si="3"/>
        <v>5280986580.2462196</v>
      </c>
    </row>
    <row r="53" spans="1:10" ht="14.25" customHeight="1" x14ac:dyDescent="0.3">
      <c r="A53" s="81">
        <v>4</v>
      </c>
      <c r="B53" s="81">
        <v>3</v>
      </c>
      <c r="C53" s="82">
        <f>Ventas!Q66</f>
        <v>2904739636.77109</v>
      </c>
      <c r="D53" s="82">
        <f>Ventas!U66</f>
        <v>2326472356.6029506</v>
      </c>
      <c r="E53" s="82">
        <f>LOOKUP('Flujo De Caja'!A53,'Gastos Operativos'!$A$7:$A$11,'Gastos Operativos'!$J$7:$J$11)</f>
        <v>29699841.535999272</v>
      </c>
      <c r="F53" s="82"/>
      <c r="G53" s="82">
        <f t="shared" si="0"/>
        <v>548567438.63214016</v>
      </c>
      <c r="H53" s="82">
        <f t="shared" si="2"/>
        <v>191998603.52124906</v>
      </c>
      <c r="I53" s="82">
        <f t="shared" si="1"/>
        <v>356568835.1108911</v>
      </c>
      <c r="J53" s="82">
        <f t="shared" ca="1" si="3"/>
        <v>5637555415.357111</v>
      </c>
    </row>
    <row r="54" spans="1:10" ht="14.25" customHeight="1" x14ac:dyDescent="0.3">
      <c r="A54" s="81">
        <v>4</v>
      </c>
      <c r="B54" s="81">
        <v>4</v>
      </c>
      <c r="C54" s="82">
        <f>Ventas!Q67</f>
        <v>2904739636.77109</v>
      </c>
      <c r="D54" s="82">
        <f>Ventas!U67</f>
        <v>2352749461.4604864</v>
      </c>
      <c r="E54" s="82">
        <f>LOOKUP('Flujo De Caja'!A54,'Gastos Operativos'!$A$7:$A$11,'Gastos Operativos'!$J$7:$J$11)</f>
        <v>29699841.535999272</v>
      </c>
      <c r="F54" s="82"/>
      <c r="G54" s="82">
        <f t="shared" si="0"/>
        <v>522290333.77460432</v>
      </c>
      <c r="H54" s="82">
        <f t="shared" si="2"/>
        <v>182801616.8211115</v>
      </c>
      <c r="I54" s="82">
        <f t="shared" si="1"/>
        <v>339488716.95349282</v>
      </c>
      <c r="J54" s="82">
        <f t="shared" ca="1" si="3"/>
        <v>5977044132.3106041</v>
      </c>
    </row>
    <row r="55" spans="1:10" ht="14.25" customHeight="1" x14ac:dyDescent="0.3">
      <c r="A55" s="81">
        <v>4</v>
      </c>
      <c r="B55" s="81">
        <v>5</v>
      </c>
      <c r="C55" s="82">
        <f>Ventas!Q68</f>
        <v>2904739636.77109</v>
      </c>
      <c r="D55" s="82">
        <f>Ventas!U68</f>
        <v>2377967067.3303165</v>
      </c>
      <c r="E55" s="82">
        <f>LOOKUP('Flujo De Caja'!A55,'Gastos Operativos'!$A$7:$A$11,'Gastos Operativos'!$J$7:$J$11)</f>
        <v>29699841.535999272</v>
      </c>
      <c r="F55" s="82"/>
      <c r="G55" s="82">
        <f t="shared" si="0"/>
        <v>497072727.90477419</v>
      </c>
      <c r="H55" s="82">
        <f t="shared" si="2"/>
        <v>173975454.76667094</v>
      </c>
      <c r="I55" s="82">
        <f t="shared" si="1"/>
        <v>323097273.13810325</v>
      </c>
      <c r="J55" s="82">
        <f t="shared" ca="1" si="3"/>
        <v>6300141405.4487076</v>
      </c>
    </row>
    <row r="56" spans="1:10" ht="14.25" customHeight="1" x14ac:dyDescent="0.3">
      <c r="A56" s="81">
        <v>4</v>
      </c>
      <c r="B56" s="81">
        <v>6</v>
      </c>
      <c r="C56" s="82">
        <f>Ventas!Q69</f>
        <v>2904739636.77109</v>
      </c>
      <c r="D56" s="82">
        <f>Ventas!U69</f>
        <v>2404638137.5154114</v>
      </c>
      <c r="E56" s="82">
        <f>LOOKUP('Flujo De Caja'!A56,'Gastos Operativos'!$A$7:$A$11,'Gastos Operativos'!$J$7:$J$11)</f>
        <v>29699841.535999272</v>
      </c>
      <c r="F56" s="82"/>
      <c r="G56" s="82">
        <f t="shared" si="0"/>
        <v>470401657.71967936</v>
      </c>
      <c r="H56" s="82">
        <f t="shared" si="2"/>
        <v>164640580.20188776</v>
      </c>
      <c r="I56" s="82">
        <f t="shared" si="1"/>
        <v>305761077.51779163</v>
      </c>
      <c r="J56" s="82">
        <f t="shared" ca="1" si="3"/>
        <v>6605902482.9664993</v>
      </c>
    </row>
    <row r="57" spans="1:10" ht="14.25" customHeight="1" x14ac:dyDescent="0.3">
      <c r="A57" s="81">
        <v>4</v>
      </c>
      <c r="B57" s="81">
        <v>7</v>
      </c>
      <c r="C57" s="82">
        <f>Ventas!Q70</f>
        <v>2904739636.77109</v>
      </c>
      <c r="D57" s="82">
        <f>Ventas!U70</f>
        <v>2430590125.3550596</v>
      </c>
      <c r="E57" s="82">
        <f>LOOKUP('Flujo De Caja'!A57,'Gastos Operativos'!$A$7:$A$11,'Gastos Operativos'!$J$7:$J$11)</f>
        <v>29699841.535999272</v>
      </c>
      <c r="F57" s="82"/>
      <c r="G57" s="82">
        <f t="shared" si="0"/>
        <v>444449669.88003111</v>
      </c>
      <c r="H57" s="82">
        <f t="shared" si="2"/>
        <v>155557384.45801088</v>
      </c>
      <c r="I57" s="82">
        <f t="shared" si="1"/>
        <v>288892285.4220202</v>
      </c>
      <c r="J57" s="82">
        <f t="shared" ca="1" si="3"/>
        <v>6894794768.3885193</v>
      </c>
    </row>
    <row r="58" spans="1:10" ht="14.25" customHeight="1" x14ac:dyDescent="0.3">
      <c r="A58" s="81">
        <v>4</v>
      </c>
      <c r="B58" s="81">
        <v>8</v>
      </c>
      <c r="C58" s="82">
        <f>Ventas!Q71</f>
        <v>2904739636.77109</v>
      </c>
      <c r="D58" s="82">
        <f>Ventas!U71</f>
        <v>2458707010.0432315</v>
      </c>
      <c r="E58" s="82">
        <f>LOOKUP('Flujo De Caja'!A58,'Gastos Operativos'!$A$7:$A$11,'Gastos Operativos'!$J$7:$J$11)</f>
        <v>29699841.535999272</v>
      </c>
      <c r="F58" s="82"/>
      <c r="G58" s="82">
        <f t="shared" si="0"/>
        <v>416332785.19185925</v>
      </c>
      <c r="H58" s="82">
        <f t="shared" si="2"/>
        <v>145716474.81715071</v>
      </c>
      <c r="I58" s="82">
        <f t="shared" si="1"/>
        <v>270616310.37470853</v>
      </c>
      <c r="J58" s="82">
        <f t="shared" ca="1" si="3"/>
        <v>7165411078.7632275</v>
      </c>
    </row>
    <row r="59" spans="1:10" ht="14.25" customHeight="1" x14ac:dyDescent="0.3">
      <c r="A59" s="81">
        <v>4</v>
      </c>
      <c r="B59" s="81">
        <v>9</v>
      </c>
      <c r="C59" s="82">
        <f>Ventas!Q72</f>
        <v>2904739636.77109</v>
      </c>
      <c r="D59" s="82">
        <f>Ventas!U72</f>
        <v>2486150711.2590718</v>
      </c>
      <c r="E59" s="82">
        <f>LOOKUP('Flujo De Caja'!A59,'Gastos Operativos'!$A$7:$A$11,'Gastos Operativos'!$J$7:$J$11)</f>
        <v>29699841.535999272</v>
      </c>
      <c r="F59" s="82"/>
      <c r="G59" s="82">
        <f t="shared" si="0"/>
        <v>388889083.97601891</v>
      </c>
      <c r="H59" s="82">
        <f t="shared" si="2"/>
        <v>136111179.3916066</v>
      </c>
      <c r="I59" s="82">
        <f t="shared" si="1"/>
        <v>252777904.58441231</v>
      </c>
      <c r="J59" s="82">
        <f t="shared" ca="1" si="3"/>
        <v>7418188983.34764</v>
      </c>
    </row>
    <row r="60" spans="1:10" ht="14.25" customHeight="1" x14ac:dyDescent="0.3">
      <c r="A60" s="81">
        <v>4</v>
      </c>
      <c r="B60" s="81">
        <v>10</v>
      </c>
      <c r="C60" s="82">
        <f>Ventas!Q73</f>
        <v>2904739636.77109</v>
      </c>
      <c r="D60" s="82">
        <f>Ventas!U73</f>
        <v>2512133298.3474622</v>
      </c>
      <c r="E60" s="82">
        <f>LOOKUP('Flujo De Caja'!A60,'Gastos Operativos'!$A$7:$A$11,'Gastos Operativos'!$J$7:$J$11)</f>
        <v>29699841.535999272</v>
      </c>
      <c r="F60" s="82"/>
      <c r="G60" s="82">
        <f t="shared" si="0"/>
        <v>362906496.88762856</v>
      </c>
      <c r="H60" s="82">
        <f t="shared" si="2"/>
        <v>127017273.91066998</v>
      </c>
      <c r="I60" s="82">
        <f t="shared" si="1"/>
        <v>235889222.97695857</v>
      </c>
      <c r="J60" s="82">
        <f t="shared" ca="1" si="3"/>
        <v>7654078206.3245983</v>
      </c>
    </row>
    <row r="61" spans="1:10" ht="14.25" customHeight="1" x14ac:dyDescent="0.3">
      <c r="A61" s="81">
        <v>4</v>
      </c>
      <c r="B61" s="81">
        <v>11</v>
      </c>
      <c r="C61" s="82">
        <f>Ventas!Q74</f>
        <v>2904739636.77109</v>
      </c>
      <c r="D61" s="82">
        <f>Ventas!U74</f>
        <v>2541994340.2139521</v>
      </c>
      <c r="E61" s="82">
        <f>LOOKUP('Flujo De Caja'!A61,'Gastos Operativos'!$A$7:$A$11,'Gastos Operativos'!$J$7:$J$11)</f>
        <v>29699841.535999272</v>
      </c>
      <c r="F61" s="82"/>
      <c r="G61" s="82">
        <f t="shared" si="0"/>
        <v>333045455.02113867</v>
      </c>
      <c r="H61" s="82">
        <f t="shared" si="2"/>
        <v>116565909.25739853</v>
      </c>
      <c r="I61" s="82">
        <f t="shared" si="1"/>
        <v>216479545.76374012</v>
      </c>
      <c r="J61" s="82">
        <f t="shared" ca="1" si="3"/>
        <v>7870557752.0883389</v>
      </c>
    </row>
    <row r="62" spans="1:10" ht="14.25" customHeight="1" x14ac:dyDescent="0.3">
      <c r="A62" s="81">
        <v>4</v>
      </c>
      <c r="B62" s="81">
        <v>12</v>
      </c>
      <c r="C62" s="82">
        <f>Ventas!Q75</f>
        <v>2904739636.77109</v>
      </c>
      <c r="D62" s="82">
        <f>Ventas!U75</f>
        <v>2571136299.7349954</v>
      </c>
      <c r="E62" s="82">
        <f>LOOKUP('Flujo De Caja'!A62,'Gastos Operativos'!$A$7:$A$11,'Gastos Operativos'!$J$7:$J$11)</f>
        <v>29699841.535999272</v>
      </c>
      <c r="F62" s="82">
        <f ca="1">F26</f>
        <v>-36570610.409999996</v>
      </c>
      <c r="G62" s="82">
        <f t="shared" ca="1" si="0"/>
        <v>267332885.09009537</v>
      </c>
      <c r="H62" s="82">
        <f t="shared" ca="1" si="2"/>
        <v>93566509.781533375</v>
      </c>
      <c r="I62" s="82">
        <f t="shared" ca="1" si="1"/>
        <v>173766375.30856198</v>
      </c>
      <c r="J62" s="82">
        <f t="shared" ca="1" si="3"/>
        <v>8044324127.3969011</v>
      </c>
    </row>
    <row r="63" spans="1:10" ht="14.25" customHeight="1" x14ac:dyDescent="0.3">
      <c r="A63" s="81">
        <v>5</v>
      </c>
      <c r="B63" s="81">
        <v>1</v>
      </c>
      <c r="C63" s="82">
        <f>Ventas!Q76</f>
        <v>3972297678.407856</v>
      </c>
      <c r="D63" s="82">
        <f>Ventas!U76</f>
        <v>3107853071.3795042</v>
      </c>
      <c r="E63" s="82">
        <f>LOOKUP('Flujo De Caja'!A63,'Gastos Operativos'!$A$7:$A$11,'Gastos Operativos'!$J$7:$J$11)</f>
        <v>32725733.24799972</v>
      </c>
      <c r="F63" s="82"/>
      <c r="G63" s="82">
        <f t="shared" si="0"/>
        <v>831718873.78035212</v>
      </c>
      <c r="H63" s="82">
        <f t="shared" si="2"/>
        <v>291101605.82312322</v>
      </c>
      <c r="I63" s="82">
        <f t="shared" si="1"/>
        <v>540617267.9572289</v>
      </c>
      <c r="J63" s="82">
        <f t="shared" ca="1" si="3"/>
        <v>8584941395.3541298</v>
      </c>
    </row>
    <row r="64" spans="1:10" ht="14.25" customHeight="1" x14ac:dyDescent="0.3">
      <c r="A64" s="81">
        <v>5</v>
      </c>
      <c r="B64" s="81">
        <v>2</v>
      </c>
      <c r="C64" s="82">
        <f>Ventas!Q77</f>
        <v>3972297678.407856</v>
      </c>
      <c r="D64" s="82">
        <f>Ventas!U77</f>
        <v>3141967949.6123519</v>
      </c>
      <c r="E64" s="82">
        <f>LOOKUP('Flujo De Caja'!A64,'Gastos Operativos'!$A$7:$A$11,'Gastos Operativos'!$J$7:$J$11)</f>
        <v>32725733.24799972</v>
      </c>
      <c r="F64" s="82"/>
      <c r="G64" s="82">
        <f t="shared" si="0"/>
        <v>797603995.54750443</v>
      </c>
      <c r="H64" s="82">
        <f t="shared" si="2"/>
        <v>279161398.44162655</v>
      </c>
      <c r="I64" s="82">
        <f t="shared" si="1"/>
        <v>518442597.10587788</v>
      </c>
      <c r="J64" s="82">
        <f t="shared" ca="1" si="3"/>
        <v>9103383992.4600067</v>
      </c>
    </row>
    <row r="65" spans="1:10" ht="14.25" customHeight="1" x14ac:dyDescent="0.3">
      <c r="A65" s="81">
        <v>5</v>
      </c>
      <c r="B65" s="81">
        <v>3</v>
      </c>
      <c r="C65" s="82">
        <f>Ventas!Q78</f>
        <v>3972297678.407856</v>
      </c>
      <c r="D65" s="82">
        <f>Ventas!U78</f>
        <v>3174401526.7618079</v>
      </c>
      <c r="E65" s="82">
        <f>LOOKUP('Flujo De Caja'!A65,'Gastos Operativos'!$A$7:$A$11,'Gastos Operativos'!$J$7:$J$11)</f>
        <v>32725733.24799972</v>
      </c>
      <c r="F65" s="82"/>
      <c r="G65" s="82">
        <f t="shared" si="0"/>
        <v>765170418.3980484</v>
      </c>
      <c r="H65" s="82">
        <f t="shared" si="2"/>
        <v>267809646.43931693</v>
      </c>
      <c r="I65" s="82">
        <f t="shared" si="1"/>
        <v>497360771.95873147</v>
      </c>
      <c r="J65" s="82">
        <f t="shared" ca="1" si="3"/>
        <v>9600744764.4187374</v>
      </c>
    </row>
    <row r="66" spans="1:10" ht="14.25" customHeight="1" x14ac:dyDescent="0.3">
      <c r="A66" s="81">
        <v>5</v>
      </c>
      <c r="B66" s="81">
        <v>4</v>
      </c>
      <c r="C66" s="82">
        <f>Ventas!Q79</f>
        <v>3972297678.407856</v>
      </c>
      <c r="D66" s="82">
        <f>Ventas!U79</f>
        <v>3212226232.3851838</v>
      </c>
      <c r="E66" s="82">
        <f>LOOKUP('Flujo De Caja'!A66,'Gastos Operativos'!$A$7:$A$11,'Gastos Operativos'!$J$7:$J$11)</f>
        <v>32725733.24799972</v>
      </c>
      <c r="F66" s="82"/>
      <c r="G66" s="82">
        <f t="shared" si="0"/>
        <v>727345712.77467251</v>
      </c>
      <c r="H66" s="82">
        <f t="shared" si="2"/>
        <v>254570999.47113535</v>
      </c>
      <c r="I66" s="82">
        <f t="shared" si="1"/>
        <v>472774713.30353713</v>
      </c>
      <c r="J66" s="82">
        <f t="shared" ca="1" si="3"/>
        <v>10073519477.722275</v>
      </c>
    </row>
    <row r="67" spans="1:10" ht="14.25" customHeight="1" x14ac:dyDescent="0.3">
      <c r="A67" s="81">
        <v>5</v>
      </c>
      <c r="B67" s="81">
        <v>5</v>
      </c>
      <c r="C67" s="82">
        <f>Ventas!Q80</f>
        <v>3972297678.407856</v>
      </c>
      <c r="D67" s="82">
        <f>Ventas!U80</f>
        <v>3248675743.3724165</v>
      </c>
      <c r="E67" s="82">
        <f>LOOKUP('Flujo De Caja'!A67,'Gastos Operativos'!$A$7:$A$11,'Gastos Operativos'!$J$7:$J$11)</f>
        <v>32725733.24799972</v>
      </c>
      <c r="F67" s="82"/>
      <c r="G67" s="82">
        <f t="shared" si="0"/>
        <v>690896201.78743982</v>
      </c>
      <c r="H67" s="82">
        <f t="shared" si="2"/>
        <v>241813670.62560391</v>
      </c>
      <c r="I67" s="82">
        <f t="shared" si="1"/>
        <v>449082531.16183591</v>
      </c>
      <c r="J67" s="82">
        <f t="shared" ca="1" si="3"/>
        <v>10522602008.884111</v>
      </c>
    </row>
    <row r="68" spans="1:10" ht="14.25" customHeight="1" x14ac:dyDescent="0.3">
      <c r="A68" s="81">
        <v>5</v>
      </c>
      <c r="B68" s="81">
        <v>6</v>
      </c>
      <c r="C68" s="82">
        <f>Ventas!Q81</f>
        <v>3972297678.407856</v>
      </c>
      <c r="D68" s="82">
        <f>Ventas!U81</f>
        <v>3287172055.6785598</v>
      </c>
      <c r="E68" s="82">
        <f>LOOKUP('Flujo De Caja'!A68,'Gastos Operativos'!$A$7:$A$11,'Gastos Operativos'!$J$7:$J$11)</f>
        <v>32725733.24799972</v>
      </c>
      <c r="F68" s="82"/>
      <c r="G68" s="82">
        <f t="shared" si="0"/>
        <v>652399889.48129654</v>
      </c>
      <c r="H68" s="82">
        <f t="shared" si="2"/>
        <v>228339961.31845379</v>
      </c>
      <c r="I68" s="82">
        <f t="shared" si="1"/>
        <v>424059928.16284275</v>
      </c>
      <c r="J68" s="82">
        <f t="shared" ca="1" si="3"/>
        <v>10946661937.046955</v>
      </c>
    </row>
    <row r="69" spans="1:10" ht="14.25" customHeight="1" x14ac:dyDescent="0.3">
      <c r="A69" s="81">
        <v>5</v>
      </c>
      <c r="B69" s="81">
        <v>7</v>
      </c>
      <c r="C69" s="82">
        <f>Ventas!Q82</f>
        <v>3972297678.407856</v>
      </c>
      <c r="D69" s="82">
        <f>Ventas!U82</f>
        <v>3324699792.3605757</v>
      </c>
      <c r="E69" s="82">
        <f>LOOKUP('Flujo De Caja'!A69,'Gastos Operativos'!$A$7:$A$11,'Gastos Operativos'!$J$7:$J$11)</f>
        <v>32725733.24799972</v>
      </c>
      <c r="F69" s="82"/>
      <c r="G69" s="82">
        <f t="shared" si="0"/>
        <v>614872152.79928064</v>
      </c>
      <c r="H69" s="82">
        <f t="shared" si="2"/>
        <v>215205253.47974822</v>
      </c>
      <c r="I69" s="82">
        <f t="shared" si="1"/>
        <v>399666899.31953239</v>
      </c>
      <c r="J69" s="82">
        <f t="shared" ca="1" si="3"/>
        <v>11346328836.366488</v>
      </c>
    </row>
    <row r="70" spans="1:10" ht="14.25" customHeight="1" x14ac:dyDescent="0.3">
      <c r="A70" s="81">
        <v>5</v>
      </c>
      <c r="B70" s="81">
        <v>8</v>
      </c>
      <c r="C70" s="82">
        <f>Ventas!Q83</f>
        <v>3972297678.407856</v>
      </c>
      <c r="D70" s="82">
        <f>Ventas!U83</f>
        <v>3365146962.1738071</v>
      </c>
      <c r="E70" s="82">
        <f>LOOKUP('Flujo De Caja'!A70,'Gastos Operativos'!$A$7:$A$11,'Gastos Operativos'!$J$7:$J$11)</f>
        <v>32725733.24799972</v>
      </c>
      <c r="F70" s="82"/>
      <c r="G70" s="82">
        <f t="shared" si="0"/>
        <v>574424982.98604918</v>
      </c>
      <c r="H70" s="82">
        <f t="shared" si="2"/>
        <v>201048744.0451172</v>
      </c>
      <c r="I70" s="82">
        <f t="shared" si="1"/>
        <v>373376238.94093198</v>
      </c>
      <c r="J70" s="82">
        <f t="shared" ca="1" si="3"/>
        <v>11719705075.307419</v>
      </c>
    </row>
    <row r="71" spans="1:10" ht="14.25" customHeight="1" x14ac:dyDescent="0.3">
      <c r="A71" s="81">
        <v>5</v>
      </c>
      <c r="B71" s="81">
        <v>9</v>
      </c>
      <c r="C71" s="82">
        <f>Ventas!Q84</f>
        <v>3972297678.407856</v>
      </c>
      <c r="D71" s="82">
        <f>Ventas!U84</f>
        <v>3404899681.5395517</v>
      </c>
      <c r="E71" s="82">
        <f>LOOKUP('Flujo De Caja'!A71,'Gastos Operativos'!$A$7:$A$11,'Gastos Operativos'!$J$7:$J$11)</f>
        <v>32725733.24799972</v>
      </c>
      <c r="F71" s="82"/>
      <c r="G71" s="82">
        <f t="shared" si="0"/>
        <v>534672263.62030452</v>
      </c>
      <c r="H71" s="82">
        <f t="shared" si="2"/>
        <v>187135292.26710656</v>
      </c>
      <c r="I71" s="82">
        <f t="shared" si="1"/>
        <v>347536971.35319793</v>
      </c>
      <c r="J71" s="82">
        <f t="shared" ca="1" si="3"/>
        <v>12067242046.660616</v>
      </c>
    </row>
    <row r="72" spans="1:10" ht="14.25" customHeight="1" x14ac:dyDescent="0.3">
      <c r="A72" s="81">
        <v>5</v>
      </c>
      <c r="B72" s="81">
        <v>10</v>
      </c>
      <c r="C72" s="82">
        <f>Ventas!Q85</f>
        <v>3972297678.407856</v>
      </c>
      <c r="D72" s="82">
        <f>Ventas!U85</f>
        <v>3442770074.6923685</v>
      </c>
      <c r="E72" s="82">
        <f>LOOKUP('Flujo De Caja'!A72,'Gastos Operativos'!$A$7:$A$11,'Gastos Operativos'!$J$7:$J$11)</f>
        <v>32725733.24799972</v>
      </c>
      <c r="F72" s="82"/>
      <c r="G72" s="82">
        <f t="shared" si="0"/>
        <v>496801870.46748775</v>
      </c>
      <c r="H72" s="82">
        <f t="shared" si="2"/>
        <v>173880654.66362071</v>
      </c>
      <c r="I72" s="82">
        <f t="shared" si="1"/>
        <v>322921215.80386704</v>
      </c>
      <c r="J72" s="82">
        <f t="shared" ca="1" si="3"/>
        <v>12390163262.464483</v>
      </c>
    </row>
    <row r="73" spans="1:10" ht="14.25" customHeight="1" x14ac:dyDescent="0.3">
      <c r="A73" s="81">
        <v>5</v>
      </c>
      <c r="B73" s="81">
        <v>11</v>
      </c>
      <c r="C73" s="82">
        <f>Ventas!Q86</f>
        <v>3972297678.407856</v>
      </c>
      <c r="D73" s="82">
        <f>Ventas!U86</f>
        <v>3485634114.8129759</v>
      </c>
      <c r="E73" s="82">
        <f>LOOKUP('Flujo De Caja'!A73,'Gastos Operativos'!$A$7:$A$11,'Gastos Operativos'!$J$7:$J$11)</f>
        <v>32725733.24799972</v>
      </c>
      <c r="F73" s="82"/>
      <c r="G73" s="82">
        <f t="shared" si="0"/>
        <v>453937830.34688038</v>
      </c>
      <c r="H73" s="82">
        <f t="shared" si="2"/>
        <v>158878240.62140813</v>
      </c>
      <c r="I73" s="82">
        <f t="shared" si="1"/>
        <v>295059589.72547221</v>
      </c>
      <c r="J73" s="82">
        <f t="shared" ca="1" si="3"/>
        <v>12685222852.189955</v>
      </c>
    </row>
    <row r="74" spans="1:10" ht="14.25" customHeight="1" x14ac:dyDescent="0.3">
      <c r="A74" s="81">
        <v>5</v>
      </c>
      <c r="B74" s="81">
        <v>12</v>
      </c>
      <c r="C74" s="82">
        <f>Ventas!Q87</f>
        <v>3972297678.407856</v>
      </c>
      <c r="D74" s="82">
        <f>Ventas!U87</f>
        <v>3527529579.3094559</v>
      </c>
      <c r="E74" s="82">
        <f>LOOKUP('Flujo De Caja'!A74,'Gastos Operativos'!$A$7:$A$11,'Gastos Operativos'!$J$7:$J$11)</f>
        <v>32725733.24799972</v>
      </c>
      <c r="F74" s="82">
        <f ca="1">F26</f>
        <v>-36570610.409999996</v>
      </c>
      <c r="G74" s="82">
        <f t="shared" ca="1" si="0"/>
        <v>375471755.44040036</v>
      </c>
      <c r="H74" s="82">
        <f t="shared" ca="1" si="2"/>
        <v>131415114.40414011</v>
      </c>
      <c r="I74" s="82">
        <f t="shared" ca="1" si="1"/>
        <v>244056641.03626025</v>
      </c>
      <c r="J74" s="82">
        <f t="shared" ca="1" si="3"/>
        <v>12929279493.226215</v>
      </c>
    </row>
    <row r="75" spans="1:10" ht="14.25" customHeight="1" x14ac:dyDescent="0.3"/>
    <row r="76" spans="1:10" ht="14.25" customHeight="1" x14ac:dyDescent="0.3"/>
    <row r="77" spans="1:10" ht="14.25" customHeight="1" x14ac:dyDescent="0.3"/>
    <row r="78" spans="1:10" ht="14.25" customHeight="1" x14ac:dyDescent="0.3"/>
    <row r="79" spans="1:10" ht="14.25" customHeight="1" x14ac:dyDescent="0.3"/>
    <row r="80" spans="1:1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row r="1001" ht="14.25" customHeight="1" x14ac:dyDescent="0.3"/>
    <row r="1002" ht="14.25" customHeight="1" x14ac:dyDescent="0.3"/>
    <row r="1003" ht="14.25" customHeight="1" x14ac:dyDescent="0.3"/>
    <row r="1004" ht="14.25" customHeight="1" x14ac:dyDescent="0.3"/>
    <row r="1005" ht="14.25" customHeight="1" x14ac:dyDescent="0.3"/>
    <row r="1006" ht="14.25" customHeight="1" x14ac:dyDescent="0.3"/>
    <row r="1007" ht="14.25" customHeight="1" x14ac:dyDescent="0.3"/>
    <row r="1008" ht="14.25" customHeight="1" x14ac:dyDescent="0.3"/>
    <row r="1009" ht="14.25" customHeight="1" x14ac:dyDescent="0.3"/>
    <row r="1010" ht="14.25" customHeight="1" x14ac:dyDescent="0.3"/>
    <row r="1011" ht="14.25" customHeight="1" x14ac:dyDescent="0.3"/>
    <row r="1012" ht="14.25" customHeight="1" x14ac:dyDescent="0.3"/>
  </sheetData>
  <mergeCells count="9">
    <mergeCell ref="C9:E9"/>
    <mergeCell ref="C10:E10"/>
    <mergeCell ref="A1:J1"/>
    <mergeCell ref="A2:J2"/>
    <mergeCell ref="C4:E4"/>
    <mergeCell ref="C5:E5"/>
    <mergeCell ref="C6:E6"/>
    <mergeCell ref="C7:E7"/>
    <mergeCell ref="C8:E8"/>
  </mergeCells>
  <pageMargins left="0.25" right="0.25" top="0.75" bottom="0.75" header="0" footer="0"/>
  <pageSetup scale="35"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8</vt:i4>
      </vt:variant>
      <vt:variant>
        <vt:lpstr>Rangos con nombre</vt:lpstr>
      </vt:variant>
      <vt:variant>
        <vt:i4>5</vt:i4>
      </vt:variant>
    </vt:vector>
  </HeadingPairs>
  <TitlesOfParts>
    <vt:vector size="13" baseType="lpstr">
      <vt:lpstr>Dolar (USD)</vt:lpstr>
      <vt:lpstr>Componentes Patinetas</vt:lpstr>
      <vt:lpstr>Ventas</vt:lpstr>
      <vt:lpstr>Gastos Operativos</vt:lpstr>
      <vt:lpstr>Propuesta Automatización</vt:lpstr>
      <vt:lpstr>Componentes Automatización</vt:lpstr>
      <vt:lpstr>Celda Robótica</vt:lpstr>
      <vt:lpstr>Flujo De Caja</vt:lpstr>
      <vt:lpstr>FLUJO_CAJA</vt:lpstr>
      <vt:lpstr>TOTAL_CELDA_ROBOTICA</vt:lpstr>
      <vt:lpstr>TOTAL_COMP_AUTOMATIZACION</vt:lpstr>
      <vt:lpstr>TOTAL_INVERSIÓN_INICIAL</vt:lpstr>
      <vt:lpstr>TRM__HOY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alejandra</dc:creator>
  <cp:lastModifiedBy>Maria Alejandra Perez Petro</cp:lastModifiedBy>
  <cp:lastPrinted>2025-07-22T23:32:15Z</cp:lastPrinted>
  <dcterms:created xsi:type="dcterms:W3CDTF">2015-06-05T18:19:34Z</dcterms:created>
  <dcterms:modified xsi:type="dcterms:W3CDTF">2025-07-23T04:33:08Z</dcterms:modified>
</cp:coreProperties>
</file>