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\Desktop\Unal\APM\Proyecto\APM\Evaluación economica\"/>
    </mc:Choice>
  </mc:AlternateContent>
  <xr:revisionPtr revIDLastSave="0" documentId="13_ncr:1_{C1FFD0D0-BDB6-4105-89FB-CDF336658D15}" xr6:coauthVersionLast="47" xr6:coauthVersionMax="47" xr10:uidLastSave="{00000000-0000-0000-0000-000000000000}"/>
  <bookViews>
    <workbookView xWindow="-108" yWindow="-108" windowWidth="23256" windowHeight="12576" tabRatio="750" xr2:uid="{86E37AEA-507A-4C4C-95B6-664C68D3C326}"/>
  </bookViews>
  <sheets>
    <sheet name="Flujo Opción 2" sheetId="8" r:id="rId1"/>
    <sheet name="Flujo Opción 1" sheetId="4" r:id="rId2"/>
    <sheet name="COSTOS PRY" sheetId="2" r:id="rId3"/>
    <sheet name="Datos" sheetId="5" r:id="rId4"/>
    <sheet name="Prestamo" sheetId="6" r:id="rId5"/>
    <sheet name="Cotizaciónes" sheetId="7" r:id="rId6"/>
  </sheets>
  <definedNames>
    <definedName name="Inflacion1">#REF!</definedName>
    <definedName name="Inflacion2">#REF!</definedName>
    <definedName name="Inflacion3">#REF!</definedName>
    <definedName name="Inflacion4">#REF!</definedName>
    <definedName name="Inflacion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2" l="1"/>
  <c r="D6" i="2"/>
  <c r="D5" i="2"/>
  <c r="G14" i="4"/>
  <c r="H14" i="4"/>
  <c r="I14" i="4"/>
  <c r="J14" i="4"/>
  <c r="K14" i="4"/>
  <c r="L14" i="4"/>
  <c r="M14" i="4"/>
  <c r="N14" i="4"/>
  <c r="O14" i="4"/>
  <c r="P14" i="4"/>
  <c r="F14" i="4"/>
  <c r="E15" i="4"/>
  <c r="E14" i="4"/>
  <c r="M17" i="6"/>
  <c r="E11" i="8"/>
  <c r="C6" i="6"/>
  <c r="C3" i="5"/>
  <c r="C2" i="5"/>
  <c r="F11" i="8"/>
  <c r="G11" i="8"/>
  <c r="H11" i="8"/>
  <c r="I11" i="8"/>
  <c r="J11" i="8"/>
  <c r="K11" i="8"/>
  <c r="L11" i="8"/>
  <c r="M11" i="8"/>
  <c r="N11" i="8"/>
  <c r="O11" i="8"/>
  <c r="P11" i="8"/>
  <c r="F28" i="2"/>
  <c r="E28" i="2"/>
  <c r="G28" i="2" s="1"/>
  <c r="F27" i="2"/>
  <c r="E27" i="2"/>
  <c r="G27" i="2" s="1"/>
  <c r="P6" i="8"/>
  <c r="O6" i="8"/>
  <c r="N6" i="8"/>
  <c r="M6" i="8"/>
  <c r="L6" i="8"/>
  <c r="K6" i="8"/>
  <c r="J6" i="8"/>
  <c r="I6" i="8"/>
  <c r="H6" i="8"/>
  <c r="G6" i="8"/>
  <c r="F6" i="8"/>
  <c r="E6" i="8"/>
  <c r="I17" i="6"/>
  <c r="D30" i="2"/>
  <c r="D31" i="2"/>
  <c r="F18" i="2"/>
  <c r="E18" i="2"/>
  <c r="G18" i="2" s="1"/>
  <c r="F17" i="2"/>
  <c r="E17" i="2"/>
  <c r="G17" i="2" s="1"/>
  <c r="J9" i="4"/>
  <c r="C6" i="7"/>
  <c r="K9" i="4" s="1"/>
  <c r="F6" i="4"/>
  <c r="G6" i="4"/>
  <c r="H6" i="4"/>
  <c r="I6" i="4"/>
  <c r="J6" i="4"/>
  <c r="K6" i="4"/>
  <c r="L6" i="4"/>
  <c r="M6" i="4"/>
  <c r="N6" i="4"/>
  <c r="O6" i="4"/>
  <c r="P6" i="4"/>
  <c r="E6" i="4"/>
  <c r="L15" i="4"/>
  <c r="M8" i="4"/>
  <c r="M11" i="4" s="1"/>
  <c r="D14" i="2"/>
  <c r="C12" i="5" s="1"/>
  <c r="F20" i="2"/>
  <c r="F21" i="2"/>
  <c r="F22" i="2"/>
  <c r="F23" i="2"/>
  <c r="F24" i="2"/>
  <c r="F25" i="2"/>
  <c r="F26" i="2"/>
  <c r="F29" i="2"/>
  <c r="F19" i="2"/>
  <c r="E20" i="2"/>
  <c r="E21" i="2"/>
  <c r="E22" i="2"/>
  <c r="E23" i="2"/>
  <c r="E24" i="2"/>
  <c r="E25" i="2"/>
  <c r="E26" i="2"/>
  <c r="E29" i="2"/>
  <c r="E19" i="2"/>
  <c r="C3" i="6"/>
  <c r="E9" i="4" l="1"/>
  <c r="P9" i="4"/>
  <c r="F9" i="4"/>
  <c r="I9" i="4"/>
  <c r="G9" i="4"/>
  <c r="O9" i="4"/>
  <c r="N9" i="4"/>
  <c r="H9" i="4"/>
  <c r="M9" i="4"/>
  <c r="L9" i="4"/>
  <c r="L8" i="4"/>
  <c r="L11" i="4" s="1"/>
  <c r="K15" i="4"/>
  <c r="K8" i="4"/>
  <c r="K11" i="4" s="1"/>
  <c r="J15" i="4"/>
  <c r="J8" i="4"/>
  <c r="J11" i="4" s="1"/>
  <c r="I8" i="4"/>
  <c r="I11" i="4" s="1"/>
  <c r="H8" i="4"/>
  <c r="H11" i="4" s="1"/>
  <c r="G8" i="4"/>
  <c r="G11" i="4" s="1"/>
  <c r="F8" i="4"/>
  <c r="F11" i="4" s="1"/>
  <c r="P15" i="4"/>
  <c r="P8" i="4"/>
  <c r="P11" i="4" s="1"/>
  <c r="O8" i="4"/>
  <c r="O11" i="4" s="1"/>
  <c r="N15" i="4"/>
  <c r="I15" i="4"/>
  <c r="H15" i="4"/>
  <c r="G15" i="4"/>
  <c r="F15" i="4"/>
  <c r="E8" i="4"/>
  <c r="O15" i="4"/>
  <c r="N8" i="4"/>
  <c r="N11" i="4" s="1"/>
  <c r="M15" i="4"/>
  <c r="E30" i="2"/>
  <c r="F30" i="2"/>
  <c r="D7" i="2"/>
  <c r="C17" i="8"/>
  <c r="E31" i="2"/>
  <c r="F31" i="2"/>
  <c r="G22" i="2"/>
  <c r="G23" i="2"/>
  <c r="G29" i="2"/>
  <c r="G20" i="2"/>
  <c r="G21" i="2"/>
  <c r="G24" i="2"/>
  <c r="G19" i="2"/>
  <c r="G26" i="2"/>
  <c r="G25" i="2"/>
  <c r="G30" i="2" l="1"/>
  <c r="C11" i="5"/>
  <c r="C5" i="6" s="1"/>
  <c r="L5" i="6" s="1"/>
  <c r="M5" i="6" s="1"/>
  <c r="L6" i="6" s="1"/>
  <c r="E8" i="8" s="1"/>
  <c r="C9" i="5"/>
  <c r="D9" i="8" s="1"/>
  <c r="E11" i="4"/>
  <c r="C21" i="4"/>
  <c r="G31" i="2"/>
  <c r="G32" i="2" l="1"/>
  <c r="M6" i="6"/>
  <c r="L7" i="6" s="1"/>
  <c r="F8" i="8" s="1"/>
  <c r="P5" i="8"/>
  <c r="O5" i="8"/>
  <c r="N5" i="8"/>
  <c r="M5" i="8"/>
  <c r="J5" i="8"/>
  <c r="H5" i="8"/>
  <c r="G5" i="8"/>
  <c r="F5" i="8"/>
  <c r="E5" i="8"/>
  <c r="L5" i="8"/>
  <c r="K5" i="8"/>
  <c r="I5" i="8"/>
  <c r="M7" i="6" l="1"/>
  <c r="L8" i="6" s="1"/>
  <c r="G8" i="8" s="1"/>
  <c r="C18" i="8"/>
  <c r="C19" i="8" s="1"/>
  <c r="M8" i="6" l="1"/>
  <c r="L9" i="6" s="1"/>
  <c r="K5" i="4"/>
  <c r="E5" i="4"/>
  <c r="D36" i="2" s="1"/>
  <c r="M5" i="4"/>
  <c r="H5" i="4"/>
  <c r="I5" i="4"/>
  <c r="P5" i="4"/>
  <c r="N5" i="4"/>
  <c r="F5" i="4"/>
  <c r="O5" i="4"/>
  <c r="G5" i="4"/>
  <c r="J5" i="4"/>
  <c r="L5" i="4"/>
  <c r="M9" i="6" l="1"/>
  <c r="L10" i="6" s="1"/>
  <c r="H8" i="8"/>
  <c r="C22" i="4"/>
  <c r="C23" i="4" s="1"/>
  <c r="C8" i="5"/>
  <c r="C2" i="6" s="1"/>
  <c r="H5" i="6" s="1"/>
  <c r="I5" i="6" s="1"/>
  <c r="M10" i="6" l="1"/>
  <c r="L11" i="6" s="1"/>
  <c r="I8" i="8"/>
  <c r="H6" i="6"/>
  <c r="I6" i="6" s="1"/>
  <c r="D12" i="4"/>
  <c r="M11" i="6" l="1"/>
  <c r="L12" i="6" s="1"/>
  <c r="J8" i="8"/>
  <c r="D12" i="8"/>
  <c r="F19" i="8"/>
  <c r="D16" i="4"/>
  <c r="F23" i="4"/>
  <c r="H7" i="6"/>
  <c r="E10" i="4"/>
  <c r="M12" i="6" l="1"/>
  <c r="K8" i="8"/>
  <c r="E12" i="8"/>
  <c r="F12" i="8"/>
  <c r="F10" i="4"/>
  <c r="F16" i="4" s="1"/>
  <c r="E16" i="4"/>
  <c r="I7" i="6"/>
  <c r="L13" i="6" l="1"/>
  <c r="L8" i="8" s="1"/>
  <c r="H8" i="6"/>
  <c r="I8" i="6" s="1"/>
  <c r="M13" i="6" l="1"/>
  <c r="L14" i="6" s="1"/>
  <c r="M8" i="8" s="1"/>
  <c r="H9" i="6"/>
  <c r="G10" i="4"/>
  <c r="M14" i="6" l="1"/>
  <c r="L15" i="6" s="1"/>
  <c r="N8" i="8" s="1"/>
  <c r="G12" i="8"/>
  <c r="H10" i="4"/>
  <c r="H16" i="4" s="1"/>
  <c r="H12" i="8"/>
  <c r="G16" i="4"/>
  <c r="I9" i="6"/>
  <c r="M15" i="6" l="1"/>
  <c r="L16" i="6" s="1"/>
  <c r="O8" i="8" s="1"/>
  <c r="H10" i="6"/>
  <c r="I10" i="6" s="1"/>
  <c r="M16" i="6" l="1"/>
  <c r="L17" i="6" s="1"/>
  <c r="P8" i="8" s="1"/>
  <c r="H11" i="6"/>
  <c r="I10" i="4"/>
  <c r="J12" i="8" l="1"/>
  <c r="J10" i="4"/>
  <c r="J16" i="4" s="1"/>
  <c r="I16" i="4"/>
  <c r="I12" i="8"/>
  <c r="I11" i="6"/>
  <c r="H12" i="6" l="1"/>
  <c r="I12" i="6" s="1"/>
  <c r="H13" i="6" l="1"/>
  <c r="K12" i="8"/>
  <c r="K10" i="4"/>
  <c r="K16" i="4" l="1"/>
  <c r="L10" i="4"/>
  <c r="L16" i="4" s="1"/>
  <c r="L12" i="8"/>
  <c r="I13" i="6"/>
  <c r="H14" i="6" l="1"/>
  <c r="M12" i="8" l="1"/>
  <c r="M10" i="4"/>
  <c r="M16" i="4" s="1"/>
  <c r="I14" i="6"/>
  <c r="H15" i="6" l="1"/>
  <c r="I15" i="6" s="1"/>
  <c r="H16" i="6" l="1"/>
  <c r="I16" i="6" s="1"/>
  <c r="H17" i="6" s="1"/>
  <c r="N10" i="4"/>
  <c r="N16" i="4" s="1"/>
  <c r="N12" i="8"/>
  <c r="P10" i="4" l="1"/>
  <c r="O10" i="4"/>
  <c r="O16" i="4" s="1"/>
  <c r="O12" i="8"/>
  <c r="P12" i="8" l="1"/>
  <c r="C20" i="8"/>
  <c r="C21" i="8" s="1"/>
  <c r="C22" i="8" s="1"/>
  <c r="P16" i="4"/>
  <c r="C24" i="4"/>
  <c r="C25" i="4" s="1"/>
  <c r="C26" i="4" s="1"/>
  <c r="F22" i="4" l="1"/>
  <c r="F24" i="4" s="1"/>
  <c r="F25" i="4"/>
  <c r="F21" i="8"/>
  <c r="F18" i="8"/>
  <c r="F20" i="8" s="1"/>
</calcChain>
</file>

<file path=xl/sharedStrings.xml><?xml version="1.0" encoding="utf-8"?>
<sst xmlns="http://schemas.openxmlformats.org/spreadsheetml/2006/main" count="153" uniqueCount="97">
  <si>
    <t>INVERSION</t>
  </si>
  <si>
    <t>GANANCIA 
        O
COSTO OPORTUNIDAD</t>
  </si>
  <si>
    <t>FLUJO NETO FINANCIADO</t>
  </si>
  <si>
    <t>VA</t>
  </si>
  <si>
    <t>VAN</t>
  </si>
  <si>
    <t>TIR</t>
  </si>
  <si>
    <t>ESTADO DE PERDIDAS Y GANANCIAS</t>
  </si>
  <si>
    <t>VENTAS</t>
  </si>
  <si>
    <t>COSTOS</t>
  </si>
  <si>
    <t>UTILIDAD BRUTA</t>
  </si>
  <si>
    <t>GASTOS FINANCIEROS</t>
  </si>
  <si>
    <t>UTILIDAD ANTES DE IMMPUESTOS</t>
  </si>
  <si>
    <t>UTILIDAD NETA DEL EJERCICIO</t>
  </si>
  <si>
    <t>HARDWARE</t>
  </si>
  <si>
    <t>SOFTWARE</t>
  </si>
  <si>
    <t>NOMINA</t>
  </si>
  <si>
    <t>PLCs</t>
  </si>
  <si>
    <t>Robots</t>
  </si>
  <si>
    <t>Studio 5000</t>
  </si>
  <si>
    <t>Siemenx NX</t>
  </si>
  <si>
    <t>Ignition</t>
  </si>
  <si>
    <t>Unidades producidas pimenton</t>
  </si>
  <si>
    <t>Unidades producidas aguacate</t>
  </si>
  <si>
    <t>Precio compra unidad pimenton</t>
  </si>
  <si>
    <t>Precio compra unidad aguacate</t>
  </si>
  <si>
    <t>Precio venta unidad pimenton</t>
  </si>
  <si>
    <t>Precio venta unidad aguacate</t>
  </si>
  <si>
    <t>Mes 0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</si>
  <si>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</si>
  <si>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</si>
  <si>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</si>
  <si>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</si>
  <si>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</si>
  <si>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</si>
  <si>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</si>
  <si>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</si>
  <si>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</si>
  <si>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</si>
  <si>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</si>
  <si>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</si>
  <si>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Nomina</t>
  </si>
  <si>
    <t>Arriendos</t>
  </si>
  <si>
    <t>Servicios</t>
  </si>
  <si>
    <t>Materia prima</t>
  </si>
  <si>
    <t>Abono a deuda</t>
  </si>
  <si>
    <t>PASIVOS</t>
  </si>
  <si>
    <t>Ventas a costo</t>
  </si>
  <si>
    <t>ACTIVOS</t>
  </si>
  <si>
    <t>Ventas mensuales</t>
  </si>
  <si>
    <t>Periodo</t>
  </si>
  <si>
    <t>Flujo</t>
  </si>
  <si>
    <t>saldo</t>
  </si>
  <si>
    <t>Interes mensual</t>
  </si>
  <si>
    <t>Salario</t>
  </si>
  <si>
    <t>ARL</t>
  </si>
  <si>
    <t>Pensión</t>
  </si>
  <si>
    <t>Precio</t>
  </si>
  <si>
    <t>Maquinaria</t>
  </si>
  <si>
    <t>Total</t>
  </si>
  <si>
    <t>Costo maquinaria</t>
  </si>
  <si>
    <t>Costo de software</t>
  </si>
  <si>
    <t>271120_BOLETIN SEMANAL SIPSA_442.indd (dane.gov.co)</t>
  </si>
  <si>
    <t>Operario/Carguero</t>
  </si>
  <si>
    <t>Supervisor</t>
  </si>
  <si>
    <t>Tecnico</t>
  </si>
  <si>
    <t>Ingeniero</t>
  </si>
  <si>
    <t>Arriendo</t>
  </si>
  <si>
    <t>Logistica</t>
  </si>
  <si>
    <t>Translado de mercancía</t>
  </si>
  <si>
    <t>Flujo total</t>
  </si>
  <si>
    <t>IVA</t>
  </si>
  <si>
    <t>Varios</t>
  </si>
  <si>
    <t>Contabilidad y legal</t>
  </si>
  <si>
    <t>Deuda</t>
  </si>
  <si>
    <t>Cobro mensual</t>
  </si>
  <si>
    <t>Primeros meses</t>
  </si>
  <si>
    <t>Prestamo Opción 1</t>
  </si>
  <si>
    <t>Valor del prestamo 1</t>
  </si>
  <si>
    <t>Prestamo Opción 2</t>
  </si>
  <si>
    <t>Cobro mensuales</t>
  </si>
  <si>
    <t>Valor del prestamo 2</t>
  </si>
  <si>
    <t>GANANCIA O COSTO OPORTUNIDAD</t>
  </si>
  <si>
    <t>Maquina</t>
  </si>
  <si>
    <t>Link a cotización</t>
  </si>
  <si>
    <t>Sensor</t>
  </si>
  <si>
    <t>Robot</t>
  </si>
  <si>
    <t>Sensor color</t>
  </si>
  <si>
    <t>Cantidad</t>
  </si>
  <si>
    <t>Volcadora</t>
  </si>
  <si>
    <t>Lavadora</t>
  </si>
  <si>
    <t>Secadora</t>
  </si>
  <si>
    <t>Enceradora</t>
  </si>
  <si>
    <t>Banda de rodillos</t>
  </si>
  <si>
    <t>Banda transportadora</t>
  </si>
  <si>
    <t>Clasificador</t>
  </si>
  <si>
    <t>Sensor de presencia</t>
  </si>
  <si>
    <t>Actuadores neumaticos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</si>
</sst>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rgb="FF202124"/>
      <name val="Arial"/>
      <family val="2"/>
    </font>
    <font>
      <u/>
      <sz val="10"/>
      <color theme="10"/>
      <name val="Arial"/>
      <family val="2"/>
    </font>
    <font>
      <sz val="10"/>
      <color rgb="FF000000"/>
      <name val="Barlow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9" fontId="0" fillId="0" borderId="1" xfId="0" applyNumberFormat="1" applyBorder="1" applyAlignment="1">
      <alignment horizontal="center" vertical="center"/>
    </xf>
    <xf numFmtId="44" fontId="0" fillId="0" borderId="0" xfId="2" applyFont="1"/>
    <xf numFmtId="44" fontId="0" fillId="0" borderId="0" xfId="0" applyNumberFormat="1"/>
    <xf numFmtId="44" fontId="1" fillId="0" borderId="0" xfId="2" applyFont="1" applyFill="1"/>
    <xf numFmtId="44" fontId="4" fillId="0" borderId="0" xfId="2" applyFont="1"/>
    <xf numFmtId="44" fontId="0" fillId="0" borderId="0" xfId="2" applyFont="1" applyFill="1"/>
    <xf numFmtId="0" fontId="5" fillId="0" borderId="0" xfId="3"/>
    <xf numFmtId="44" fontId="0" fillId="5" borderId="0" xfId="2" applyFont="1" applyFill="1"/>
    <xf numFmtId="0" fontId="0" fillId="0" borderId="0" xfId="0" applyFill="1"/>
    <xf numFmtId="44" fontId="6" fillId="0" borderId="0" xfId="2" applyFont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 vertical="center"/>
    </xf>
    <xf numFmtId="10" fontId="0" fillId="2" borderId="1" xfId="1" applyNumberFormat="1" applyFon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65" fontId="0" fillId="3" borderId="5" xfId="0" applyNumberFormat="1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165" fontId="0" fillId="3" borderId="7" xfId="0" applyNumberFormat="1" applyFill="1" applyBorder="1" applyAlignment="1">
      <alignment vertical="center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/>
    </xf>
    <xf numFmtId="0" fontId="0" fillId="0" borderId="3" xfId="2" applyNumberFormat="1" applyFont="1" applyBorder="1"/>
    <xf numFmtId="44" fontId="0" fillId="0" borderId="5" xfId="2" applyFont="1" applyBorder="1"/>
    <xf numFmtId="9" fontId="0" fillId="0" borderId="5" xfId="2" applyNumberFormat="1" applyFont="1" applyBorder="1"/>
    <xf numFmtId="44" fontId="0" fillId="0" borderId="7" xfId="2" applyFont="1" applyBorder="1"/>
    <xf numFmtId="0" fontId="0" fillId="6" borderId="2" xfId="0" applyFill="1" applyBorder="1"/>
    <xf numFmtId="0" fontId="0" fillId="6" borderId="4" xfId="0" applyFill="1" applyBorder="1"/>
    <xf numFmtId="0" fontId="0" fillId="6" borderId="6" xfId="0" applyFill="1" applyBorder="1"/>
    <xf numFmtId="1" fontId="0" fillId="0" borderId="5" xfId="2" applyNumberFormat="1" applyFont="1" applyBorder="1"/>
    <xf numFmtId="0" fontId="0" fillId="0" borderId="0" xfId="0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0" fontId="0" fillId="0" borderId="0" xfId="0" applyNumberFormat="1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00"/>
      <color rgb="FFFF937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198120</xdr:colOff>
      <xdr:row>13</xdr:row>
      <xdr:rowOff>144780</xdr:rowOff>
    </xdr:from>
    <xdr:to>
      <xdr:col>12</xdr:col>
      <xdr:colOff>563880</xdr:colOff>
      <xdr:row>26</xdr:row>
      <xdr:rowOff>91440</xdr:rowOff>
    </xdr:to>
    <xdr:pic>
      <xdr:nvPicPr>
        <xdr:cNvPr id="3088" name="Picture 16" descr="Conoce los porcentajes para la liquidación ARL según la clase de riesgo.">
          <a:extLst>
            <a:ext uri="{FF2B5EF4-FFF2-40B4-BE49-F238E27FC236}">
              <a16:creationId xmlns:a16="http://schemas.microsoft.com/office/drawing/2014/main" id="{D59D3CB7-D134-4D6B-A017-BB3A83D28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2360" y="2324100"/>
          <a:ext cx="4983480" cy="2125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ane.gov.co/files/investigaciones/agropecuario/sipsa/Sem_21nov_2020__27nov_2020.pdf" TargetMode="External"/><Relationship Id="rId1" Type="http://schemas.openxmlformats.org/officeDocument/2006/relationships/hyperlink" Target="https://www.dane.gov.co/files/investigaciones/agropecuario/sipsa/Sem_21nov_2020__27nov_202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E15CF-6437-416C-BEA1-56EE97CC6200}">
  <dimension ref="B4:P22"/>
  <sheetViews>
    <sheetView tabSelected="1" workbookViewId="0">
      <selection activeCell="J26" sqref="J26"/>
    </sheetView>
  </sheetViews>
  <sheetFormatPr defaultRowHeight="13.2" x14ac:dyDescent="0.25"/>
  <cols>
    <col min="2" max="2" width="20.44140625" customWidth="1"/>
    <col min="3" max="3" width="28.44140625" customWidth="1"/>
    <col min="4" max="4" width="18.5546875" customWidth="1"/>
    <col min="5" max="5" width="18.33203125" customWidth="1"/>
    <col min="6" max="6" width="18.109375" customWidth="1"/>
    <col min="7" max="16" width="19" customWidth="1"/>
  </cols>
  <sheetData>
    <row r="4" spans="2:16" x14ac:dyDescent="0.25"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  <c r="P4" t="s">
        <v>39</v>
      </c>
    </row>
    <row r="5" spans="2:16" x14ac:dyDescent="0.25">
      <c r="B5" s="39" t="s">
        <v>45</v>
      </c>
      <c r="C5" t="s">
        <v>40</v>
      </c>
      <c r="D5" s="12">
        <v>0</v>
      </c>
      <c r="E5" s="12">
        <f>'COSTOS PRY'!$G$32</f>
        <v>31111858.186399996</v>
      </c>
      <c r="F5" s="12">
        <f>'COSTOS PRY'!$G$32</f>
        <v>31111858.186399996</v>
      </c>
      <c r="G5" s="12">
        <f>'COSTOS PRY'!$G$32</f>
        <v>31111858.186399996</v>
      </c>
      <c r="H5" s="12">
        <f>'COSTOS PRY'!$G$32</f>
        <v>31111858.186399996</v>
      </c>
      <c r="I5" s="12">
        <f>'COSTOS PRY'!$G$32</f>
        <v>31111858.186399996</v>
      </c>
      <c r="J5" s="12">
        <f>'COSTOS PRY'!$G$32</f>
        <v>31111858.186399996</v>
      </c>
      <c r="K5" s="12">
        <f>'COSTOS PRY'!$G$32</f>
        <v>31111858.186399996</v>
      </c>
      <c r="L5" s="12">
        <f>'COSTOS PRY'!$G$32</f>
        <v>31111858.186399996</v>
      </c>
      <c r="M5" s="12">
        <f>'COSTOS PRY'!$G$32</f>
        <v>31111858.186399996</v>
      </c>
      <c r="N5" s="12">
        <f>'COSTOS PRY'!$G$32</f>
        <v>31111858.186399996</v>
      </c>
      <c r="O5" s="12">
        <f>'COSTOS PRY'!$G$32</f>
        <v>31111858.186399996</v>
      </c>
      <c r="P5" s="12">
        <f>'COSTOS PRY'!$G$32</f>
        <v>31111858.186399996</v>
      </c>
    </row>
    <row r="6" spans="2:16" x14ac:dyDescent="0.25">
      <c r="B6" s="39"/>
      <c r="C6" t="s">
        <v>41</v>
      </c>
      <c r="D6" s="12">
        <v>0</v>
      </c>
      <c r="E6" s="12">
        <f>'COSTOS PRY'!$D$34</f>
        <v>25668000</v>
      </c>
      <c r="F6" s="12">
        <f>'COSTOS PRY'!$D$34</f>
        <v>25668000</v>
      </c>
      <c r="G6" s="12">
        <f>'COSTOS PRY'!$D$34</f>
        <v>25668000</v>
      </c>
      <c r="H6" s="12">
        <f>'COSTOS PRY'!$D$34</f>
        <v>25668000</v>
      </c>
      <c r="I6" s="12">
        <f>'COSTOS PRY'!$D$34</f>
        <v>25668000</v>
      </c>
      <c r="J6" s="12">
        <f>'COSTOS PRY'!$D$34</f>
        <v>25668000</v>
      </c>
      <c r="K6" s="12">
        <f>'COSTOS PRY'!$D$34</f>
        <v>25668000</v>
      </c>
      <c r="L6" s="12">
        <f>'COSTOS PRY'!$D$34</f>
        <v>25668000</v>
      </c>
      <c r="M6" s="12">
        <f>'COSTOS PRY'!$D$34</f>
        <v>25668000</v>
      </c>
      <c r="N6" s="12">
        <f>'COSTOS PRY'!$D$34</f>
        <v>25668000</v>
      </c>
      <c r="O6" s="12">
        <f>'COSTOS PRY'!$D$34</f>
        <v>25668000</v>
      </c>
      <c r="P6" s="12">
        <f>'COSTOS PRY'!$D$34</f>
        <v>25668000</v>
      </c>
    </row>
    <row r="7" spans="2:16" x14ac:dyDescent="0.25">
      <c r="B7" s="39"/>
      <c r="C7" t="s">
        <v>42</v>
      </c>
      <c r="D7" s="12">
        <v>0</v>
      </c>
      <c r="E7" s="12">
        <v>3000000</v>
      </c>
      <c r="F7" s="12">
        <v>3000000</v>
      </c>
      <c r="G7" s="12">
        <v>3000000</v>
      </c>
      <c r="H7" s="12">
        <v>3000000</v>
      </c>
      <c r="I7" s="12">
        <v>3000000</v>
      </c>
      <c r="J7" s="12">
        <v>3000000</v>
      </c>
      <c r="K7" s="12">
        <v>3000000</v>
      </c>
      <c r="L7" s="12">
        <v>3000000</v>
      </c>
      <c r="M7" s="12">
        <v>3000000</v>
      </c>
      <c r="N7" s="12">
        <v>3000000</v>
      </c>
      <c r="O7" s="12">
        <v>3000000</v>
      </c>
      <c r="P7" s="12">
        <v>3000000</v>
      </c>
    </row>
    <row r="8" spans="2:16" x14ac:dyDescent="0.25">
      <c r="B8" s="39"/>
      <c r="C8" t="s">
        <v>44</v>
      </c>
      <c r="D8" s="12">
        <v>0</v>
      </c>
      <c r="E8" s="12">
        <f>Prestamo!L6</f>
        <v>19358088.833333332</v>
      </c>
      <c r="F8" s="12">
        <f>Prestamo!$L7</f>
        <v>19780447.135151513</v>
      </c>
      <c r="G8" s="12">
        <f>Prestamo!$L8</f>
        <v>20215616.972124849</v>
      </c>
      <c r="H8" s="12">
        <f>Prestamo!$L9</f>
        <v>20664852.904838733</v>
      </c>
      <c r="I8" s="12">
        <f>Prestamo!$L10</f>
        <v>21129812.095197607</v>
      </c>
      <c r="J8" s="12">
        <f>Prestamo!$L11</f>
        <v>21612779.228802122</v>
      </c>
      <c r="K8" s="12">
        <f>Prestamo!$L12</f>
        <v>22117077.410807509</v>
      </c>
      <c r="L8" s="12">
        <f>Prestamo!$L13</f>
        <v>22647887.26866689</v>
      </c>
      <c r="M8" s="12">
        <f>Prestamo!$L14</f>
        <v>23214084.450383563</v>
      </c>
      <c r="N8" s="12">
        <f>Prestamo!$L15</f>
        <v>23833126.702393796</v>
      </c>
      <c r="O8" s="12">
        <f>Prestamo!$L16</f>
        <v>24548120.503465608</v>
      </c>
      <c r="P8" s="12">
        <f>Prestamo!$L17</f>
        <v>25530045.323604234</v>
      </c>
    </row>
    <row r="9" spans="2:16" x14ac:dyDescent="0.25">
      <c r="B9" s="39"/>
      <c r="C9" t="s">
        <v>73</v>
      </c>
      <c r="D9" s="12">
        <f>Datos!C9</f>
        <v>266930356.86000001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</row>
    <row r="10" spans="2:16" ht="6" customHeight="1" x14ac:dyDescent="0.25">
      <c r="B10" s="21"/>
      <c r="C10" s="22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2:16" x14ac:dyDescent="0.25">
      <c r="B11" s="23" t="s">
        <v>47</v>
      </c>
      <c r="C11" t="s">
        <v>79</v>
      </c>
      <c r="D11" s="12">
        <v>0</v>
      </c>
      <c r="E11" s="12">
        <f>$I$17</f>
        <v>120000000</v>
      </c>
      <c r="F11" s="12">
        <f t="shared" ref="F11:P11" si="0">$I$17</f>
        <v>120000000</v>
      </c>
      <c r="G11" s="12">
        <f t="shared" si="0"/>
        <v>120000000</v>
      </c>
      <c r="H11" s="12">
        <f t="shared" si="0"/>
        <v>120000000</v>
      </c>
      <c r="I11" s="12">
        <f t="shared" si="0"/>
        <v>120000000</v>
      </c>
      <c r="J11" s="12">
        <f t="shared" si="0"/>
        <v>120000000</v>
      </c>
      <c r="K11" s="12">
        <f t="shared" si="0"/>
        <v>120000000</v>
      </c>
      <c r="L11" s="12">
        <f t="shared" si="0"/>
        <v>120000000</v>
      </c>
      <c r="M11" s="12">
        <f t="shared" si="0"/>
        <v>120000000</v>
      </c>
      <c r="N11" s="12">
        <f t="shared" si="0"/>
        <v>120000000</v>
      </c>
      <c r="O11" s="12">
        <f t="shared" si="0"/>
        <v>120000000</v>
      </c>
      <c r="P11" s="12">
        <f t="shared" si="0"/>
        <v>120000000</v>
      </c>
    </row>
    <row r="12" spans="2:16" x14ac:dyDescent="0.25">
      <c r="B12" t="s">
        <v>69</v>
      </c>
      <c r="D12" s="13">
        <f>SUM(D11:D11)-SUM(D5:D9)</f>
        <v>-266930356.86000001</v>
      </c>
      <c r="E12" s="13">
        <f t="shared" ref="E12:P12" si="1">SUM(E11:E11)-SUM(E5:E8)</f>
        <v>40862052.980266675</v>
      </c>
      <c r="F12" s="13">
        <f t="shared" si="1"/>
        <v>40439694.678448498</v>
      </c>
      <c r="G12" s="13">
        <f t="shared" si="1"/>
        <v>40004524.841475159</v>
      </c>
      <c r="H12" s="13">
        <f t="shared" si="1"/>
        <v>39555288.908761263</v>
      </c>
      <c r="I12" s="13">
        <f t="shared" si="1"/>
        <v>39090329.718402401</v>
      </c>
      <c r="J12" s="13">
        <f t="shared" si="1"/>
        <v>38607362.584797889</v>
      </c>
      <c r="K12" s="13">
        <f t="shared" si="1"/>
        <v>38103064.402792498</v>
      </c>
      <c r="L12" s="13">
        <f t="shared" si="1"/>
        <v>37572254.54493311</v>
      </c>
      <c r="M12" s="13">
        <f t="shared" si="1"/>
        <v>37006057.363216445</v>
      </c>
      <c r="N12" s="13">
        <f t="shared" si="1"/>
        <v>36387015.111206204</v>
      </c>
      <c r="O12" s="13">
        <f t="shared" si="1"/>
        <v>35672021.310134396</v>
      </c>
      <c r="P12" s="13">
        <f t="shared" si="1"/>
        <v>34690096.489995778</v>
      </c>
    </row>
    <row r="14" spans="2:16" ht="13.8" thickBot="1" x14ac:dyDescent="0.3"/>
    <row r="15" spans="2:16" ht="54.6" customHeight="1" thickBot="1" x14ac:dyDescent="0.3">
      <c r="B15" s="40" t="s">
        <v>6</v>
      </c>
      <c r="C15" s="41"/>
      <c r="E15" s="10" t="s">
        <v>1</v>
      </c>
      <c r="F15" s="11">
        <v>0.05</v>
      </c>
    </row>
    <row r="16" spans="2:16" x14ac:dyDescent="0.25">
      <c r="B16" s="29"/>
      <c r="C16" s="30"/>
      <c r="E16" s="2"/>
      <c r="F16" s="1"/>
    </row>
    <row r="17" spans="2:9" x14ac:dyDescent="0.25">
      <c r="B17" s="25" t="s">
        <v>7</v>
      </c>
      <c r="C17" s="26">
        <f>SUM(E11:P11)</f>
        <v>1440000000</v>
      </c>
      <c r="E17" s="3" t="s">
        <v>2</v>
      </c>
      <c r="F17" s="4"/>
      <c r="H17" t="s">
        <v>74</v>
      </c>
      <c r="I17" s="12">
        <v>120000000</v>
      </c>
    </row>
    <row r="18" spans="2:9" x14ac:dyDescent="0.25">
      <c r="B18" s="25" t="s">
        <v>8</v>
      </c>
      <c r="C18" s="26">
        <f>SUM(E5:P7)</f>
        <v>717358298.23679996</v>
      </c>
      <c r="E18" s="5" t="s">
        <v>3</v>
      </c>
      <c r="F18" s="6">
        <f>NPV(F15,E12:P12)</f>
        <v>341009445.90478003</v>
      </c>
    </row>
    <row r="19" spans="2:9" x14ac:dyDescent="0.25">
      <c r="B19" s="25" t="s">
        <v>9</v>
      </c>
      <c r="C19" s="26">
        <f>C17-C18</f>
        <v>722641701.76320004</v>
      </c>
      <c r="E19" s="5" t="s">
        <v>0</v>
      </c>
      <c r="F19" s="7">
        <f>D9</f>
        <v>266930356.86000001</v>
      </c>
    </row>
    <row r="20" spans="2:9" ht="26.4" x14ac:dyDescent="0.25">
      <c r="B20" s="25" t="s">
        <v>10</v>
      </c>
      <c r="C20" s="26">
        <f>SUM(E8:P8)</f>
        <v>264651938.8287698</v>
      </c>
      <c r="E20" s="8" t="s">
        <v>4</v>
      </c>
      <c r="F20" s="9">
        <f>F18-F19</f>
        <v>74079089.044780016</v>
      </c>
    </row>
    <row r="21" spans="2:9" ht="26.4" x14ac:dyDescent="0.25">
      <c r="B21" s="25" t="s">
        <v>11</v>
      </c>
      <c r="C21" s="26">
        <f>C19-C20</f>
        <v>457989762.93443024</v>
      </c>
      <c r="E21" s="8" t="s">
        <v>5</v>
      </c>
      <c r="F21" s="24">
        <f>IRR(D12:P12)</f>
        <v>9.7741392876508293E-2</v>
      </c>
    </row>
    <row r="22" spans="2:9" ht="27" thickBot="1" x14ac:dyDescent="0.3">
      <c r="B22" s="27" t="s">
        <v>12</v>
      </c>
      <c r="C22" s="28">
        <f>C21-(C21*0.19)</f>
        <v>370971707.97688848</v>
      </c>
    </row>
  </sheetData>
  <mergeCells count="2">
    <mergeCell ref="B5:B9"/>
    <mergeCell ref="B15:C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4E06-930F-4524-B246-04747DB2E922}">
  <dimension ref="B4:P26"/>
  <sheetViews>
    <sheetView topLeftCell="A4" workbookViewId="0">
      <selection activeCell="F9" sqref="F9"/>
    </sheetView>
  </sheetViews>
  <sheetFormatPr defaultRowHeight="13.2" x14ac:dyDescent="0.25"/>
  <cols>
    <col min="2" max="2" width="20.44140625" customWidth="1"/>
    <col min="3" max="3" width="28.44140625" customWidth="1"/>
    <col min="4" max="4" width="18.5546875" customWidth="1"/>
    <col min="5" max="5" width="18.33203125" customWidth="1"/>
    <col min="6" max="6" width="18.109375" customWidth="1"/>
    <col min="7" max="16" width="19" customWidth="1"/>
  </cols>
  <sheetData>
    <row r="4" spans="2:16" x14ac:dyDescent="0.25"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  <c r="P4" t="s">
        <v>39</v>
      </c>
    </row>
    <row r="5" spans="2:16" x14ac:dyDescent="0.25">
      <c r="B5" s="39" t="s">
        <v>45</v>
      </c>
      <c r="C5" t="s">
        <v>40</v>
      </c>
      <c r="D5" s="12">
        <v>0</v>
      </c>
      <c r="E5" s="12">
        <f>'COSTOS PRY'!$G$32</f>
        <v>31111858.186399996</v>
      </c>
      <c r="F5" s="12">
        <f>'COSTOS PRY'!$G$32</f>
        <v>31111858.186399996</v>
      </c>
      <c r="G5" s="12">
        <f>'COSTOS PRY'!$G$32</f>
        <v>31111858.186399996</v>
      </c>
      <c r="H5" s="12">
        <f>'COSTOS PRY'!$G$32</f>
        <v>31111858.186399996</v>
      </c>
      <c r="I5" s="12">
        <f>'COSTOS PRY'!$G$32</f>
        <v>31111858.186399996</v>
      </c>
      <c r="J5" s="12">
        <f>'COSTOS PRY'!$G$32</f>
        <v>31111858.186399996</v>
      </c>
      <c r="K5" s="12">
        <f>'COSTOS PRY'!$G$32</f>
        <v>31111858.186399996</v>
      </c>
      <c r="L5" s="12">
        <f>'COSTOS PRY'!$G$32</f>
        <v>31111858.186399996</v>
      </c>
      <c r="M5" s="12">
        <f>'COSTOS PRY'!$G$32</f>
        <v>31111858.186399996</v>
      </c>
      <c r="N5" s="12">
        <f>'COSTOS PRY'!$G$32</f>
        <v>31111858.186399996</v>
      </c>
      <c r="O5" s="12">
        <f>'COSTOS PRY'!$G$32</f>
        <v>31111858.186399996</v>
      </c>
      <c r="P5" s="12">
        <f>'COSTOS PRY'!$G$32</f>
        <v>31111858.186399996</v>
      </c>
    </row>
    <row r="6" spans="2:16" x14ac:dyDescent="0.25">
      <c r="B6" s="39"/>
      <c r="C6" t="s">
        <v>41</v>
      </c>
      <c r="D6" s="12">
        <v>0</v>
      </c>
      <c r="E6" s="12">
        <f>'COSTOS PRY'!$D$34</f>
        <v>25668000</v>
      </c>
      <c r="F6" s="12">
        <f>'COSTOS PRY'!$D$34</f>
        <v>25668000</v>
      </c>
      <c r="G6" s="12">
        <f>'COSTOS PRY'!$D$34</f>
        <v>25668000</v>
      </c>
      <c r="H6" s="12">
        <f>'COSTOS PRY'!$D$34</f>
        <v>25668000</v>
      </c>
      <c r="I6" s="12">
        <f>'COSTOS PRY'!$D$34</f>
        <v>25668000</v>
      </c>
      <c r="J6" s="12">
        <f>'COSTOS PRY'!$D$34</f>
        <v>25668000</v>
      </c>
      <c r="K6" s="12">
        <f>'COSTOS PRY'!$D$34</f>
        <v>25668000</v>
      </c>
      <c r="L6" s="12">
        <f>'COSTOS PRY'!$D$34</f>
        <v>25668000</v>
      </c>
      <c r="M6" s="12">
        <f>'COSTOS PRY'!$D$34</f>
        <v>25668000</v>
      </c>
      <c r="N6" s="12">
        <f>'COSTOS PRY'!$D$34</f>
        <v>25668000</v>
      </c>
      <c r="O6" s="12">
        <f>'COSTOS PRY'!$D$34</f>
        <v>25668000</v>
      </c>
      <c r="P6" s="12">
        <f>'COSTOS PRY'!$D$34</f>
        <v>25668000</v>
      </c>
    </row>
    <row r="7" spans="2:16" x14ac:dyDescent="0.25">
      <c r="B7" s="39"/>
      <c r="C7" t="s">
        <v>42</v>
      </c>
      <c r="D7" s="12">
        <v>0</v>
      </c>
      <c r="E7" s="12">
        <v>3000000</v>
      </c>
      <c r="F7" s="12">
        <v>3000000</v>
      </c>
      <c r="G7" s="12">
        <v>3000000</v>
      </c>
      <c r="H7" s="12">
        <v>3000000</v>
      </c>
      <c r="I7" s="12">
        <v>3000000</v>
      </c>
      <c r="J7" s="12">
        <v>3000000</v>
      </c>
      <c r="K7" s="12">
        <v>3000000</v>
      </c>
      <c r="L7" s="12">
        <v>3000000</v>
      </c>
      <c r="M7" s="12">
        <v>3000000</v>
      </c>
      <c r="N7" s="12">
        <v>3000000</v>
      </c>
      <c r="O7" s="12">
        <v>3000000</v>
      </c>
      <c r="P7" s="12">
        <v>3000000</v>
      </c>
    </row>
    <row r="8" spans="2:16" x14ac:dyDescent="0.25">
      <c r="B8" s="39"/>
      <c r="C8" t="s">
        <v>43</v>
      </c>
      <c r="D8" s="12">
        <v>0</v>
      </c>
      <c r="E8" s="12">
        <f>Datos!$C$2*Datos!$C$4+Datos!$C$3*Datos!$C$5</f>
        <v>1066960000</v>
      </c>
      <c r="F8" s="12">
        <f>Datos!$C$2*Datos!$C$4+Datos!$C$3*Datos!$C$5</f>
        <v>1066960000</v>
      </c>
      <c r="G8" s="12">
        <f>Datos!$C$2*Datos!$C$4+Datos!$C$3*Datos!$C$5</f>
        <v>1066960000</v>
      </c>
      <c r="H8" s="12">
        <f>Datos!$C$2*Datos!$C$4+Datos!$C$3*Datos!$C$5</f>
        <v>1066960000</v>
      </c>
      <c r="I8" s="12">
        <f>Datos!$C$2*Datos!$C$4+Datos!$C$3*Datos!$C$5</f>
        <v>1066960000</v>
      </c>
      <c r="J8" s="12">
        <f>Datos!$C$2*Datos!$C$4+Datos!$C$3*Datos!$C$5</f>
        <v>1066960000</v>
      </c>
      <c r="K8" s="12">
        <f>Datos!$C$2*Datos!$C$4+Datos!$C$3*Datos!$C$5</f>
        <v>1066960000</v>
      </c>
      <c r="L8" s="12">
        <f>Datos!$C$2*Datos!$C$4+Datos!$C$3*Datos!$C$5</f>
        <v>1066960000</v>
      </c>
      <c r="M8" s="12">
        <f>Datos!$C$2*Datos!$C$4+Datos!$C$3*Datos!$C$5</f>
        <v>1066960000</v>
      </c>
      <c r="N8" s="12">
        <f>Datos!$C$2*Datos!$C$4+Datos!$C$3*Datos!$C$5</f>
        <v>1066960000</v>
      </c>
      <c r="O8" s="12">
        <f>Datos!$C$2*Datos!$C$4+Datos!$C$3*Datos!$C$5</f>
        <v>1066960000</v>
      </c>
      <c r="P8" s="12">
        <f>Datos!$C$2*Datos!$C$4+Datos!$C$3*Datos!$C$5</f>
        <v>1066960000</v>
      </c>
    </row>
    <row r="9" spans="2:16" x14ac:dyDescent="0.25">
      <c r="B9" s="39"/>
      <c r="C9" t="s">
        <v>67</v>
      </c>
      <c r="D9" s="12">
        <v>0</v>
      </c>
      <c r="E9" s="12">
        <f>Cotizaciónes!$C$6</f>
        <v>23617760</v>
      </c>
      <c r="F9" s="12">
        <f>Cotizaciónes!$C$6</f>
        <v>23617760</v>
      </c>
      <c r="G9" s="12">
        <f>Cotizaciónes!$C$6</f>
        <v>23617760</v>
      </c>
      <c r="H9" s="12">
        <f>Cotizaciónes!$C$6</f>
        <v>23617760</v>
      </c>
      <c r="I9" s="12">
        <f>Cotizaciónes!$C$6</f>
        <v>23617760</v>
      </c>
      <c r="J9" s="12">
        <f>Cotizaciónes!$C$6</f>
        <v>23617760</v>
      </c>
      <c r="K9" s="12">
        <f>Cotizaciónes!$C$6</f>
        <v>23617760</v>
      </c>
      <c r="L9" s="12">
        <f>Cotizaciónes!$C$6</f>
        <v>23617760</v>
      </c>
      <c r="M9" s="12">
        <f>Cotizaciónes!$C$6</f>
        <v>23617760</v>
      </c>
      <c r="N9" s="12">
        <f>Cotizaciónes!$C$6</f>
        <v>23617760</v>
      </c>
      <c r="O9" s="12">
        <f>Cotizaciónes!$C$6</f>
        <v>23617760</v>
      </c>
      <c r="P9" s="12">
        <f>Cotizaciónes!$C$6</f>
        <v>23617760</v>
      </c>
    </row>
    <row r="10" spans="2:16" x14ac:dyDescent="0.25">
      <c r="B10" s="39"/>
      <c r="C10" t="s">
        <v>44</v>
      </c>
      <c r="D10" s="12">
        <v>0</v>
      </c>
      <c r="E10" s="12">
        <f>Prestamo!H6</f>
        <v>118107331.25386667</v>
      </c>
      <c r="F10" s="12">
        <f>Prestamo!$H7</f>
        <v>120684218.48122376</v>
      </c>
      <c r="G10" s="12">
        <f>Prestamo!$H8</f>
        <v>123339271.28781068</v>
      </c>
      <c r="H10" s="12">
        <f>Prestamo!$H9</f>
        <v>126080143.98309538</v>
      </c>
      <c r="I10" s="12">
        <f>Prestamo!$H10</f>
        <v>128916947.22271502</v>
      </c>
      <c r="J10" s="12">
        <f>Prestamo!$H11</f>
        <v>131863620.30209136</v>
      </c>
      <c r="K10" s="12">
        <f>Prestamo!$H12</f>
        <v>134940438.10914016</v>
      </c>
      <c r="L10" s="12">
        <f>Prestamo!$H13</f>
        <v>138179008.62375954</v>
      </c>
      <c r="M10" s="12">
        <f>Prestamo!$H14</f>
        <v>141633483.83935353</v>
      </c>
      <c r="N10" s="12">
        <f>Prestamo!$H15</f>
        <v>145410376.74173629</v>
      </c>
      <c r="O10" s="12">
        <f>Prestamo!$H16</f>
        <v>149772688.04398838</v>
      </c>
      <c r="P10" s="12">
        <f>Prestamo!$H17</f>
        <v>155763595.56574795</v>
      </c>
    </row>
    <row r="11" spans="2:16" x14ac:dyDescent="0.25">
      <c r="B11" s="39"/>
      <c r="C11" t="s">
        <v>70</v>
      </c>
      <c r="D11" s="12">
        <v>0</v>
      </c>
      <c r="E11" s="12">
        <f>E8*0.19</f>
        <v>202722400</v>
      </c>
      <c r="F11" s="12">
        <f t="shared" ref="F11:P11" si="0">F8*0.19</f>
        <v>202722400</v>
      </c>
      <c r="G11" s="12">
        <f t="shared" si="0"/>
        <v>202722400</v>
      </c>
      <c r="H11" s="12">
        <f t="shared" si="0"/>
        <v>202722400</v>
      </c>
      <c r="I11" s="12">
        <f t="shared" si="0"/>
        <v>202722400</v>
      </c>
      <c r="J11" s="12">
        <f t="shared" si="0"/>
        <v>202722400</v>
      </c>
      <c r="K11" s="12">
        <f t="shared" si="0"/>
        <v>202722400</v>
      </c>
      <c r="L11" s="12">
        <f t="shared" si="0"/>
        <v>202722400</v>
      </c>
      <c r="M11" s="12">
        <f t="shared" si="0"/>
        <v>202722400</v>
      </c>
      <c r="N11" s="12">
        <f t="shared" si="0"/>
        <v>202722400</v>
      </c>
      <c r="O11" s="12">
        <f t="shared" si="0"/>
        <v>202722400</v>
      </c>
      <c r="P11" s="12">
        <f t="shared" si="0"/>
        <v>202722400</v>
      </c>
    </row>
    <row r="12" spans="2:16" x14ac:dyDescent="0.25">
      <c r="B12" s="39"/>
      <c r="C12" t="s">
        <v>73</v>
      </c>
      <c r="D12" s="12">
        <f>Datos!C8</f>
        <v>1417287975.0464001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</row>
    <row r="13" spans="2:16" ht="6" customHeight="1" x14ac:dyDescent="0.25">
      <c r="B13" s="21"/>
      <c r="C13" s="22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2:16" x14ac:dyDescent="0.25">
      <c r="B14" s="39" t="s">
        <v>47</v>
      </c>
      <c r="C14" t="s">
        <v>48</v>
      </c>
      <c r="D14" s="12">
        <v>0</v>
      </c>
      <c r="E14" s="12">
        <f>(Datos!$C$6*Datos!$C$2*0.9)+(Datos!$C$7*Datos!$C$3*0.9)</f>
        <v>1599312000</v>
      </c>
      <c r="F14" s="12">
        <f>(Datos!$C$6*Datos!$C$2*0.9)+(Datos!$C$7*Datos!$C$3*0.9)</f>
        <v>1599312000</v>
      </c>
      <c r="G14" s="12">
        <f>(Datos!$C$6*Datos!$C$2*0.9)+(Datos!$C$7*Datos!$C$3*0.9)</f>
        <v>1599312000</v>
      </c>
      <c r="H14" s="12">
        <f>(Datos!$C$6*Datos!$C$2*0.9)+(Datos!$C$7*Datos!$C$3*0.9)</f>
        <v>1599312000</v>
      </c>
      <c r="I14" s="12">
        <f>(Datos!$C$6*Datos!$C$2*0.9)+(Datos!$C$7*Datos!$C$3*0.9)</f>
        <v>1599312000</v>
      </c>
      <c r="J14" s="12">
        <f>(Datos!$C$6*Datos!$C$2*0.9)+(Datos!$C$7*Datos!$C$3*0.9)</f>
        <v>1599312000</v>
      </c>
      <c r="K14" s="12">
        <f>(Datos!$C$6*Datos!$C$2*0.9)+(Datos!$C$7*Datos!$C$3*0.9)</f>
        <v>1599312000</v>
      </c>
      <c r="L14" s="12">
        <f>(Datos!$C$6*Datos!$C$2*0.9)+(Datos!$C$7*Datos!$C$3*0.9)</f>
        <v>1599312000</v>
      </c>
      <c r="M14" s="12">
        <f>(Datos!$C$6*Datos!$C$2*0.9)+(Datos!$C$7*Datos!$C$3*0.9)</f>
        <v>1599312000</v>
      </c>
      <c r="N14" s="12">
        <f>(Datos!$C$6*Datos!$C$2*0.9)+(Datos!$C$7*Datos!$C$3*0.9)</f>
        <v>1599312000</v>
      </c>
      <c r="O14" s="12">
        <f>(Datos!$C$6*Datos!$C$2*0.9)+(Datos!$C$7*Datos!$C$3*0.9)</f>
        <v>1599312000</v>
      </c>
      <c r="P14" s="12">
        <f>(Datos!$C$6*Datos!$C$2*0.9)+(Datos!$C$7*Datos!$C$3*0.9)</f>
        <v>1599312000</v>
      </c>
    </row>
    <row r="15" spans="2:16" x14ac:dyDescent="0.25">
      <c r="B15" s="39"/>
      <c r="C15" t="s">
        <v>46</v>
      </c>
      <c r="D15" s="12">
        <v>0</v>
      </c>
      <c r="E15" s="12">
        <f>(Datos!$C$4*Datos!$C$2*0.1)+(Datos!$C$5*Datos!$C$3*0.1)</f>
        <v>106696000</v>
      </c>
      <c r="F15" s="12">
        <f>(Datos!$C$4*Datos!$C$2*0.1)+(Datos!$C$5*Datos!$C$3*0.1)</f>
        <v>106696000</v>
      </c>
      <c r="G15" s="12">
        <f>(Datos!$C$4*Datos!$C$2*0.1)+(Datos!$C$5*Datos!$C$3*0.1)</f>
        <v>106696000</v>
      </c>
      <c r="H15" s="12">
        <f>(Datos!$C$4*Datos!$C$2*0.1)+(Datos!$C$5*Datos!$C$3*0.1)</f>
        <v>106696000</v>
      </c>
      <c r="I15" s="12">
        <f>(Datos!$C$4*Datos!$C$2*0.1)+(Datos!$C$5*Datos!$C$3*0.1)</f>
        <v>106696000</v>
      </c>
      <c r="J15" s="12">
        <f>(Datos!$C$4*Datos!$C$2*0.1)+(Datos!$C$5*Datos!$C$3*0.1)</f>
        <v>106696000</v>
      </c>
      <c r="K15" s="12">
        <f>(Datos!$C$4*Datos!$C$2*0.1)+(Datos!$C$5*Datos!$C$3*0.1)</f>
        <v>106696000</v>
      </c>
      <c r="L15" s="12">
        <f>(Datos!$C$4*Datos!$C$2*0.1)+(Datos!$C$5*Datos!$C$3*0.1)</f>
        <v>106696000</v>
      </c>
      <c r="M15" s="12">
        <f>(Datos!$C$4*Datos!$C$2*0.1)+(Datos!$C$5*Datos!$C$3*0.1)</f>
        <v>106696000</v>
      </c>
      <c r="N15" s="12">
        <f>(Datos!$C$4*Datos!$C$2*0.1)+(Datos!$C$5*Datos!$C$3*0.1)</f>
        <v>106696000</v>
      </c>
      <c r="O15" s="12">
        <f>(Datos!$C$4*Datos!$C$2*0.1)+(Datos!$C$5*Datos!$C$3*0.1)</f>
        <v>106696000</v>
      </c>
      <c r="P15" s="12">
        <f>(Datos!$C$4*Datos!$C$2*0.1)+(Datos!$C$5*Datos!$C$3*0.1)</f>
        <v>106696000</v>
      </c>
    </row>
    <row r="16" spans="2:16" x14ac:dyDescent="0.25">
      <c r="B16" t="s">
        <v>69</v>
      </c>
      <c r="D16" s="13">
        <f>SUM(D14:D15)-SUM(D5:D12)</f>
        <v>-1417287975.0464001</v>
      </c>
      <c r="E16" s="13">
        <f t="shared" ref="E16:P16" si="1">SUM(E14:E15)-SUM(E5:E11)</f>
        <v>234820650.55973339</v>
      </c>
      <c r="F16" s="13">
        <f t="shared" si="1"/>
        <v>232243763.33237624</v>
      </c>
      <c r="G16" s="13">
        <f t="shared" si="1"/>
        <v>229588710.52578926</v>
      </c>
      <c r="H16" s="13">
        <f t="shared" si="1"/>
        <v>226847837.83050466</v>
      </c>
      <c r="I16" s="13">
        <f t="shared" si="1"/>
        <v>224011034.59088516</v>
      </c>
      <c r="J16" s="13">
        <f t="shared" si="1"/>
        <v>221064361.5115087</v>
      </c>
      <c r="K16" s="13">
        <f t="shared" si="1"/>
        <v>217987543.70445991</v>
      </c>
      <c r="L16" s="13">
        <f t="shared" si="1"/>
        <v>214748973.18984056</v>
      </c>
      <c r="M16" s="13">
        <f t="shared" si="1"/>
        <v>211294497.9742465</v>
      </c>
      <c r="N16" s="13">
        <f t="shared" si="1"/>
        <v>207517605.07186365</v>
      </c>
      <c r="O16" s="13">
        <f t="shared" si="1"/>
        <v>203155293.7696116</v>
      </c>
      <c r="P16" s="13">
        <f t="shared" si="1"/>
        <v>197164386.24785209</v>
      </c>
    </row>
    <row r="18" spans="2:6" ht="13.8" thickBot="1" x14ac:dyDescent="0.3"/>
    <row r="19" spans="2:6" ht="54.6" customHeight="1" thickBot="1" x14ac:dyDescent="0.3">
      <c r="B19" s="40" t="s">
        <v>6</v>
      </c>
      <c r="C19" s="41"/>
      <c r="E19" s="10" t="s">
        <v>81</v>
      </c>
      <c r="F19" s="11">
        <v>0.05</v>
      </c>
    </row>
    <row r="20" spans="2:6" x14ac:dyDescent="0.25">
      <c r="B20" s="29"/>
      <c r="C20" s="30"/>
      <c r="E20" s="2"/>
      <c r="F20" s="1"/>
    </row>
    <row r="21" spans="2:6" x14ac:dyDescent="0.25">
      <c r="B21" s="25" t="s">
        <v>7</v>
      </c>
      <c r="C21" s="26">
        <f>SUM(E14:P15)</f>
        <v>20472096000</v>
      </c>
      <c r="E21" s="3" t="s">
        <v>2</v>
      </c>
      <c r="F21" s="4"/>
    </row>
    <row r="22" spans="2:6" x14ac:dyDescent="0.25">
      <c r="B22" s="25" t="s">
        <v>8</v>
      </c>
      <c r="C22" s="26">
        <f>SUM(E5:P9)</f>
        <v>13804291418.236801</v>
      </c>
      <c r="E22" s="5" t="s">
        <v>3</v>
      </c>
      <c r="F22" s="6">
        <f>NPV(F19,E16:P16)</f>
        <v>1952165991.1619432</v>
      </c>
    </row>
    <row r="23" spans="2:6" x14ac:dyDescent="0.25">
      <c r="B23" s="25" t="s">
        <v>9</v>
      </c>
      <c r="C23" s="26">
        <f>C21-C22</f>
        <v>6667804581.7631989</v>
      </c>
      <c r="E23" s="5" t="s">
        <v>0</v>
      </c>
      <c r="F23" s="7">
        <f>D12</f>
        <v>1417287975.0464001</v>
      </c>
    </row>
    <row r="24" spans="2:6" ht="26.4" x14ac:dyDescent="0.25">
      <c r="B24" s="25" t="s">
        <v>10</v>
      </c>
      <c r="C24" s="26">
        <f>SUM(E10:P10)</f>
        <v>1614691123.4545288</v>
      </c>
      <c r="E24" s="8" t="s">
        <v>4</v>
      </c>
      <c r="F24" s="9">
        <f>F22-F23</f>
        <v>534878016.11554313</v>
      </c>
    </row>
    <row r="25" spans="2:6" ht="26.4" x14ac:dyDescent="0.25">
      <c r="B25" s="25" t="s">
        <v>11</v>
      </c>
      <c r="C25" s="26">
        <f>C23-C24</f>
        <v>5053113458.30867</v>
      </c>
      <c r="E25" s="8" t="s">
        <v>5</v>
      </c>
      <c r="F25" s="24">
        <f>IRR(D16:P16)</f>
        <v>0.11393550139415032</v>
      </c>
    </row>
    <row r="26" spans="2:6" ht="27" thickBot="1" x14ac:dyDescent="0.3">
      <c r="B26" s="27" t="s">
        <v>12</v>
      </c>
      <c r="C26" s="28">
        <f>C25-SUM(E11:P11)</f>
        <v>2620444658.30867</v>
      </c>
    </row>
  </sheetData>
  <mergeCells count="3">
    <mergeCell ref="B14:B15"/>
    <mergeCell ref="B5:B12"/>
    <mergeCell ref="B19:C19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15420-8E99-4DFA-A905-BD022E7B42F7}">
  <dimension ref="C2:P36"/>
  <sheetViews>
    <sheetView topLeftCell="A10" workbookViewId="0">
      <selection activeCell="D36" sqref="D36"/>
    </sheetView>
  </sheetViews>
  <sheetFormatPr defaultColWidth="11.5546875" defaultRowHeight="13.2" x14ac:dyDescent="0.25"/>
  <cols>
    <col min="3" max="3" width="17.33203125" customWidth="1"/>
    <col min="4" max="4" width="23.21875" customWidth="1"/>
    <col min="5" max="5" width="12.44140625" customWidth="1"/>
    <col min="6" max="6" width="21.6640625" customWidth="1"/>
    <col min="7" max="7" width="15.77734375" customWidth="1"/>
    <col min="8" max="8" width="10.109375" customWidth="1"/>
    <col min="9" max="9" width="14.44140625" customWidth="1"/>
    <col min="11" max="11" width="19.6640625" customWidth="1"/>
  </cols>
  <sheetData>
    <row r="2" spans="3:16" x14ac:dyDescent="0.25">
      <c r="F2" t="s">
        <v>82</v>
      </c>
      <c r="G2" t="s">
        <v>87</v>
      </c>
      <c r="H2" t="s">
        <v>56</v>
      </c>
      <c r="I2" t="s">
        <v>83</v>
      </c>
      <c r="K2" t="s">
        <v>84</v>
      </c>
      <c r="L2" t="s">
        <v>87</v>
      </c>
      <c r="M2" t="s">
        <v>56</v>
      </c>
      <c r="O2" t="s">
        <v>85</v>
      </c>
      <c r="P2" t="s">
        <v>56</v>
      </c>
    </row>
    <row r="3" spans="3:16" x14ac:dyDescent="0.25">
      <c r="C3" t="s">
        <v>13</v>
      </c>
      <c r="D3" t="s">
        <v>56</v>
      </c>
      <c r="F3" t="s">
        <v>88</v>
      </c>
      <c r="G3">
        <v>1</v>
      </c>
      <c r="H3">
        <v>12000000</v>
      </c>
      <c r="K3" t="s">
        <v>86</v>
      </c>
      <c r="L3">
        <v>2</v>
      </c>
    </row>
    <row r="4" spans="3:16" x14ac:dyDescent="0.25">
      <c r="C4" t="s">
        <v>16</v>
      </c>
      <c r="D4" s="16">
        <v>21000000</v>
      </c>
      <c r="F4" t="s">
        <v>89</v>
      </c>
      <c r="G4">
        <v>1</v>
      </c>
      <c r="H4">
        <v>8100000</v>
      </c>
      <c r="K4" t="s">
        <v>95</v>
      </c>
      <c r="L4">
        <v>3</v>
      </c>
    </row>
    <row r="5" spans="3:16" x14ac:dyDescent="0.25">
      <c r="C5" t="s">
        <v>17</v>
      </c>
      <c r="D5" s="12">
        <f>30000*3956</f>
        <v>118680000</v>
      </c>
      <c r="F5" t="s">
        <v>90</v>
      </c>
      <c r="G5">
        <v>1</v>
      </c>
      <c r="H5">
        <v>7500000</v>
      </c>
    </row>
    <row r="6" spans="3:16" x14ac:dyDescent="0.25">
      <c r="C6" t="s">
        <v>57</v>
      </c>
      <c r="D6" s="16">
        <f>SUMPRODUCT(G3:G10,H3:H10)</f>
        <v>92617066</v>
      </c>
      <c r="F6" t="s">
        <v>91</v>
      </c>
      <c r="G6">
        <v>1</v>
      </c>
      <c r="H6">
        <v>6200000</v>
      </c>
    </row>
    <row r="7" spans="3:16" x14ac:dyDescent="0.25">
      <c r="C7" t="s">
        <v>58</v>
      </c>
      <c r="D7" s="12">
        <f>SUM(D4:D6)</f>
        <v>232297066</v>
      </c>
      <c r="F7" t="s">
        <v>92</v>
      </c>
      <c r="G7">
        <v>5</v>
      </c>
      <c r="H7">
        <v>5500000</v>
      </c>
    </row>
    <row r="8" spans="3:16" x14ac:dyDescent="0.25">
      <c r="F8" t="s">
        <v>93</v>
      </c>
      <c r="G8">
        <v>3</v>
      </c>
      <c r="H8">
        <v>5800000</v>
      </c>
    </row>
    <row r="9" spans="3:16" x14ac:dyDescent="0.25">
      <c r="F9" t="s">
        <v>94</v>
      </c>
      <c r="G9">
        <v>1</v>
      </c>
      <c r="H9">
        <v>13500000</v>
      </c>
    </row>
    <row r="10" spans="3:16" x14ac:dyDescent="0.25">
      <c r="C10" t="s">
        <v>14</v>
      </c>
      <c r="D10" t="s">
        <v>56</v>
      </c>
      <c r="F10" t="s">
        <v>96</v>
      </c>
      <c r="G10">
        <v>2</v>
      </c>
      <c r="H10">
        <f>53.47*3900</f>
        <v>208533</v>
      </c>
    </row>
    <row r="11" spans="3:16" x14ac:dyDescent="0.25">
      <c r="C11" t="s">
        <v>18</v>
      </c>
      <c r="D11" s="14">
        <v>8376290.8600000003</v>
      </c>
    </row>
    <row r="12" spans="3:16" x14ac:dyDescent="0.25">
      <c r="C12" t="s">
        <v>19</v>
      </c>
      <c r="D12" s="12">
        <v>22320000</v>
      </c>
    </row>
    <row r="13" spans="3:16" x14ac:dyDescent="0.25">
      <c r="C13" t="s">
        <v>20</v>
      </c>
      <c r="D13" s="15">
        <v>3937000</v>
      </c>
    </row>
    <row r="14" spans="3:16" x14ac:dyDescent="0.25">
      <c r="C14" t="s">
        <v>58</v>
      </c>
      <c r="D14" s="12">
        <f>SUM(D11:D13)</f>
        <v>34633290.859999999</v>
      </c>
    </row>
    <row r="16" spans="3:16" x14ac:dyDescent="0.25">
      <c r="C16" t="s">
        <v>15</v>
      </c>
      <c r="D16" t="s">
        <v>53</v>
      </c>
      <c r="E16" t="s">
        <v>54</v>
      </c>
      <c r="F16" t="s">
        <v>55</v>
      </c>
      <c r="G16" t="s">
        <v>58</v>
      </c>
    </row>
    <row r="17" spans="3:7" x14ac:dyDescent="0.25">
      <c r="C17" s="19" t="s">
        <v>62</v>
      </c>
      <c r="D17" s="15">
        <v>908526</v>
      </c>
      <c r="E17" s="12">
        <f>D17*0.0696</f>
        <v>63233.409599999999</v>
      </c>
      <c r="F17" s="12">
        <f>D17*0.25</f>
        <v>227131.5</v>
      </c>
      <c r="G17" s="12">
        <f>SUM(D17:F17)</f>
        <v>1198890.9095999999</v>
      </c>
    </row>
    <row r="18" spans="3:7" x14ac:dyDescent="0.25">
      <c r="C18" s="19" t="s">
        <v>62</v>
      </c>
      <c r="D18" s="15">
        <v>908526</v>
      </c>
      <c r="E18" s="12">
        <f t="shared" ref="E18:E31" si="0">D18*0.0696</f>
        <v>63233.409599999999</v>
      </c>
      <c r="F18" s="12">
        <f t="shared" ref="F18" si="1">D18*0.25</f>
        <v>227131.5</v>
      </c>
      <c r="G18" s="12">
        <f t="shared" ref="G18" si="2">SUM(D18:F18)</f>
        <v>1198890.9095999999</v>
      </c>
    </row>
    <row r="19" spans="3:7" x14ac:dyDescent="0.25">
      <c r="C19" s="19" t="s">
        <v>62</v>
      </c>
      <c r="D19" s="15">
        <v>908526</v>
      </c>
      <c r="E19" s="12">
        <f>D19*0.0696</f>
        <v>63233.409599999999</v>
      </c>
      <c r="F19" s="12">
        <f>D19*0.25</f>
        <v>227131.5</v>
      </c>
      <c r="G19" s="12">
        <f>SUM(D19:F19)</f>
        <v>1198890.9095999999</v>
      </c>
    </row>
    <row r="20" spans="3:7" x14ac:dyDescent="0.25">
      <c r="C20" s="19" t="s">
        <v>62</v>
      </c>
      <c r="D20" s="15">
        <v>908526</v>
      </c>
      <c r="E20" s="12">
        <f t="shared" si="0"/>
        <v>63233.409599999999</v>
      </c>
      <c r="F20" s="12">
        <f t="shared" ref="F20:F31" si="3">D20*0.25</f>
        <v>227131.5</v>
      </c>
      <c r="G20" s="12">
        <f t="shared" ref="G20:G31" si="4">SUM(D20:F20)</f>
        <v>1198890.9095999999</v>
      </c>
    </row>
    <row r="21" spans="3:7" x14ac:dyDescent="0.25">
      <c r="C21" s="19" t="s">
        <v>62</v>
      </c>
      <c r="D21" s="15">
        <v>908526</v>
      </c>
      <c r="E21" s="12">
        <f t="shared" si="0"/>
        <v>63233.409599999999</v>
      </c>
      <c r="F21" s="12">
        <f t="shared" si="3"/>
        <v>227131.5</v>
      </c>
      <c r="G21" s="12">
        <f t="shared" si="4"/>
        <v>1198890.9095999999</v>
      </c>
    </row>
    <row r="22" spans="3:7" x14ac:dyDescent="0.25">
      <c r="C22" s="19" t="s">
        <v>62</v>
      </c>
      <c r="D22" s="15">
        <v>908526</v>
      </c>
      <c r="E22" s="12">
        <f t="shared" si="0"/>
        <v>63233.409599999999</v>
      </c>
      <c r="F22" s="12">
        <f t="shared" si="3"/>
        <v>227131.5</v>
      </c>
      <c r="G22" s="12">
        <f t="shared" si="4"/>
        <v>1198890.9095999999</v>
      </c>
    </row>
    <row r="23" spans="3:7" x14ac:dyDescent="0.25">
      <c r="C23" s="19" t="s">
        <v>63</v>
      </c>
      <c r="D23" s="16">
        <v>1400000</v>
      </c>
      <c r="E23" s="12">
        <f t="shared" si="0"/>
        <v>97440</v>
      </c>
      <c r="F23" s="12">
        <f t="shared" si="3"/>
        <v>350000</v>
      </c>
      <c r="G23" s="12">
        <f t="shared" si="4"/>
        <v>1847440</v>
      </c>
    </row>
    <row r="24" spans="3:7" x14ac:dyDescent="0.25">
      <c r="C24" s="19" t="s">
        <v>64</v>
      </c>
      <c r="D24" s="16">
        <v>1500000</v>
      </c>
      <c r="E24" s="12">
        <f t="shared" si="0"/>
        <v>104400</v>
      </c>
      <c r="F24" s="12">
        <f t="shared" si="3"/>
        <v>375000</v>
      </c>
      <c r="G24" s="12">
        <f t="shared" si="4"/>
        <v>1979400</v>
      </c>
    </row>
    <row r="25" spans="3:7" x14ac:dyDescent="0.25">
      <c r="C25" s="19" t="s">
        <v>64</v>
      </c>
      <c r="D25" s="16">
        <v>1500000</v>
      </c>
      <c r="E25" s="12">
        <f t="shared" si="0"/>
        <v>104400</v>
      </c>
      <c r="F25" s="12">
        <f t="shared" si="3"/>
        <v>375000</v>
      </c>
      <c r="G25" s="12">
        <f t="shared" si="4"/>
        <v>1979400</v>
      </c>
    </row>
    <row r="26" spans="3:7" x14ac:dyDescent="0.25">
      <c r="C26" s="19" t="s">
        <v>65</v>
      </c>
      <c r="D26" s="16">
        <v>2000000</v>
      </c>
      <c r="E26" s="12">
        <f t="shared" si="0"/>
        <v>139200</v>
      </c>
      <c r="F26" s="12">
        <f t="shared" si="3"/>
        <v>500000</v>
      </c>
      <c r="G26" s="12">
        <f t="shared" si="4"/>
        <v>2639200</v>
      </c>
    </row>
    <row r="27" spans="3:7" x14ac:dyDescent="0.25">
      <c r="C27" s="19" t="s">
        <v>65</v>
      </c>
      <c r="D27" s="16">
        <v>2000000</v>
      </c>
      <c r="E27" s="12">
        <f t="shared" ref="E27:E28" si="5">D27*0.0696</f>
        <v>139200</v>
      </c>
      <c r="F27" s="12">
        <f t="shared" ref="F27:F28" si="6">D27*0.25</f>
        <v>500000</v>
      </c>
      <c r="G27" s="12">
        <f t="shared" ref="G27:G28" si="7">SUM(D27:F27)</f>
        <v>2639200</v>
      </c>
    </row>
    <row r="28" spans="3:7" x14ac:dyDescent="0.25">
      <c r="C28" s="19" t="s">
        <v>65</v>
      </c>
      <c r="D28" s="16">
        <v>2000000</v>
      </c>
      <c r="E28" s="12">
        <f t="shared" si="5"/>
        <v>139200</v>
      </c>
      <c r="F28" s="12">
        <f t="shared" si="6"/>
        <v>500000</v>
      </c>
      <c r="G28" s="12">
        <f t="shared" si="7"/>
        <v>2639200</v>
      </c>
    </row>
    <row r="29" spans="3:7" ht="14.4" customHeight="1" x14ac:dyDescent="0.25">
      <c r="C29" s="19" t="s">
        <v>65</v>
      </c>
      <c r="D29" s="16">
        <v>2000000</v>
      </c>
      <c r="E29" s="12">
        <f t="shared" si="0"/>
        <v>139200</v>
      </c>
      <c r="F29" s="12">
        <f t="shared" si="3"/>
        <v>500000</v>
      </c>
      <c r="G29" s="12">
        <f t="shared" si="4"/>
        <v>2639200</v>
      </c>
    </row>
    <row r="30" spans="3:7" ht="14.4" customHeight="1" x14ac:dyDescent="0.25">
      <c r="C30" s="19" t="s">
        <v>72</v>
      </c>
      <c r="D30" s="16">
        <f>3000000</f>
        <v>3000000</v>
      </c>
      <c r="E30" s="12">
        <f t="shared" si="0"/>
        <v>208800</v>
      </c>
      <c r="F30" s="12">
        <f t="shared" si="3"/>
        <v>750000</v>
      </c>
      <c r="G30" s="12">
        <f t="shared" si="4"/>
        <v>3958800</v>
      </c>
    </row>
    <row r="31" spans="3:7" x14ac:dyDescent="0.25">
      <c r="C31" s="19" t="s">
        <v>71</v>
      </c>
      <c r="D31" s="16">
        <f>908526*3</f>
        <v>2725578</v>
      </c>
      <c r="E31" s="12">
        <f t="shared" si="0"/>
        <v>189700.22879999998</v>
      </c>
      <c r="F31" s="12">
        <f t="shared" si="3"/>
        <v>681394.5</v>
      </c>
      <c r="G31" s="12">
        <f t="shared" si="4"/>
        <v>3596672.7288000002</v>
      </c>
    </row>
    <row r="32" spans="3:7" x14ac:dyDescent="0.25">
      <c r="C32" s="42" t="s">
        <v>58</v>
      </c>
      <c r="D32" s="42"/>
      <c r="E32" s="42"/>
      <c r="F32" s="42"/>
      <c r="G32" s="13">
        <f>SUM(G17:G31)</f>
        <v>31111858.186399996</v>
      </c>
    </row>
    <row r="34" spans="3:4" ht="15.6" x14ac:dyDescent="0.35">
      <c r="C34" s="19" t="s">
        <v>66</v>
      </c>
      <c r="D34" s="20">
        <v>25668000</v>
      </c>
    </row>
    <row r="36" spans="3:4" x14ac:dyDescent="0.25">
      <c r="C36" t="s">
        <v>75</v>
      </c>
      <c r="D36" s="13">
        <f>SUM('Flujo Opción 1'!E5:E9)</f>
        <v>1150357618.1863999</v>
      </c>
    </row>
  </sheetData>
  <mergeCells count="1">
    <mergeCell ref="C32:F32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FA2B-1446-47C8-8D87-281B32239489}">
  <dimension ref="B1:D12"/>
  <sheetViews>
    <sheetView workbookViewId="0">
      <selection activeCell="D14" sqref="D14"/>
    </sheetView>
  </sheetViews>
  <sheetFormatPr defaultRowHeight="13.2" x14ac:dyDescent="0.25"/>
  <cols>
    <col min="2" max="2" width="26.6640625" customWidth="1"/>
    <col min="3" max="3" width="18.88671875" customWidth="1"/>
  </cols>
  <sheetData>
    <row r="1" spans="2:4" ht="13.8" thickBot="1" x14ac:dyDescent="0.3"/>
    <row r="2" spans="2:4" x14ac:dyDescent="0.25">
      <c r="B2" s="35" t="s">
        <v>21</v>
      </c>
      <c r="C2" s="31">
        <f>17112000*20/300</f>
        <v>1140800</v>
      </c>
    </row>
    <row r="3" spans="2:4" x14ac:dyDescent="0.25">
      <c r="B3" s="36" t="s">
        <v>22</v>
      </c>
      <c r="C3" s="38">
        <f>25856000*20/300</f>
        <v>1723733.3333333333</v>
      </c>
    </row>
    <row r="4" spans="2:4" x14ac:dyDescent="0.25">
      <c r="B4" s="36" t="s">
        <v>23</v>
      </c>
      <c r="C4" s="32">
        <v>210</v>
      </c>
      <c r="D4" s="17" t="s">
        <v>61</v>
      </c>
    </row>
    <row r="5" spans="2:4" x14ac:dyDescent="0.25">
      <c r="B5" s="36" t="s">
        <v>24</v>
      </c>
      <c r="C5" s="32">
        <v>480</v>
      </c>
      <c r="D5" s="17" t="s">
        <v>61</v>
      </c>
    </row>
    <row r="6" spans="2:4" x14ac:dyDescent="0.25">
      <c r="B6" s="36" t="s">
        <v>25</v>
      </c>
      <c r="C6" s="32">
        <v>500</v>
      </c>
    </row>
    <row r="7" spans="2:4" x14ac:dyDescent="0.25">
      <c r="B7" s="36" t="s">
        <v>26</v>
      </c>
      <c r="C7" s="32">
        <v>700</v>
      </c>
    </row>
    <row r="8" spans="2:4" x14ac:dyDescent="0.25">
      <c r="B8" s="36" t="s">
        <v>76</v>
      </c>
      <c r="C8" s="32">
        <f>'COSTOS PRY'!D7+'COSTOS PRY'!D14+'COSTOS PRY'!D36</f>
        <v>1417287975.0464001</v>
      </c>
    </row>
    <row r="9" spans="2:4" x14ac:dyDescent="0.25">
      <c r="B9" s="36" t="s">
        <v>78</v>
      </c>
      <c r="C9" s="32">
        <f>'COSTOS PRY'!D7+'COSTOS PRY'!D14</f>
        <v>266930356.86000001</v>
      </c>
    </row>
    <row r="10" spans="2:4" x14ac:dyDescent="0.25">
      <c r="B10" s="36" t="s">
        <v>52</v>
      </c>
      <c r="C10" s="33">
        <v>0.02</v>
      </c>
    </row>
    <row r="11" spans="2:4" x14ac:dyDescent="0.25">
      <c r="B11" s="36" t="s">
        <v>59</v>
      </c>
      <c r="C11" s="32">
        <f>'COSTOS PRY'!D7</f>
        <v>232297066</v>
      </c>
    </row>
    <row r="12" spans="2:4" ht="13.8" thickBot="1" x14ac:dyDescent="0.3">
      <c r="B12" s="37" t="s">
        <v>60</v>
      </c>
      <c r="C12" s="34">
        <f>'COSTOS PRY'!D14</f>
        <v>34633290.859999999</v>
      </c>
    </row>
  </sheetData>
  <hyperlinks>
    <hyperlink ref="D4" r:id="rId1" display="https://www.dane.gov.co/files/investigaciones/agropecuario/sipsa/Sem_21nov_2020__27nov_2020.pdf" xr:uid="{0DAE0A45-DB21-4862-B0B4-2CA162700A50}"/>
    <hyperlink ref="D5" r:id="rId2" display="https://www.dane.gov.co/files/investigaciones/agropecuario/sipsa/Sem_21nov_2020__27nov_2020.pdf" xr:uid="{A2AA7D94-42EA-4482-AEBF-94497426972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CDE9-0148-490F-AEEB-8B5A304A44AC}">
  <dimension ref="B2:M17"/>
  <sheetViews>
    <sheetView workbookViewId="0">
      <selection activeCell="G8" sqref="G8"/>
    </sheetView>
  </sheetViews>
  <sheetFormatPr defaultRowHeight="13.2" x14ac:dyDescent="0.25"/>
  <cols>
    <col min="2" max="2" width="18.109375" customWidth="1"/>
    <col min="3" max="3" width="19.6640625" customWidth="1"/>
    <col min="8" max="8" width="20" customWidth="1"/>
    <col min="9" max="9" width="19.21875" customWidth="1"/>
    <col min="12" max="12" width="16.77734375" bestFit="1" customWidth="1"/>
    <col min="13" max="13" width="17.44140625" customWidth="1"/>
  </cols>
  <sheetData>
    <row r="2" spans="2:13" x14ac:dyDescent="0.25">
      <c r="B2" t="s">
        <v>77</v>
      </c>
      <c r="C2" s="12">
        <f>Datos!C8</f>
        <v>1417287975.0464001</v>
      </c>
    </row>
    <row r="3" spans="2:13" x14ac:dyDescent="0.25">
      <c r="B3" t="s">
        <v>52</v>
      </c>
      <c r="C3" s="43">
        <f>Datos!C10</f>
        <v>0.02</v>
      </c>
    </row>
    <row r="4" spans="2:13" x14ac:dyDescent="0.25">
      <c r="G4" t="s">
        <v>49</v>
      </c>
      <c r="H4" t="s">
        <v>50</v>
      </c>
      <c r="I4" t="s">
        <v>51</v>
      </c>
      <c r="K4" t="s">
        <v>49</v>
      </c>
      <c r="L4" t="s">
        <v>50</v>
      </c>
      <c r="M4" t="s">
        <v>51</v>
      </c>
    </row>
    <row r="5" spans="2:13" x14ac:dyDescent="0.25">
      <c r="B5" t="s">
        <v>80</v>
      </c>
      <c r="C5" s="12">
        <f>Datos!C11</f>
        <v>232297066</v>
      </c>
      <c r="G5">
        <v>0</v>
      </c>
      <c r="H5" s="12">
        <f>-C2</f>
        <v>-1417287975.0464001</v>
      </c>
      <c r="I5" s="12">
        <f>H5</f>
        <v>-1417287975.0464001</v>
      </c>
      <c r="K5">
        <v>0</v>
      </c>
      <c r="L5" s="12">
        <f>-C5</f>
        <v>-232297066</v>
      </c>
      <c r="M5" s="12">
        <f>L5</f>
        <v>-232297066</v>
      </c>
    </row>
    <row r="6" spans="2:13" x14ac:dyDescent="0.25">
      <c r="B6" t="s">
        <v>52</v>
      </c>
      <c r="C6" s="43">
        <f>Datos!C10</f>
        <v>0.02</v>
      </c>
      <c r="G6">
        <v>1</v>
      </c>
      <c r="H6" s="12">
        <f>-I5/(13-G6)</f>
        <v>118107331.25386667</v>
      </c>
      <c r="I6" s="12">
        <f>(I5*(1+$C$3)+H6)</f>
        <v>-1327526403.2934613</v>
      </c>
      <c r="K6">
        <v>1</v>
      </c>
      <c r="L6" s="12">
        <f>-M5/(13-K6)</f>
        <v>19358088.833333332</v>
      </c>
      <c r="M6" s="12">
        <f>(M5*(1+$C$3)+L6)</f>
        <v>-217584918.48666665</v>
      </c>
    </row>
    <row r="7" spans="2:13" x14ac:dyDescent="0.25">
      <c r="G7">
        <v>2</v>
      </c>
      <c r="H7" s="12">
        <f>-I6/(13-G7)</f>
        <v>120684218.48122376</v>
      </c>
      <c r="I7" s="12">
        <f t="shared" ref="I7:I16" si="0">(I6*(1+$C$3)+H7)</f>
        <v>-1233392712.8781068</v>
      </c>
      <c r="K7">
        <v>2</v>
      </c>
      <c r="L7" s="12">
        <f>-M6/(13-K7)</f>
        <v>19780447.135151513</v>
      </c>
      <c r="M7" s="12">
        <f t="shared" ref="M7:M16" si="1">(M6*(1+$C$3)+L7)</f>
        <v>-202156169.72124848</v>
      </c>
    </row>
    <row r="8" spans="2:13" x14ac:dyDescent="0.25">
      <c r="G8">
        <v>3</v>
      </c>
      <c r="H8" s="12">
        <f t="shared" ref="H8:H16" si="2">-I7/(13-G8)</f>
        <v>123339271.28781068</v>
      </c>
      <c r="I8" s="12">
        <f t="shared" si="0"/>
        <v>-1134721295.8478584</v>
      </c>
      <c r="K8">
        <v>3</v>
      </c>
      <c r="L8" s="12">
        <f t="shared" ref="L8:L16" si="3">-M7/(13-K8)</f>
        <v>20215616.972124849</v>
      </c>
      <c r="M8" s="12">
        <f t="shared" si="1"/>
        <v>-185983676.14354861</v>
      </c>
    </row>
    <row r="9" spans="2:13" x14ac:dyDescent="0.25">
      <c r="G9">
        <v>4</v>
      </c>
      <c r="H9" s="12">
        <f t="shared" si="2"/>
        <v>126080143.98309538</v>
      </c>
      <c r="I9" s="12">
        <f t="shared" si="0"/>
        <v>-1031335577.7817202</v>
      </c>
      <c r="K9">
        <v>4</v>
      </c>
      <c r="L9" s="12">
        <f t="shared" si="3"/>
        <v>20664852.904838733</v>
      </c>
      <c r="M9" s="12">
        <f t="shared" si="1"/>
        <v>-169038496.76158085</v>
      </c>
    </row>
    <row r="10" spans="2:13" x14ac:dyDescent="0.25">
      <c r="G10">
        <v>5</v>
      </c>
      <c r="H10" s="12">
        <f t="shared" si="2"/>
        <v>128916947.22271502</v>
      </c>
      <c r="I10" s="12">
        <f t="shared" si="0"/>
        <v>-923045342.11463952</v>
      </c>
      <c r="K10">
        <v>5</v>
      </c>
      <c r="L10" s="12">
        <f t="shared" si="3"/>
        <v>21129812.095197607</v>
      </c>
      <c r="M10" s="12">
        <f t="shared" si="1"/>
        <v>-151289454.60161486</v>
      </c>
    </row>
    <row r="11" spans="2:13" x14ac:dyDescent="0.25">
      <c r="G11">
        <v>6</v>
      </c>
      <c r="H11" s="12">
        <f t="shared" si="2"/>
        <v>131863620.30209136</v>
      </c>
      <c r="I11" s="12">
        <f t="shared" si="0"/>
        <v>-809642628.65484095</v>
      </c>
      <c r="K11">
        <v>6</v>
      </c>
      <c r="L11" s="12">
        <f t="shared" si="3"/>
        <v>21612779.228802122</v>
      </c>
      <c r="M11" s="12">
        <f t="shared" si="1"/>
        <v>-132702464.46484506</v>
      </c>
    </row>
    <row r="12" spans="2:13" x14ac:dyDescent="0.25">
      <c r="G12">
        <v>7</v>
      </c>
      <c r="H12" s="12">
        <f t="shared" si="2"/>
        <v>134940438.10914016</v>
      </c>
      <c r="I12" s="12">
        <f t="shared" si="0"/>
        <v>-690895043.11879766</v>
      </c>
      <c r="K12">
        <v>7</v>
      </c>
      <c r="L12" s="12">
        <f t="shared" si="3"/>
        <v>22117077.410807509</v>
      </c>
      <c r="M12" s="12">
        <f t="shared" si="1"/>
        <v>-113239436.34333445</v>
      </c>
    </row>
    <row r="13" spans="2:13" x14ac:dyDescent="0.25">
      <c r="G13">
        <v>8</v>
      </c>
      <c r="H13" s="12">
        <f t="shared" si="2"/>
        <v>138179008.62375954</v>
      </c>
      <c r="I13" s="12">
        <f t="shared" si="0"/>
        <v>-566533935.35741413</v>
      </c>
      <c r="K13">
        <v>8</v>
      </c>
      <c r="L13" s="12">
        <f t="shared" si="3"/>
        <v>22647887.26866689</v>
      </c>
      <c r="M13" s="12">
        <f t="shared" si="1"/>
        <v>-92856337.80153425</v>
      </c>
    </row>
    <row r="14" spans="2:13" x14ac:dyDescent="0.25">
      <c r="G14">
        <v>9</v>
      </c>
      <c r="H14" s="12">
        <f t="shared" si="2"/>
        <v>141633483.83935353</v>
      </c>
      <c r="I14" s="12">
        <f t="shared" si="0"/>
        <v>-436231130.22520888</v>
      </c>
      <c r="K14">
        <v>9</v>
      </c>
      <c r="L14" s="12">
        <f t="shared" si="3"/>
        <v>23214084.450383563</v>
      </c>
      <c r="M14" s="12">
        <f t="shared" si="1"/>
        <v>-71499380.107181385</v>
      </c>
    </row>
    <row r="15" spans="2:13" x14ac:dyDescent="0.25">
      <c r="G15">
        <v>10</v>
      </c>
      <c r="H15" s="12">
        <f t="shared" si="2"/>
        <v>145410376.74173629</v>
      </c>
      <c r="I15" s="12">
        <f t="shared" si="0"/>
        <v>-299545376.08797675</v>
      </c>
      <c r="K15">
        <v>10</v>
      </c>
      <c r="L15" s="12">
        <f t="shared" si="3"/>
        <v>23833126.702393796</v>
      </c>
      <c r="M15" s="12">
        <f t="shared" si="1"/>
        <v>-49096241.006931216</v>
      </c>
    </row>
    <row r="16" spans="2:13" x14ac:dyDescent="0.25">
      <c r="G16">
        <v>11</v>
      </c>
      <c r="H16" s="12">
        <f t="shared" si="2"/>
        <v>149772688.04398838</v>
      </c>
      <c r="I16" s="12">
        <f t="shared" si="0"/>
        <v>-155763595.56574795</v>
      </c>
      <c r="K16">
        <v>11</v>
      </c>
      <c r="L16" s="12">
        <f t="shared" si="3"/>
        <v>24548120.503465608</v>
      </c>
      <c r="M16" s="12">
        <f t="shared" si="1"/>
        <v>-25530045.323604234</v>
      </c>
    </row>
    <row r="17" spans="7:13" x14ac:dyDescent="0.25">
      <c r="G17">
        <v>12</v>
      </c>
      <c r="H17" s="12">
        <f>-I16/(13-G17)</f>
        <v>155763595.56574795</v>
      </c>
      <c r="I17" s="12">
        <f>0</f>
        <v>0</v>
      </c>
      <c r="K17">
        <v>12</v>
      </c>
      <c r="L17" s="12">
        <f>-M16/(13-K17)</f>
        <v>25530045.323604234</v>
      </c>
      <c r="M17" s="12">
        <f>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7F4E5-1DB1-4E12-8A5A-100971F0E12D}">
  <dimension ref="B6:C6"/>
  <sheetViews>
    <sheetView workbookViewId="0">
      <selection activeCell="A2" sqref="A2:D5"/>
    </sheetView>
  </sheetViews>
  <sheetFormatPr defaultRowHeight="13.2" x14ac:dyDescent="0.25"/>
  <cols>
    <col min="2" max="2" width="35.109375" customWidth="1"/>
    <col min="3" max="3" width="15.109375" bestFit="1" customWidth="1"/>
  </cols>
  <sheetData>
    <row r="6" spans="2:3" x14ac:dyDescent="0.25">
      <c r="B6" t="s">
        <v>68</v>
      </c>
      <c r="C6" s="12">
        <f>(25000+12*811)*34*20</f>
        <v>23617760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Flujo Opción 2</vt:lpstr>
      <vt:lpstr>Flujo Opción 1</vt:lpstr>
      <vt:lpstr>COSTOS PRY</vt:lpstr>
      <vt:lpstr>Datos</vt:lpstr>
      <vt:lpstr>Prestamo</vt:lpstr>
      <vt:lpstr>Cotizaciónes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 Barrera G.</dc:creator>
  <cp:lastModifiedBy>Juan David Ramírez Salazar</cp:lastModifiedBy>
  <dcterms:created xsi:type="dcterms:W3CDTF">2020-11-30T17:50:54Z</dcterms:created>
  <dcterms:modified xsi:type="dcterms:W3CDTF">2022-02-06T19:14:44Z</dcterms:modified>
</cp:coreProperties>
</file>