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980382AC-3214-464F-B78D-27A579877686}" xr6:coauthVersionLast="47" xr6:coauthVersionMax="47" xr10:uidLastSave="{00000000-0000-0000-0000-000000000000}"/>
  <bookViews>
    <workbookView xWindow="-108" yWindow="-108" windowWidth="23256" windowHeight="12576" tabRatio="750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H14" i="4"/>
  <c r="I14" i="4"/>
  <c r="J14" i="4"/>
  <c r="K14" i="4"/>
  <c r="L14" i="4"/>
  <c r="M14" i="4"/>
  <c r="N14" i="4"/>
  <c r="O14" i="4"/>
  <c r="P14" i="4"/>
  <c r="F14" i="4"/>
  <c r="E15" i="4"/>
  <c r="E14" i="4"/>
  <c r="P8" i="8"/>
  <c r="O8" i="8"/>
  <c r="N8" i="8"/>
  <c r="M8" i="8"/>
  <c r="L8" i="8"/>
  <c r="K8" i="8"/>
  <c r="J8" i="8"/>
  <c r="I8" i="8"/>
  <c r="H8" i="8"/>
  <c r="G8" i="8"/>
  <c r="F8" i="8"/>
  <c r="E8" i="8"/>
  <c r="L5" i="6"/>
  <c r="M5" i="6" s="1"/>
  <c r="M17" i="6"/>
  <c r="E11" i="8"/>
  <c r="D9" i="8"/>
  <c r="C6" i="6"/>
  <c r="C5" i="6"/>
  <c r="C9" i="5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G33" i="2"/>
  <c r="G29" i="2"/>
  <c r="F29" i="2"/>
  <c r="E29" i="2"/>
  <c r="G28" i="2"/>
  <c r="F28" i="2"/>
  <c r="E28" i="2"/>
  <c r="P6" i="8"/>
  <c r="O6" i="8"/>
  <c r="N6" i="8"/>
  <c r="M6" i="8"/>
  <c r="L6" i="8"/>
  <c r="K6" i="8"/>
  <c r="J6" i="8"/>
  <c r="I6" i="8"/>
  <c r="H6" i="8"/>
  <c r="G6" i="8"/>
  <c r="F6" i="8"/>
  <c r="E6" i="8"/>
  <c r="I17" i="6"/>
  <c r="D31" i="2"/>
  <c r="D32" i="2"/>
  <c r="F18" i="2"/>
  <c r="E18" i="2"/>
  <c r="G18" i="2" s="1"/>
  <c r="F17" i="2"/>
  <c r="E17" i="2"/>
  <c r="G17" i="2" s="1"/>
  <c r="F9" i="4"/>
  <c r="G9" i="4"/>
  <c r="H9" i="4"/>
  <c r="I9" i="4"/>
  <c r="J9" i="4"/>
  <c r="K9" i="4"/>
  <c r="L9" i="4"/>
  <c r="M9" i="4"/>
  <c r="N9" i="4"/>
  <c r="O9" i="4"/>
  <c r="P9" i="4"/>
  <c r="E9" i="4"/>
  <c r="C6" i="7"/>
  <c r="F6" i="4"/>
  <c r="G6" i="4"/>
  <c r="H6" i="4"/>
  <c r="I6" i="4"/>
  <c r="J6" i="4"/>
  <c r="K6" i="4"/>
  <c r="L6" i="4"/>
  <c r="M6" i="4"/>
  <c r="N6" i="4"/>
  <c r="O6" i="4"/>
  <c r="P6" i="4"/>
  <c r="E6" i="4"/>
  <c r="L15" i="4"/>
  <c r="M8" i="4"/>
  <c r="M11" i="4" s="1"/>
  <c r="D7" i="2"/>
  <c r="D5" i="2"/>
  <c r="D14" i="2"/>
  <c r="C12" i="5" s="1"/>
  <c r="F20" i="2"/>
  <c r="F21" i="2"/>
  <c r="F22" i="2"/>
  <c r="F23" i="2"/>
  <c r="F24" i="2"/>
  <c r="F25" i="2"/>
  <c r="F26" i="2"/>
  <c r="F27" i="2"/>
  <c r="F30" i="2"/>
  <c r="F19" i="2"/>
  <c r="E20" i="2"/>
  <c r="E21" i="2"/>
  <c r="E22" i="2"/>
  <c r="E23" i="2"/>
  <c r="E24" i="2"/>
  <c r="E25" i="2"/>
  <c r="E26" i="2"/>
  <c r="E27" i="2"/>
  <c r="E30" i="2"/>
  <c r="E19" i="2"/>
  <c r="C3" i="6"/>
  <c r="L6" i="6" l="1"/>
  <c r="M6" i="6" s="1"/>
  <c r="L8" i="4"/>
  <c r="L11" i="4" s="1"/>
  <c r="K15" i="4"/>
  <c r="K8" i="4"/>
  <c r="K11" i="4" s="1"/>
  <c r="J15" i="4"/>
  <c r="J8" i="4"/>
  <c r="J11" i="4" s="1"/>
  <c r="I8" i="4"/>
  <c r="I11" i="4" s="1"/>
  <c r="H8" i="4"/>
  <c r="H11" i="4" s="1"/>
  <c r="G8" i="4"/>
  <c r="G11" i="4" s="1"/>
  <c r="F8" i="4"/>
  <c r="F11" i="4" s="1"/>
  <c r="P15" i="4"/>
  <c r="P8" i="4"/>
  <c r="P11" i="4" s="1"/>
  <c r="O8" i="4"/>
  <c r="O11" i="4" s="1"/>
  <c r="N15" i="4"/>
  <c r="I15" i="4"/>
  <c r="H15" i="4"/>
  <c r="G15" i="4"/>
  <c r="F15" i="4"/>
  <c r="E8" i="4"/>
  <c r="O15" i="4"/>
  <c r="N8" i="4"/>
  <c r="N11" i="4" s="1"/>
  <c r="M15" i="4"/>
  <c r="E31" i="2"/>
  <c r="G31" i="2" s="1"/>
  <c r="F31" i="2"/>
  <c r="D8" i="2"/>
  <c r="C11" i="5" s="1"/>
  <c r="C17" i="8"/>
  <c r="E32" i="2"/>
  <c r="F32" i="2"/>
  <c r="G22" i="2"/>
  <c r="G23" i="2"/>
  <c r="G24" i="2"/>
  <c r="G30" i="2"/>
  <c r="G20" i="2"/>
  <c r="G21" i="2"/>
  <c r="G25" i="2"/>
  <c r="G19" i="2"/>
  <c r="G27" i="2"/>
  <c r="G26" i="2"/>
  <c r="L7" i="6" l="1"/>
  <c r="M7" i="6" s="1"/>
  <c r="E11" i="4"/>
  <c r="D37" i="2"/>
  <c r="C21" i="4"/>
  <c r="G32" i="2"/>
  <c r="L8" i="6" l="1"/>
  <c r="M8" i="6"/>
  <c r="P5" i="8"/>
  <c r="O5" i="8"/>
  <c r="N5" i="8"/>
  <c r="M5" i="8"/>
  <c r="J5" i="8"/>
  <c r="H5" i="8"/>
  <c r="G5" i="8"/>
  <c r="F5" i="8"/>
  <c r="E5" i="8"/>
  <c r="L5" i="8"/>
  <c r="K5" i="8"/>
  <c r="I5" i="8"/>
  <c r="L9" i="6" l="1"/>
  <c r="M9" i="6" s="1"/>
  <c r="C18" i="8"/>
  <c r="C19" i="8" s="1"/>
  <c r="L10" i="6" l="1"/>
  <c r="M10" i="6" s="1"/>
  <c r="K5" i="4"/>
  <c r="E5" i="4"/>
  <c r="M5" i="4"/>
  <c r="H5" i="4"/>
  <c r="I5" i="4"/>
  <c r="P5" i="4"/>
  <c r="N5" i="4"/>
  <c r="F5" i="4"/>
  <c r="O5" i="4"/>
  <c r="G5" i="4"/>
  <c r="J5" i="4"/>
  <c r="L5" i="4"/>
  <c r="L11" i="6" l="1"/>
  <c r="M11" i="6" s="1"/>
  <c r="C22" i="4"/>
  <c r="C23" i="4" s="1"/>
  <c r="C8" i="5"/>
  <c r="C2" i="6" s="1"/>
  <c r="H5" i="6" s="1"/>
  <c r="I5" i="6" s="1"/>
  <c r="L12" i="6" l="1"/>
  <c r="M12" i="6" s="1"/>
  <c r="H6" i="6"/>
  <c r="I6" i="6" s="1"/>
  <c r="D12" i="4"/>
  <c r="L13" i="6" l="1"/>
  <c r="M13" i="6"/>
  <c r="D12" i="8"/>
  <c r="F19" i="8"/>
  <c r="D16" i="4"/>
  <c r="F23" i="4"/>
  <c r="H7" i="6"/>
  <c r="E10" i="4"/>
  <c r="L14" i="6" l="1"/>
  <c r="M14" i="6"/>
  <c r="E12" i="8"/>
  <c r="F12" i="8"/>
  <c r="F10" i="4"/>
  <c r="F16" i="4" s="1"/>
  <c r="E16" i="4"/>
  <c r="I7" i="6"/>
  <c r="L15" i="6" l="1"/>
  <c r="M15" i="6" s="1"/>
  <c r="H8" i="6"/>
  <c r="I8" i="6"/>
  <c r="L16" i="6" l="1"/>
  <c r="M16" i="6" s="1"/>
  <c r="L17" i="6" s="1"/>
  <c r="H9" i="6"/>
  <c r="G10" i="4"/>
  <c r="G12" i="8" l="1"/>
  <c r="H10" i="4"/>
  <c r="H16" i="4" s="1"/>
  <c r="H12" i="8"/>
  <c r="G16" i="4"/>
  <c r="I9" i="6"/>
  <c r="H10" i="6" l="1"/>
  <c r="I10" i="6"/>
  <c r="H11" i="6" l="1"/>
  <c r="I10" i="4"/>
  <c r="J12" i="8" l="1"/>
  <c r="J10" i="4"/>
  <c r="J16" i="4" s="1"/>
  <c r="I16" i="4"/>
  <c r="I12" i="8"/>
  <c r="I11" i="6"/>
  <c r="H12" i="6" l="1"/>
  <c r="I12" i="6"/>
  <c r="H13" i="6" l="1"/>
  <c r="K12" i="8"/>
  <c r="K10" i="4"/>
  <c r="K16" i="4" l="1"/>
  <c r="L10" i="4"/>
  <c r="L16" i="4" s="1"/>
  <c r="L12" i="8"/>
  <c r="I13" i="6"/>
  <c r="H14" i="6" l="1"/>
  <c r="M12" i="8" l="1"/>
  <c r="M10" i="4"/>
  <c r="M16" i="4" s="1"/>
  <c r="I14" i="6"/>
  <c r="H15" i="6" l="1"/>
  <c r="I15" i="6"/>
  <c r="H16" i="6" l="1"/>
  <c r="I16" i="6"/>
  <c r="H17" i="6" s="1"/>
  <c r="N10" i="4"/>
  <c r="N16" i="4" s="1"/>
  <c r="N12" i="8"/>
  <c r="P10" i="4" l="1"/>
  <c r="O10" i="4"/>
  <c r="O16" i="4" s="1"/>
  <c r="O12" i="8"/>
  <c r="P12" i="8" l="1"/>
  <c r="C20" i="8"/>
  <c r="C21" i="8" s="1"/>
  <c r="C22" i="8" s="1"/>
  <c r="P16" i="4"/>
  <c r="C24" i="4"/>
  <c r="C25" i="4" s="1"/>
  <c r="C26" i="4" s="1"/>
  <c r="F22" i="4" l="1"/>
  <c r="F24" i="4" s="1"/>
  <c r="F25" i="4"/>
  <c r="F21" i="8"/>
  <c r="F18" i="8"/>
  <c r="F20" i="8" s="1"/>
</calcChain>
</file>

<file path=xl/sharedStrings.xml><?xml version="1.0" encoding="utf-8"?>
<sst xmlns="http://schemas.openxmlformats.org/spreadsheetml/2006/main" count="140" uniqueCount="86">
  <si>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</si>
  <si>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</si>
  <si>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</si>
  <si>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</si>
  <si>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</si>
  <si>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</si>
  <si>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</si>
  <si>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</si>
  <si>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</si>
  <si>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</si>
  <si>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</si>
  <si>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</si>
  <si>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</si>
  <si>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</si>
  <si>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</si>
  <si>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</si>
  <si>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</si>
  <si>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</si>
  <si>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Sensores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</si>
  <si>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</si>
  <si>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</si>
  <si>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</si>
  <si>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</si>
  <si>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</si>
  <si>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</si>
  <si>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</si>
  <si>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</si>
  <si>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</si>
  <si>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</si>
  <si>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</si>
  <si>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</si>
  <si>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</si>
  <si>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</si>
  <si>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</si>
  <si>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</si>
  <si>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</si>
  <si>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</si>
  <si>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</si>
  <si>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</si>
  <si>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</si>
  <si>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</si>
  <si>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</si>
  <si>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</si>
  <si>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</si>
  <si>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</si>
  <si>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</si>
  <si>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</si>
  <si>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</si>
  <si>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</si>
  <si>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</si>
  <si>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</si>
  <si>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</si>
  <si>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</si>
  <si>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</si>
  <si>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</si>
  <si>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</si>
  <si>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</si>
  <si>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</si>
  <si>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</si>
  <si>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</si>
  <si>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</si>
  <si>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</si>
  <si>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</si>
  <si>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Linea con maquina lavadora enceradora</t>
  </si>
  <si>
    <t>USD</t>
  </si>
  <si>
    <t>Maquina de selección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</si>
  <si>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</si>
  <si>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</si>
  <si>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</si>
  <si>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</si>
  <si>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</si>
  <si>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</si>
  <si>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</si>
  <si>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</si>
  <si>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</si>
  <si>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</si>
  <si>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</si>
  <si>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</si>
  <si>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</si>
  <si>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</si>
  <si>
    <t>Prestamo Opción 1</t>
  </si>
  <si>
    <t>Valor del prestamo 1</t>
  </si>
  <si>
    <t>Prestamo Opción 2</t>
  </si>
  <si>
    <t>Cobro mensuales</t>
  </si>
  <si>
    <t>Valor del prestamo 2</t>
  </si>
  <si>
    <t>GANANCIA O COSTO OPORTUNIDAD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</si>
</sst>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44" fontId="0" fillId="5" borderId="0" xfId="2" applyFont="1" applyFill="1"/>
    <xf numFmtId="0" fontId="0" fillId="0" borderId="0" xfId="0" applyFill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0" fontId="0" fillId="2" borderId="1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165" fontId="0" fillId="3" borderId="7" xfId="0" applyNumberFormat="1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3" xfId="2" applyNumberFormat="1" applyFont="1" applyBorder="1"/>
    <xf numFmtId="44" fontId="0" fillId="0" borderId="5" xfId="2" applyFont="1" applyBorder="1"/>
    <xf numFmtId="9" fontId="0" fillId="0" borderId="5" xfId="2" applyNumberFormat="1" applyFont="1" applyBorder="1"/>
    <xf numFmtId="44" fontId="0" fillId="0" borderId="7" xfId="2" applyFont="1" applyBorder="1"/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5" xfId="2" applyNumberFormat="1" applyFont="1" applyBorder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13</xdr:col>
      <xdr:colOff>426720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tabSelected="1" workbookViewId="0">
      <selection activeCell="E15" sqref="E15:F21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9" t="s">
        <v>46</v>
      </c>
      <c r="C5" t="s">
        <v>41</v>
      </c>
      <c r="D5" s="13">
        <v>0</v>
      </c>
      <c r="E5" s="13">
        <f>'COSTOS PRY'!$G$33</f>
        <v>32310749.095999997</v>
      </c>
      <c r="F5" s="13">
        <f>'COSTOS PRY'!$G$33</f>
        <v>32310749.095999997</v>
      </c>
      <c r="G5" s="13">
        <f>'COSTOS PRY'!$G$33</f>
        <v>32310749.095999997</v>
      </c>
      <c r="H5" s="13">
        <f>'COSTOS PRY'!$G$33</f>
        <v>32310749.095999997</v>
      </c>
      <c r="I5" s="13">
        <f>'COSTOS PRY'!$G$33</f>
        <v>32310749.095999997</v>
      </c>
      <c r="J5" s="13">
        <f>'COSTOS PRY'!$G$33</f>
        <v>32310749.095999997</v>
      </c>
      <c r="K5" s="13">
        <f>'COSTOS PRY'!$G$33</f>
        <v>32310749.095999997</v>
      </c>
      <c r="L5" s="13">
        <f>'COSTOS PRY'!$G$33</f>
        <v>32310749.095999997</v>
      </c>
      <c r="M5" s="13">
        <f>'COSTOS PRY'!$G$33</f>
        <v>32310749.095999997</v>
      </c>
      <c r="N5" s="13">
        <f>'COSTOS PRY'!$G$33</f>
        <v>32310749.095999997</v>
      </c>
      <c r="O5" s="13">
        <f>'COSTOS PRY'!$G$33</f>
        <v>32310749.095999997</v>
      </c>
      <c r="P5" s="13">
        <f>'COSTOS PRY'!$G$33</f>
        <v>32310749.095999997</v>
      </c>
    </row>
    <row r="6" spans="2:16" x14ac:dyDescent="0.25">
      <c r="B6" s="39"/>
      <c r="C6" t="s">
        <v>42</v>
      </c>
      <c r="D6" s="13">
        <v>0</v>
      </c>
      <c r="E6" s="13">
        <f>'COSTOS PRY'!$D$35</f>
        <v>25668000</v>
      </c>
      <c r="F6" s="13">
        <f>'COSTOS PRY'!$D$35</f>
        <v>25668000</v>
      </c>
      <c r="G6" s="13">
        <f>'COSTOS PRY'!$D$35</f>
        <v>25668000</v>
      </c>
      <c r="H6" s="13">
        <f>'COSTOS PRY'!$D$35</f>
        <v>25668000</v>
      </c>
      <c r="I6" s="13">
        <f>'COSTOS PRY'!$D$35</f>
        <v>25668000</v>
      </c>
      <c r="J6" s="13">
        <f>'COSTOS PRY'!$D$35</f>
        <v>25668000</v>
      </c>
      <c r="K6" s="13">
        <f>'COSTOS PRY'!$D$35</f>
        <v>25668000</v>
      </c>
      <c r="L6" s="13">
        <f>'COSTOS PRY'!$D$35</f>
        <v>25668000</v>
      </c>
      <c r="M6" s="13">
        <f>'COSTOS PRY'!$D$35</f>
        <v>25668000</v>
      </c>
      <c r="N6" s="13">
        <f>'COSTOS PRY'!$D$35</f>
        <v>25668000</v>
      </c>
      <c r="O6" s="13">
        <f>'COSTOS PRY'!$D$35</f>
        <v>25668000</v>
      </c>
      <c r="P6" s="13">
        <f>'COSTOS PRY'!$D$35</f>
        <v>25668000</v>
      </c>
    </row>
    <row r="7" spans="2:16" x14ac:dyDescent="0.25">
      <c r="B7" s="39"/>
      <c r="C7" t="s">
        <v>43</v>
      </c>
      <c r="D7" s="13">
        <v>0</v>
      </c>
      <c r="E7" s="13">
        <v>3000000</v>
      </c>
      <c r="F7" s="13">
        <v>3000000</v>
      </c>
      <c r="G7" s="13">
        <v>3000000</v>
      </c>
      <c r="H7" s="13">
        <v>3000000</v>
      </c>
      <c r="I7" s="13">
        <v>3000000</v>
      </c>
      <c r="J7" s="13">
        <v>3000000</v>
      </c>
      <c r="K7" s="13">
        <v>3000000</v>
      </c>
      <c r="L7" s="13">
        <v>3000000</v>
      </c>
      <c r="M7" s="13">
        <v>3000000</v>
      </c>
      <c r="N7" s="13">
        <v>3000000</v>
      </c>
      <c r="O7" s="13">
        <v>3000000</v>
      </c>
      <c r="P7" s="13">
        <v>3000000</v>
      </c>
    </row>
    <row r="8" spans="2:16" x14ac:dyDescent="0.25">
      <c r="B8" s="39"/>
      <c r="C8" t="s">
        <v>45</v>
      </c>
      <c r="D8" s="13">
        <v>0</v>
      </c>
      <c r="E8" s="13">
        <f>Prestamo!L6</f>
        <v>37494716.666666664</v>
      </c>
      <c r="F8" s="13">
        <f>Prestamo!$L7</f>
        <v>38312783.212121211</v>
      </c>
      <c r="G8" s="13">
        <f>Prestamo!$L8</f>
        <v>39155664.442787878</v>
      </c>
      <c r="H8" s="13">
        <f>Prestamo!$L9</f>
        <v>40025790.319294274</v>
      </c>
      <c r="I8" s="13">
        <f>Prestamo!$L10</f>
        <v>40926370.601478398</v>
      </c>
      <c r="J8" s="13">
        <f>Prestamo!$L11</f>
        <v>41861830.500940762</v>
      </c>
      <c r="K8" s="13">
        <f>Prestamo!$L12</f>
        <v>42838606.545962714</v>
      </c>
      <c r="L8" s="13">
        <f>Prestamo!$L13</f>
        <v>43866733.103065819</v>
      </c>
      <c r="M8" s="13">
        <f>Prestamo!$L14</f>
        <v>44963401.430642463</v>
      </c>
      <c r="N8" s="13">
        <f>Prestamo!$L15</f>
        <v>46162425.468792938</v>
      </c>
      <c r="O8" s="13">
        <f>Prestamo!$L16</f>
        <v>47547298.232856721</v>
      </c>
      <c r="P8" s="13">
        <f>Prestamo!$L17</f>
        <v>49449190.162170991</v>
      </c>
    </row>
    <row r="9" spans="2:16" x14ac:dyDescent="0.25">
      <c r="B9" s="39"/>
      <c r="C9" t="s">
        <v>77</v>
      </c>
      <c r="D9" s="13">
        <f>Datos!C9</f>
        <v>484569890.86000001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</row>
    <row r="10" spans="2:16" ht="6" customHeight="1" x14ac:dyDescent="0.25">
      <c r="B10" s="22"/>
      <c r="C10" s="23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2:16" x14ac:dyDescent="0.25">
      <c r="B11" s="24" t="s">
        <v>48</v>
      </c>
      <c r="C11" t="s">
        <v>83</v>
      </c>
      <c r="D11" s="13">
        <v>0</v>
      </c>
      <c r="E11" s="13">
        <f>$I$17</f>
        <v>165000000</v>
      </c>
      <c r="F11" s="13">
        <f t="shared" ref="F11:P11" si="0">$I$17</f>
        <v>165000000</v>
      </c>
      <c r="G11" s="13">
        <f t="shared" si="0"/>
        <v>165000000</v>
      </c>
      <c r="H11" s="13">
        <f t="shared" si="0"/>
        <v>165000000</v>
      </c>
      <c r="I11" s="13">
        <f t="shared" si="0"/>
        <v>165000000</v>
      </c>
      <c r="J11" s="13">
        <f t="shared" si="0"/>
        <v>165000000</v>
      </c>
      <c r="K11" s="13">
        <f t="shared" si="0"/>
        <v>165000000</v>
      </c>
      <c r="L11" s="13">
        <f t="shared" si="0"/>
        <v>165000000</v>
      </c>
      <c r="M11" s="13">
        <f t="shared" si="0"/>
        <v>165000000</v>
      </c>
      <c r="N11" s="13">
        <f t="shared" si="0"/>
        <v>165000000</v>
      </c>
      <c r="O11" s="13">
        <f t="shared" si="0"/>
        <v>165000000</v>
      </c>
      <c r="P11" s="13">
        <f t="shared" si="0"/>
        <v>165000000</v>
      </c>
    </row>
    <row r="12" spans="2:16" x14ac:dyDescent="0.25">
      <c r="B12" t="s">
        <v>73</v>
      </c>
      <c r="D12" s="14">
        <f>SUM(D11:D11)-SUM(D5:D9)</f>
        <v>-484569890.86000001</v>
      </c>
      <c r="E12" s="14">
        <f t="shared" ref="E12:P12" si="1">SUM(E11:E11)-SUM(E5:E8)</f>
        <v>66526534.237333328</v>
      </c>
      <c r="F12" s="14">
        <f t="shared" si="1"/>
        <v>65708467.691878796</v>
      </c>
      <c r="G12" s="14">
        <f t="shared" si="1"/>
        <v>64865586.461212128</v>
      </c>
      <c r="H12" s="14">
        <f t="shared" si="1"/>
        <v>63995460.584705725</v>
      </c>
      <c r="I12" s="14">
        <f t="shared" si="1"/>
        <v>63094880.302521601</v>
      </c>
      <c r="J12" s="14">
        <f t="shared" si="1"/>
        <v>62159420.403059244</v>
      </c>
      <c r="K12" s="14">
        <f t="shared" si="1"/>
        <v>61182644.358037293</v>
      </c>
      <c r="L12" s="14">
        <f t="shared" si="1"/>
        <v>60154517.800934181</v>
      </c>
      <c r="M12" s="14">
        <f t="shared" si="1"/>
        <v>59057849.473357528</v>
      </c>
      <c r="N12" s="14">
        <f t="shared" si="1"/>
        <v>57858825.435207069</v>
      </c>
      <c r="O12" s="14">
        <f t="shared" si="1"/>
        <v>56473952.671143278</v>
      </c>
      <c r="P12" s="14">
        <f t="shared" si="1"/>
        <v>54572060.741829008</v>
      </c>
    </row>
    <row r="14" spans="2:16" ht="13.8" thickBot="1" x14ac:dyDescent="0.3"/>
    <row r="15" spans="2:16" ht="54.6" customHeight="1" thickBot="1" x14ac:dyDescent="0.3">
      <c r="B15" s="40" t="s">
        <v>6</v>
      </c>
      <c r="C15" s="41"/>
      <c r="E15" s="10" t="s">
        <v>1</v>
      </c>
      <c r="F15" s="11">
        <v>0.05</v>
      </c>
    </row>
    <row r="16" spans="2:16" x14ac:dyDescent="0.25">
      <c r="B16" s="30"/>
      <c r="C16" s="31"/>
      <c r="E16" s="2"/>
      <c r="F16" s="1"/>
    </row>
    <row r="17" spans="2:9" x14ac:dyDescent="0.25">
      <c r="B17" s="26" t="s">
        <v>7</v>
      </c>
      <c r="C17" s="27">
        <f>SUM(E11:P11)</f>
        <v>1980000000</v>
      </c>
      <c r="E17" s="3" t="s">
        <v>2</v>
      </c>
      <c r="F17" s="4"/>
      <c r="H17" t="s">
        <v>78</v>
      </c>
      <c r="I17" s="13">
        <v>165000000</v>
      </c>
    </row>
    <row r="18" spans="2:9" x14ac:dyDescent="0.25">
      <c r="B18" s="26" t="s">
        <v>8</v>
      </c>
      <c r="C18" s="27">
        <f>SUM(E5:P7)</f>
        <v>731744989.15199995</v>
      </c>
      <c r="E18" s="5" t="s">
        <v>3</v>
      </c>
      <c r="F18" s="6">
        <f>NPV(F15,E12:P12)</f>
        <v>548654224.2335633</v>
      </c>
    </row>
    <row r="19" spans="2:9" x14ac:dyDescent="0.25">
      <c r="B19" s="26" t="s">
        <v>9</v>
      </c>
      <c r="C19" s="27">
        <f>C17-C18</f>
        <v>1248255010.848</v>
      </c>
      <c r="E19" s="5" t="s">
        <v>0</v>
      </c>
      <c r="F19" s="7">
        <f>D9</f>
        <v>484569890.86000001</v>
      </c>
    </row>
    <row r="20" spans="2:9" ht="26.4" x14ac:dyDescent="0.25">
      <c r="B20" s="26" t="s">
        <v>10</v>
      </c>
      <c r="C20" s="27">
        <f>SUM(E8:P8)</f>
        <v>512604810.68678093</v>
      </c>
      <c r="E20" s="8" t="s">
        <v>4</v>
      </c>
      <c r="F20" s="9">
        <f>F18-F19</f>
        <v>64084333.37356329</v>
      </c>
    </row>
    <row r="21" spans="2:9" ht="26.4" x14ac:dyDescent="0.25">
      <c r="B21" s="26" t="s">
        <v>11</v>
      </c>
      <c r="C21" s="27">
        <f>C19-C20</f>
        <v>735650200.16121912</v>
      </c>
      <c r="E21" s="8" t="s">
        <v>5</v>
      </c>
      <c r="F21" s="25">
        <f>IRR(D12:P12)</f>
        <v>7.3543200332999881E-2</v>
      </c>
    </row>
    <row r="22" spans="2:9" ht="27" thickBot="1" x14ac:dyDescent="0.3">
      <c r="B22" s="28" t="s">
        <v>12</v>
      </c>
      <c r="C22" s="29">
        <f>C21-(C21*0.19)</f>
        <v>595876662.13058746</v>
      </c>
    </row>
  </sheetData>
  <mergeCells count="2">
    <mergeCell ref="B5:B9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7" workbookViewId="0">
      <selection activeCell="E19" sqref="E19:F25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2:16" x14ac:dyDescent="0.25">
      <c r="B5" s="39" t="s">
        <v>46</v>
      </c>
      <c r="C5" t="s">
        <v>41</v>
      </c>
      <c r="D5" s="13">
        <v>0</v>
      </c>
      <c r="E5" s="13">
        <f>'COSTOS PRY'!$G$33</f>
        <v>32310749.095999997</v>
      </c>
      <c r="F5" s="13">
        <f>'COSTOS PRY'!$G$33</f>
        <v>32310749.095999997</v>
      </c>
      <c r="G5" s="13">
        <f>'COSTOS PRY'!$G$33</f>
        <v>32310749.095999997</v>
      </c>
      <c r="H5" s="13">
        <f>'COSTOS PRY'!$G$33</f>
        <v>32310749.095999997</v>
      </c>
      <c r="I5" s="13">
        <f>'COSTOS PRY'!$G$33</f>
        <v>32310749.095999997</v>
      </c>
      <c r="J5" s="13">
        <f>'COSTOS PRY'!$G$33</f>
        <v>32310749.095999997</v>
      </c>
      <c r="K5" s="13">
        <f>'COSTOS PRY'!$G$33</f>
        <v>32310749.095999997</v>
      </c>
      <c r="L5" s="13">
        <f>'COSTOS PRY'!$G$33</f>
        <v>32310749.095999997</v>
      </c>
      <c r="M5" s="13">
        <f>'COSTOS PRY'!$G$33</f>
        <v>32310749.095999997</v>
      </c>
      <c r="N5" s="13">
        <f>'COSTOS PRY'!$G$33</f>
        <v>32310749.095999997</v>
      </c>
      <c r="O5" s="13">
        <f>'COSTOS PRY'!$G$33</f>
        <v>32310749.095999997</v>
      </c>
      <c r="P5" s="13">
        <f>'COSTOS PRY'!$G$33</f>
        <v>32310749.095999997</v>
      </c>
    </row>
    <row r="6" spans="2:16" x14ac:dyDescent="0.25">
      <c r="B6" s="39"/>
      <c r="C6" t="s">
        <v>42</v>
      </c>
      <c r="D6" s="13">
        <v>0</v>
      </c>
      <c r="E6" s="13">
        <f>'COSTOS PRY'!$D$35</f>
        <v>25668000</v>
      </c>
      <c r="F6" s="13">
        <f>'COSTOS PRY'!$D$35</f>
        <v>25668000</v>
      </c>
      <c r="G6" s="13">
        <f>'COSTOS PRY'!$D$35</f>
        <v>25668000</v>
      </c>
      <c r="H6" s="13">
        <f>'COSTOS PRY'!$D$35</f>
        <v>25668000</v>
      </c>
      <c r="I6" s="13">
        <f>'COSTOS PRY'!$D$35</f>
        <v>25668000</v>
      </c>
      <c r="J6" s="13">
        <f>'COSTOS PRY'!$D$35</f>
        <v>25668000</v>
      </c>
      <c r="K6" s="13">
        <f>'COSTOS PRY'!$D$35</f>
        <v>25668000</v>
      </c>
      <c r="L6" s="13">
        <f>'COSTOS PRY'!$D$35</f>
        <v>25668000</v>
      </c>
      <c r="M6" s="13">
        <f>'COSTOS PRY'!$D$35</f>
        <v>25668000</v>
      </c>
      <c r="N6" s="13">
        <f>'COSTOS PRY'!$D$35</f>
        <v>25668000</v>
      </c>
      <c r="O6" s="13">
        <f>'COSTOS PRY'!$D$35</f>
        <v>25668000</v>
      </c>
      <c r="P6" s="13">
        <f>'COSTOS PRY'!$D$35</f>
        <v>25668000</v>
      </c>
    </row>
    <row r="7" spans="2:16" x14ac:dyDescent="0.25">
      <c r="B7" s="39"/>
      <c r="C7" t="s">
        <v>43</v>
      </c>
      <c r="D7" s="13">
        <v>0</v>
      </c>
      <c r="E7" s="13">
        <v>3000000</v>
      </c>
      <c r="F7" s="13">
        <v>3000000</v>
      </c>
      <c r="G7" s="13">
        <v>3000000</v>
      </c>
      <c r="H7" s="13">
        <v>3000000</v>
      </c>
      <c r="I7" s="13">
        <v>3000000</v>
      </c>
      <c r="J7" s="13">
        <v>3000000</v>
      </c>
      <c r="K7" s="13">
        <v>3000000</v>
      </c>
      <c r="L7" s="13">
        <v>3000000</v>
      </c>
      <c r="M7" s="13">
        <v>3000000</v>
      </c>
      <c r="N7" s="13">
        <v>3000000</v>
      </c>
      <c r="O7" s="13">
        <v>3000000</v>
      </c>
      <c r="P7" s="13">
        <v>3000000</v>
      </c>
    </row>
    <row r="8" spans="2:16" x14ac:dyDescent="0.25">
      <c r="B8" s="39"/>
      <c r="C8" t="s">
        <v>44</v>
      </c>
      <c r="D8" s="13">
        <v>0</v>
      </c>
      <c r="E8" s="13">
        <f>Datos!$C$2*Datos!$C$4+Datos!$C$3*Datos!$C$5</f>
        <v>1066960000</v>
      </c>
      <c r="F8" s="13">
        <f>Datos!$C$2*Datos!$C$4+Datos!$C$3*Datos!$C$5</f>
        <v>1066960000</v>
      </c>
      <c r="G8" s="13">
        <f>Datos!$C$2*Datos!$C$4+Datos!$C$3*Datos!$C$5</f>
        <v>1066960000</v>
      </c>
      <c r="H8" s="13">
        <f>Datos!$C$2*Datos!$C$4+Datos!$C$3*Datos!$C$5</f>
        <v>1066960000</v>
      </c>
      <c r="I8" s="13">
        <f>Datos!$C$2*Datos!$C$4+Datos!$C$3*Datos!$C$5</f>
        <v>1066960000</v>
      </c>
      <c r="J8" s="13">
        <f>Datos!$C$2*Datos!$C$4+Datos!$C$3*Datos!$C$5</f>
        <v>1066960000</v>
      </c>
      <c r="K8" s="13">
        <f>Datos!$C$2*Datos!$C$4+Datos!$C$3*Datos!$C$5</f>
        <v>1066960000</v>
      </c>
      <c r="L8" s="13">
        <f>Datos!$C$2*Datos!$C$4+Datos!$C$3*Datos!$C$5</f>
        <v>1066960000</v>
      </c>
      <c r="M8" s="13">
        <f>Datos!$C$2*Datos!$C$4+Datos!$C$3*Datos!$C$5</f>
        <v>1066960000</v>
      </c>
      <c r="N8" s="13">
        <f>Datos!$C$2*Datos!$C$4+Datos!$C$3*Datos!$C$5</f>
        <v>1066960000</v>
      </c>
      <c r="O8" s="13">
        <f>Datos!$C$2*Datos!$C$4+Datos!$C$3*Datos!$C$5</f>
        <v>1066960000</v>
      </c>
      <c r="P8" s="13">
        <f>Datos!$C$2*Datos!$C$4+Datos!$C$3*Datos!$C$5</f>
        <v>1066960000</v>
      </c>
    </row>
    <row r="9" spans="2:16" x14ac:dyDescent="0.25">
      <c r="B9" s="39"/>
      <c r="C9" t="s">
        <v>71</v>
      </c>
      <c r="D9" s="13">
        <v>0</v>
      </c>
      <c r="E9" s="13">
        <f>Cotizaciónes!$C$6</f>
        <v>23617760</v>
      </c>
      <c r="F9" s="13">
        <f>Cotizaciónes!$C$6</f>
        <v>23617760</v>
      </c>
      <c r="G9" s="13">
        <f>Cotizaciónes!$C$6</f>
        <v>23617760</v>
      </c>
      <c r="H9" s="13">
        <f>Cotizaciónes!$C$6</f>
        <v>23617760</v>
      </c>
      <c r="I9" s="13">
        <f>Cotizaciónes!$C$6</f>
        <v>23617760</v>
      </c>
      <c r="J9" s="13">
        <f>Cotizaciónes!$C$6</f>
        <v>23617760</v>
      </c>
      <c r="K9" s="13">
        <f>Cotizaciónes!$C$6</f>
        <v>23617760</v>
      </c>
      <c r="L9" s="13">
        <f>Cotizaciónes!$C$6</f>
        <v>23617760</v>
      </c>
      <c r="M9" s="13">
        <f>Cotizaciónes!$C$6</f>
        <v>23617760</v>
      </c>
      <c r="N9" s="13">
        <f>Cotizaciónes!$C$6</f>
        <v>23617760</v>
      </c>
      <c r="O9" s="13">
        <f>Cotizaciónes!$C$6</f>
        <v>23617760</v>
      </c>
      <c r="P9" s="13">
        <f>Cotizaciónes!$C$6</f>
        <v>23617760</v>
      </c>
    </row>
    <row r="10" spans="2:16" x14ac:dyDescent="0.25">
      <c r="B10" s="39"/>
      <c r="C10" t="s">
        <v>45</v>
      </c>
      <c r="D10" s="13">
        <v>0</v>
      </c>
      <c r="E10" s="13">
        <f>Prestamo!H6</f>
        <v>136343866.66299999</v>
      </c>
      <c r="F10" s="13">
        <f>Prestamo!$H7</f>
        <v>139318641.93564728</v>
      </c>
      <c r="G10" s="13">
        <f>Prestamo!$H8</f>
        <v>142383652.05823153</v>
      </c>
      <c r="H10" s="13">
        <f>Prestamo!$H9</f>
        <v>145547733.2150811</v>
      </c>
      <c r="I10" s="13">
        <f>Prestamo!$H10</f>
        <v>148822557.21242046</v>
      </c>
      <c r="J10" s="13">
        <f>Prestamo!$H11</f>
        <v>152224215.66299009</v>
      </c>
      <c r="K10" s="13">
        <f>Prestamo!$H12</f>
        <v>155776114.02845988</v>
      </c>
      <c r="L10" s="13">
        <f>Prestamo!$H13</f>
        <v>159514740.76514289</v>
      </c>
      <c r="M10" s="13">
        <f>Prestamo!$H14</f>
        <v>163502609.28427145</v>
      </c>
      <c r="N10" s="13">
        <f>Prestamo!$H15</f>
        <v>167862678.86518535</v>
      </c>
      <c r="O10" s="13">
        <f>Prestamo!$H16</f>
        <v>172898559.23114091</v>
      </c>
      <c r="P10" s="13">
        <f>Prestamo!$H17</f>
        <v>179814501.60038656</v>
      </c>
    </row>
    <row r="11" spans="2:16" x14ac:dyDescent="0.25">
      <c r="B11" s="39"/>
      <c r="C11" t="s">
        <v>74</v>
      </c>
      <c r="D11" s="13">
        <v>0</v>
      </c>
      <c r="E11" s="13">
        <f>E8*0.19</f>
        <v>202722400</v>
      </c>
      <c r="F11" s="13">
        <f t="shared" ref="F11:P11" si="0">F8*0.19</f>
        <v>202722400</v>
      </c>
      <c r="G11" s="13">
        <f t="shared" si="0"/>
        <v>202722400</v>
      </c>
      <c r="H11" s="13">
        <f t="shared" si="0"/>
        <v>202722400</v>
      </c>
      <c r="I11" s="13">
        <f t="shared" si="0"/>
        <v>202722400</v>
      </c>
      <c r="J11" s="13">
        <f t="shared" si="0"/>
        <v>202722400</v>
      </c>
      <c r="K11" s="13">
        <f t="shared" si="0"/>
        <v>202722400</v>
      </c>
      <c r="L11" s="13">
        <f t="shared" si="0"/>
        <v>202722400</v>
      </c>
      <c r="M11" s="13">
        <f t="shared" si="0"/>
        <v>202722400</v>
      </c>
      <c r="N11" s="13">
        <f t="shared" si="0"/>
        <v>202722400</v>
      </c>
      <c r="O11" s="13">
        <f t="shared" si="0"/>
        <v>202722400</v>
      </c>
      <c r="P11" s="13">
        <f t="shared" si="0"/>
        <v>202722400</v>
      </c>
    </row>
    <row r="12" spans="2:16" x14ac:dyDescent="0.25">
      <c r="B12" s="39"/>
      <c r="C12" t="s">
        <v>77</v>
      </c>
      <c r="D12" s="13">
        <f>Datos!C8</f>
        <v>1636126399.9559999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</row>
    <row r="13" spans="2:16" ht="6" customHeight="1" x14ac:dyDescent="0.25">
      <c r="B13" s="22"/>
      <c r="C13" s="23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2:16" x14ac:dyDescent="0.25">
      <c r="B14" s="39" t="s">
        <v>48</v>
      </c>
      <c r="C14" t="s">
        <v>49</v>
      </c>
      <c r="D14" s="13">
        <v>0</v>
      </c>
      <c r="E14" s="13">
        <f>(Datos!$C$6*Datos!$C$2*0.9)+(Datos!$C$7*Datos!$C$3*0.9)</f>
        <v>1599312000</v>
      </c>
      <c r="F14" s="13">
        <f>(Datos!$C$6*Datos!$C$2*0.9)+(Datos!$C$7*Datos!$C$3*0.9)</f>
        <v>1599312000</v>
      </c>
      <c r="G14" s="13">
        <f>(Datos!$C$6*Datos!$C$2*0.9)+(Datos!$C$7*Datos!$C$3*0.9)</f>
        <v>1599312000</v>
      </c>
      <c r="H14" s="13">
        <f>(Datos!$C$6*Datos!$C$2*0.9)+(Datos!$C$7*Datos!$C$3*0.9)</f>
        <v>1599312000</v>
      </c>
      <c r="I14" s="13">
        <f>(Datos!$C$6*Datos!$C$2*0.9)+(Datos!$C$7*Datos!$C$3*0.9)</f>
        <v>1599312000</v>
      </c>
      <c r="J14" s="13">
        <f>(Datos!$C$6*Datos!$C$2*0.9)+(Datos!$C$7*Datos!$C$3*0.9)</f>
        <v>1599312000</v>
      </c>
      <c r="K14" s="13">
        <f>(Datos!$C$6*Datos!$C$2*0.9)+(Datos!$C$7*Datos!$C$3*0.9)</f>
        <v>1599312000</v>
      </c>
      <c r="L14" s="13">
        <f>(Datos!$C$6*Datos!$C$2*0.9)+(Datos!$C$7*Datos!$C$3*0.9)</f>
        <v>1599312000</v>
      </c>
      <c r="M14" s="13">
        <f>(Datos!$C$6*Datos!$C$2*0.9)+(Datos!$C$7*Datos!$C$3*0.9)</f>
        <v>1599312000</v>
      </c>
      <c r="N14" s="13">
        <f>(Datos!$C$6*Datos!$C$2*0.9)+(Datos!$C$7*Datos!$C$3*0.9)</f>
        <v>1599312000</v>
      </c>
      <c r="O14" s="13">
        <f>(Datos!$C$6*Datos!$C$2*0.9)+(Datos!$C$7*Datos!$C$3*0.9)</f>
        <v>1599312000</v>
      </c>
      <c r="P14" s="13">
        <f>(Datos!$C$6*Datos!$C$2*0.9)+(Datos!$C$7*Datos!$C$3*0.9)</f>
        <v>1599312000</v>
      </c>
    </row>
    <row r="15" spans="2:16" x14ac:dyDescent="0.25">
      <c r="B15" s="39"/>
      <c r="C15" t="s">
        <v>47</v>
      </c>
      <c r="D15" s="13">
        <v>0</v>
      </c>
      <c r="E15" s="13">
        <f>(Datos!$C$4*Datos!$C$2*0.1)+(Datos!$C$5*Datos!$C$3*0.1)</f>
        <v>106696000</v>
      </c>
      <c r="F15" s="13">
        <f>(Datos!$C$4*Datos!$C$2*0.1)+(Datos!$C$5*Datos!$C$3*0.1)</f>
        <v>106696000</v>
      </c>
      <c r="G15" s="13">
        <f>(Datos!$C$4*Datos!$C$2*0.1)+(Datos!$C$5*Datos!$C$3*0.1)</f>
        <v>106696000</v>
      </c>
      <c r="H15" s="13">
        <f>(Datos!$C$4*Datos!$C$2*0.1)+(Datos!$C$5*Datos!$C$3*0.1)</f>
        <v>106696000</v>
      </c>
      <c r="I15" s="13">
        <f>(Datos!$C$4*Datos!$C$2*0.1)+(Datos!$C$5*Datos!$C$3*0.1)</f>
        <v>106696000</v>
      </c>
      <c r="J15" s="13">
        <f>(Datos!$C$4*Datos!$C$2*0.1)+(Datos!$C$5*Datos!$C$3*0.1)</f>
        <v>106696000</v>
      </c>
      <c r="K15" s="13">
        <f>(Datos!$C$4*Datos!$C$2*0.1)+(Datos!$C$5*Datos!$C$3*0.1)</f>
        <v>106696000</v>
      </c>
      <c r="L15" s="13">
        <f>(Datos!$C$4*Datos!$C$2*0.1)+(Datos!$C$5*Datos!$C$3*0.1)</f>
        <v>106696000</v>
      </c>
      <c r="M15" s="13">
        <f>(Datos!$C$4*Datos!$C$2*0.1)+(Datos!$C$5*Datos!$C$3*0.1)</f>
        <v>106696000</v>
      </c>
      <c r="N15" s="13">
        <f>(Datos!$C$4*Datos!$C$2*0.1)+(Datos!$C$5*Datos!$C$3*0.1)</f>
        <v>106696000</v>
      </c>
      <c r="O15" s="13">
        <f>(Datos!$C$4*Datos!$C$2*0.1)+(Datos!$C$5*Datos!$C$3*0.1)</f>
        <v>106696000</v>
      </c>
      <c r="P15" s="13">
        <f>(Datos!$C$4*Datos!$C$2*0.1)+(Datos!$C$5*Datos!$C$3*0.1)</f>
        <v>106696000</v>
      </c>
    </row>
    <row r="16" spans="2:16" x14ac:dyDescent="0.25">
      <c r="B16" t="s">
        <v>73</v>
      </c>
      <c r="D16" s="14">
        <f>SUM(D14:D15)-SUM(D5:D12)</f>
        <v>-1636126399.9559999</v>
      </c>
      <c r="E16" s="14">
        <f t="shared" ref="E16:P16" si="1">SUM(E14:E15)-SUM(E5:E11)</f>
        <v>215385224.24100018</v>
      </c>
      <c r="F16" s="14">
        <f t="shared" si="1"/>
        <v>212410448.96835279</v>
      </c>
      <c r="G16" s="14">
        <f t="shared" si="1"/>
        <v>209345438.84576845</v>
      </c>
      <c r="H16" s="14">
        <f t="shared" si="1"/>
        <v>206181357.68891907</v>
      </c>
      <c r="I16" s="14">
        <f t="shared" si="1"/>
        <v>202906533.69157958</v>
      </c>
      <c r="J16" s="14">
        <f t="shared" si="1"/>
        <v>199504875.24100995</v>
      </c>
      <c r="K16" s="14">
        <f t="shared" si="1"/>
        <v>195952976.87554026</v>
      </c>
      <c r="L16" s="14">
        <f t="shared" si="1"/>
        <v>192214350.13885713</v>
      </c>
      <c r="M16" s="14">
        <f t="shared" si="1"/>
        <v>188226481.61972857</v>
      </c>
      <c r="N16" s="14">
        <f t="shared" si="1"/>
        <v>183866412.03881478</v>
      </c>
      <c r="O16" s="14">
        <f t="shared" si="1"/>
        <v>178830531.67285919</v>
      </c>
      <c r="P16" s="14">
        <f t="shared" si="1"/>
        <v>171914589.30361342</v>
      </c>
    </row>
    <row r="18" spans="2:6" ht="13.8" thickBot="1" x14ac:dyDescent="0.3"/>
    <row r="19" spans="2:6" ht="54.6" customHeight="1" thickBot="1" x14ac:dyDescent="0.3">
      <c r="B19" s="40" t="s">
        <v>6</v>
      </c>
      <c r="C19" s="41"/>
      <c r="E19" s="10" t="s">
        <v>85</v>
      </c>
      <c r="F19" s="11">
        <v>0.05</v>
      </c>
    </row>
    <row r="20" spans="2:6" x14ac:dyDescent="0.25">
      <c r="B20" s="30"/>
      <c r="C20" s="31"/>
      <c r="E20" s="2"/>
      <c r="F20" s="1"/>
    </row>
    <row r="21" spans="2:6" x14ac:dyDescent="0.25">
      <c r="B21" s="26" t="s">
        <v>7</v>
      </c>
      <c r="C21" s="27">
        <f>SUM(E14:P15)</f>
        <v>20472096000</v>
      </c>
      <c r="E21" s="3" t="s">
        <v>2</v>
      </c>
      <c r="F21" s="4"/>
    </row>
    <row r="22" spans="2:6" x14ac:dyDescent="0.25">
      <c r="B22" s="26" t="s">
        <v>8</v>
      </c>
      <c r="C22" s="27">
        <f>SUM(E5:P9)</f>
        <v>13818678109.152</v>
      </c>
      <c r="E22" s="5" t="s">
        <v>3</v>
      </c>
      <c r="F22" s="6">
        <f>NPV(F19,E16:P16)</f>
        <v>1759969726.3265042</v>
      </c>
    </row>
    <row r="23" spans="2:6" x14ac:dyDescent="0.25">
      <c r="B23" s="26" t="s">
        <v>9</v>
      </c>
      <c r="C23" s="27">
        <f>C21-C22</f>
        <v>6653417890.8479996</v>
      </c>
      <c r="E23" s="5" t="s">
        <v>0</v>
      </c>
      <c r="F23" s="7">
        <f>D12</f>
        <v>1636126399.9559999</v>
      </c>
    </row>
    <row r="24" spans="2:6" ht="26.4" x14ac:dyDescent="0.25">
      <c r="B24" s="26" t="s">
        <v>10</v>
      </c>
      <c r="C24" s="27">
        <f>SUM(E10:P10)</f>
        <v>1864009870.5219574</v>
      </c>
      <c r="E24" s="8" t="s">
        <v>4</v>
      </c>
      <c r="F24" s="9">
        <f>F22-F23</f>
        <v>123843326.37050438</v>
      </c>
    </row>
    <row r="25" spans="2:6" ht="26.4" x14ac:dyDescent="0.25">
      <c r="B25" s="26" t="s">
        <v>11</v>
      </c>
      <c r="C25" s="27">
        <f>C23-C24</f>
        <v>4789408020.3260422</v>
      </c>
      <c r="E25" s="8" t="s">
        <v>5</v>
      </c>
      <c r="F25" s="25">
        <f>IRR(D16:P16)</f>
        <v>6.370178654323233E-2</v>
      </c>
    </row>
    <row r="26" spans="2:6" ht="27" thickBot="1" x14ac:dyDescent="0.3">
      <c r="B26" s="28" t="s">
        <v>12</v>
      </c>
      <c r="C26" s="29">
        <f>C25-SUM(E11:P11)</f>
        <v>2356739220.3260422</v>
      </c>
    </row>
  </sheetData>
  <mergeCells count="3">
    <mergeCell ref="B14:B15"/>
    <mergeCell ref="B5:B12"/>
    <mergeCell ref="B19:C1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3:G37"/>
  <sheetViews>
    <sheetView topLeftCell="A10" workbookViewId="0">
      <selection activeCell="D37" sqref="D37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13.88671875" customWidth="1"/>
    <col min="7" max="7" width="15.77734375" customWidth="1"/>
  </cols>
  <sheetData>
    <row r="3" spans="3:7" x14ac:dyDescent="0.25">
      <c r="C3" t="s">
        <v>13</v>
      </c>
      <c r="D3" t="s">
        <v>57</v>
      </c>
    </row>
    <row r="4" spans="3:7" x14ac:dyDescent="0.25">
      <c r="C4" t="s">
        <v>16</v>
      </c>
      <c r="D4" s="17">
        <v>21000000</v>
      </c>
    </row>
    <row r="5" spans="3:7" x14ac:dyDescent="0.25">
      <c r="C5" t="s">
        <v>17</v>
      </c>
      <c r="D5" s="13">
        <f>145669000*1.4</f>
        <v>203936600</v>
      </c>
    </row>
    <row r="6" spans="3:7" x14ac:dyDescent="0.25">
      <c r="C6" t="s">
        <v>18</v>
      </c>
      <c r="D6" s="19"/>
    </row>
    <row r="7" spans="3:7" x14ac:dyDescent="0.25">
      <c r="C7" t="s">
        <v>58</v>
      </c>
      <c r="D7" s="17">
        <f>(Cotizaciónes!C3+Cotizaciónes!C4)*4000</f>
        <v>225000000</v>
      </c>
    </row>
    <row r="8" spans="3:7" x14ac:dyDescent="0.25">
      <c r="C8" t="s">
        <v>59</v>
      </c>
      <c r="D8" s="13">
        <f>SUM(D4:D7)</f>
        <v>449936600</v>
      </c>
    </row>
    <row r="10" spans="3:7" x14ac:dyDescent="0.25">
      <c r="C10" t="s">
        <v>14</v>
      </c>
      <c r="D10" t="s">
        <v>57</v>
      </c>
    </row>
    <row r="11" spans="3:7" x14ac:dyDescent="0.25">
      <c r="C11" t="s">
        <v>19</v>
      </c>
      <c r="D11" s="15">
        <v>8376290.8600000003</v>
      </c>
    </row>
    <row r="12" spans="3:7" x14ac:dyDescent="0.25">
      <c r="C12" t="s">
        <v>20</v>
      </c>
      <c r="D12" s="13">
        <v>22320000</v>
      </c>
    </row>
    <row r="13" spans="3:7" x14ac:dyDescent="0.25">
      <c r="C13" t="s">
        <v>21</v>
      </c>
      <c r="D13" s="16">
        <v>3937000</v>
      </c>
    </row>
    <row r="14" spans="3:7" x14ac:dyDescent="0.25">
      <c r="C14" t="s">
        <v>59</v>
      </c>
      <c r="D14" s="13">
        <f>SUM(D11:D13)</f>
        <v>34633290.859999999</v>
      </c>
    </row>
    <row r="16" spans="3:7" x14ac:dyDescent="0.25">
      <c r="C16" t="s">
        <v>15</v>
      </c>
      <c r="D16" t="s">
        <v>54</v>
      </c>
      <c r="E16" t="s">
        <v>55</v>
      </c>
      <c r="F16" t="s">
        <v>56</v>
      </c>
      <c r="G16" t="s">
        <v>59</v>
      </c>
    </row>
    <row r="17" spans="3:7" x14ac:dyDescent="0.25">
      <c r="C17" s="20" t="s">
        <v>66</v>
      </c>
      <c r="D17" s="16">
        <v>908526</v>
      </c>
      <c r="E17" s="13">
        <f>D17*0.0696</f>
        <v>63233.409599999999</v>
      </c>
      <c r="F17" s="13">
        <f>D17*0.25</f>
        <v>227131.5</v>
      </c>
      <c r="G17" s="13">
        <f>SUM(D17:F17)</f>
        <v>1198890.9095999999</v>
      </c>
    </row>
    <row r="18" spans="3:7" x14ac:dyDescent="0.25">
      <c r="C18" s="20" t="s">
        <v>66</v>
      </c>
      <c r="D18" s="16">
        <v>908526</v>
      </c>
      <c r="E18" s="13">
        <f t="shared" ref="E18:E32" si="0">D18*0.0696</f>
        <v>63233.409599999999</v>
      </c>
      <c r="F18" s="13">
        <f t="shared" ref="F18" si="1">D18*0.25</f>
        <v>227131.5</v>
      </c>
      <c r="G18" s="13">
        <f t="shared" ref="G18" si="2">SUM(D18:F18)</f>
        <v>1198890.9095999999</v>
      </c>
    </row>
    <row r="19" spans="3:7" x14ac:dyDescent="0.25">
      <c r="C19" s="20" t="s">
        <v>66</v>
      </c>
      <c r="D19" s="16">
        <v>908526</v>
      </c>
      <c r="E19" s="13">
        <f>D19*0.0696</f>
        <v>63233.409599999999</v>
      </c>
      <c r="F19" s="13">
        <f>D19*0.25</f>
        <v>227131.5</v>
      </c>
      <c r="G19" s="13">
        <f>SUM(D19:F19)</f>
        <v>1198890.9095999999</v>
      </c>
    </row>
    <row r="20" spans="3:7" x14ac:dyDescent="0.25">
      <c r="C20" s="20" t="s">
        <v>66</v>
      </c>
      <c r="D20" s="16">
        <v>908526</v>
      </c>
      <c r="E20" s="13">
        <f t="shared" si="0"/>
        <v>63233.409599999999</v>
      </c>
      <c r="F20" s="13">
        <f t="shared" ref="F20:F32" si="3">D20*0.25</f>
        <v>227131.5</v>
      </c>
      <c r="G20" s="13">
        <f t="shared" ref="G20:G32" si="4">SUM(D20:F20)</f>
        <v>1198890.9095999999</v>
      </c>
    </row>
    <row r="21" spans="3:7" x14ac:dyDescent="0.25">
      <c r="C21" s="20" t="s">
        <v>66</v>
      </c>
      <c r="D21" s="16">
        <v>908526</v>
      </c>
      <c r="E21" s="13">
        <f t="shared" si="0"/>
        <v>63233.409599999999</v>
      </c>
      <c r="F21" s="13">
        <f t="shared" si="3"/>
        <v>227131.5</v>
      </c>
      <c r="G21" s="13">
        <f t="shared" si="4"/>
        <v>1198890.9095999999</v>
      </c>
    </row>
    <row r="22" spans="3:7" x14ac:dyDescent="0.25">
      <c r="C22" s="20" t="s">
        <v>66</v>
      </c>
      <c r="D22" s="16">
        <v>908526</v>
      </c>
      <c r="E22" s="13">
        <f t="shared" si="0"/>
        <v>63233.409599999999</v>
      </c>
      <c r="F22" s="13">
        <f t="shared" si="3"/>
        <v>227131.5</v>
      </c>
      <c r="G22" s="13">
        <f t="shared" si="4"/>
        <v>1198890.9095999999</v>
      </c>
    </row>
    <row r="23" spans="3:7" x14ac:dyDescent="0.25">
      <c r="C23" s="20" t="s">
        <v>66</v>
      </c>
      <c r="D23" s="16">
        <v>908526</v>
      </c>
      <c r="E23" s="13">
        <f t="shared" si="0"/>
        <v>63233.409599999999</v>
      </c>
      <c r="F23" s="13">
        <f t="shared" si="3"/>
        <v>227131.5</v>
      </c>
      <c r="G23" s="13">
        <f t="shared" si="4"/>
        <v>1198890.9095999999</v>
      </c>
    </row>
    <row r="24" spans="3:7" x14ac:dyDescent="0.25">
      <c r="C24" s="20" t="s">
        <v>67</v>
      </c>
      <c r="D24" s="17">
        <v>1400000</v>
      </c>
      <c r="E24" s="13">
        <f t="shared" si="0"/>
        <v>97440</v>
      </c>
      <c r="F24" s="13">
        <f t="shared" si="3"/>
        <v>350000</v>
      </c>
      <c r="G24" s="13">
        <f t="shared" si="4"/>
        <v>1847440</v>
      </c>
    </row>
    <row r="25" spans="3:7" x14ac:dyDescent="0.25">
      <c r="C25" s="20" t="s">
        <v>68</v>
      </c>
      <c r="D25" s="17">
        <v>1500000</v>
      </c>
      <c r="E25" s="13">
        <f t="shared" si="0"/>
        <v>104400</v>
      </c>
      <c r="F25" s="13">
        <f t="shared" si="3"/>
        <v>375000</v>
      </c>
      <c r="G25" s="13">
        <f t="shared" si="4"/>
        <v>1979400</v>
      </c>
    </row>
    <row r="26" spans="3:7" x14ac:dyDescent="0.25">
      <c r="C26" s="20" t="s">
        <v>68</v>
      </c>
      <c r="D26" s="17">
        <v>1500000</v>
      </c>
      <c r="E26" s="13">
        <f t="shared" si="0"/>
        <v>104400</v>
      </c>
      <c r="F26" s="13">
        <f t="shared" si="3"/>
        <v>375000</v>
      </c>
      <c r="G26" s="13">
        <f t="shared" si="4"/>
        <v>1979400</v>
      </c>
    </row>
    <row r="27" spans="3:7" x14ac:dyDescent="0.25">
      <c r="C27" s="20" t="s">
        <v>69</v>
      </c>
      <c r="D27" s="17">
        <v>2000000</v>
      </c>
      <c r="E27" s="13">
        <f t="shared" si="0"/>
        <v>139200</v>
      </c>
      <c r="F27" s="13">
        <f t="shared" si="3"/>
        <v>500000</v>
      </c>
      <c r="G27" s="13">
        <f t="shared" si="4"/>
        <v>2639200</v>
      </c>
    </row>
    <row r="28" spans="3:7" x14ac:dyDescent="0.25">
      <c r="C28" s="20" t="s">
        <v>69</v>
      </c>
      <c r="D28" s="17">
        <v>2000000</v>
      </c>
      <c r="E28" s="13">
        <f t="shared" ref="E28:E29" si="5">D28*0.0696</f>
        <v>139200</v>
      </c>
      <c r="F28" s="13">
        <f t="shared" ref="F28:F29" si="6">D28*0.25</f>
        <v>500000</v>
      </c>
      <c r="G28" s="13">
        <f t="shared" ref="G28:G29" si="7">SUM(D28:F28)</f>
        <v>2639200</v>
      </c>
    </row>
    <row r="29" spans="3:7" x14ac:dyDescent="0.25">
      <c r="C29" s="20" t="s">
        <v>69</v>
      </c>
      <c r="D29" s="17">
        <v>2000000</v>
      </c>
      <c r="E29" s="13">
        <f t="shared" si="5"/>
        <v>139200</v>
      </c>
      <c r="F29" s="13">
        <f t="shared" si="6"/>
        <v>500000</v>
      </c>
      <c r="G29" s="13">
        <f t="shared" si="7"/>
        <v>2639200</v>
      </c>
    </row>
    <row r="30" spans="3:7" ht="14.4" customHeight="1" x14ac:dyDescent="0.25">
      <c r="C30" s="20" t="s">
        <v>69</v>
      </c>
      <c r="D30" s="17">
        <v>2000000</v>
      </c>
      <c r="E30" s="13">
        <f t="shared" si="0"/>
        <v>139200</v>
      </c>
      <c r="F30" s="13">
        <f t="shared" si="3"/>
        <v>500000</v>
      </c>
      <c r="G30" s="13">
        <f t="shared" si="4"/>
        <v>2639200</v>
      </c>
    </row>
    <row r="31" spans="3:7" ht="14.4" customHeight="1" x14ac:dyDescent="0.25">
      <c r="C31" s="20" t="s">
        <v>76</v>
      </c>
      <c r="D31" s="17">
        <f>3000000</f>
        <v>3000000</v>
      </c>
      <c r="E31" s="13">
        <f t="shared" si="0"/>
        <v>208800</v>
      </c>
      <c r="F31" s="13">
        <f t="shared" si="3"/>
        <v>750000</v>
      </c>
      <c r="G31" s="13">
        <f t="shared" si="4"/>
        <v>3958800</v>
      </c>
    </row>
    <row r="32" spans="3:7" x14ac:dyDescent="0.25">
      <c r="C32" s="20" t="s">
        <v>75</v>
      </c>
      <c r="D32" s="17">
        <f>908526*3</f>
        <v>2725578</v>
      </c>
      <c r="E32" s="13">
        <f t="shared" si="0"/>
        <v>189700.22879999998</v>
      </c>
      <c r="F32" s="13">
        <f t="shared" si="3"/>
        <v>681394.5</v>
      </c>
      <c r="G32" s="13">
        <f t="shared" si="4"/>
        <v>3596672.7288000002</v>
      </c>
    </row>
    <row r="33" spans="3:7" x14ac:dyDescent="0.25">
      <c r="C33" s="42" t="s">
        <v>59</v>
      </c>
      <c r="D33" s="42"/>
      <c r="E33" s="42"/>
      <c r="F33" s="42"/>
      <c r="G33" s="14">
        <f>SUM(G17:G32)</f>
        <v>32310749.095999997</v>
      </c>
    </row>
    <row r="35" spans="3:7" ht="15.6" x14ac:dyDescent="0.35">
      <c r="C35" s="20" t="s">
        <v>70</v>
      </c>
      <c r="D35" s="21">
        <v>25668000</v>
      </c>
    </row>
    <row r="37" spans="3:7" x14ac:dyDescent="0.25">
      <c r="C37" t="s">
        <v>79</v>
      </c>
      <c r="D37" s="14">
        <f>SUM('Flujo Opción 1'!E5:E9)</f>
        <v>1151556509.096</v>
      </c>
    </row>
  </sheetData>
  <mergeCells count="1">
    <mergeCell ref="C33:F3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1:D12"/>
  <sheetViews>
    <sheetView workbookViewId="0">
      <selection activeCell="B2" sqref="B2:C12"/>
    </sheetView>
  </sheetViews>
  <sheetFormatPr defaultRowHeight="13.2" x14ac:dyDescent="0.25"/>
  <cols>
    <col min="2" max="2" width="26.6640625" customWidth="1"/>
    <col min="3" max="3" width="18.88671875" customWidth="1"/>
  </cols>
  <sheetData>
    <row r="1" spans="2:4" ht="13.8" thickBot="1" x14ac:dyDescent="0.3"/>
    <row r="2" spans="2:4" x14ac:dyDescent="0.25">
      <c r="B2" s="36" t="s">
        <v>22</v>
      </c>
      <c r="C2" s="32">
        <f>17112000*20/300</f>
        <v>1140800</v>
      </c>
    </row>
    <row r="3" spans="2:4" x14ac:dyDescent="0.25">
      <c r="B3" s="37" t="s">
        <v>23</v>
      </c>
      <c r="C3" s="43">
        <f>25856000*20/300</f>
        <v>1723733.3333333333</v>
      </c>
    </row>
    <row r="4" spans="2:4" x14ac:dyDescent="0.25">
      <c r="B4" s="37" t="s">
        <v>24</v>
      </c>
      <c r="C4" s="33">
        <v>210</v>
      </c>
      <c r="D4" s="18" t="s">
        <v>62</v>
      </c>
    </row>
    <row r="5" spans="2:4" x14ac:dyDescent="0.25">
      <c r="B5" s="37" t="s">
        <v>25</v>
      </c>
      <c r="C5" s="33">
        <v>480</v>
      </c>
      <c r="D5" s="18" t="s">
        <v>62</v>
      </c>
    </row>
    <row r="6" spans="2:4" x14ac:dyDescent="0.25">
      <c r="B6" s="37" t="s">
        <v>26</v>
      </c>
      <c r="C6" s="33">
        <v>500</v>
      </c>
    </row>
    <row r="7" spans="2:4" x14ac:dyDescent="0.25">
      <c r="B7" s="37" t="s">
        <v>27</v>
      </c>
      <c r="C7" s="33">
        <v>700</v>
      </c>
    </row>
    <row r="8" spans="2:4" x14ac:dyDescent="0.25">
      <c r="B8" s="37" t="s">
        <v>80</v>
      </c>
      <c r="C8" s="33">
        <f>'COSTOS PRY'!D8+'COSTOS PRY'!D14+'COSTOS PRY'!D37</f>
        <v>1636126399.9559999</v>
      </c>
    </row>
    <row r="9" spans="2:4" x14ac:dyDescent="0.25">
      <c r="B9" s="37" t="s">
        <v>82</v>
      </c>
      <c r="C9" s="33">
        <f>'COSTOS PRY'!D8+'COSTOS PRY'!D14</f>
        <v>484569890.86000001</v>
      </c>
    </row>
    <row r="10" spans="2:4" x14ac:dyDescent="0.25">
      <c r="B10" s="37" t="s">
        <v>53</v>
      </c>
      <c r="C10" s="34">
        <v>0.02</v>
      </c>
    </row>
    <row r="11" spans="2:4" x14ac:dyDescent="0.25">
      <c r="B11" s="37" t="s">
        <v>60</v>
      </c>
      <c r="C11" s="33">
        <f>'COSTOS PRY'!D8</f>
        <v>449936600</v>
      </c>
    </row>
    <row r="12" spans="2:4" ht="13.8" thickBot="1" x14ac:dyDescent="0.3">
      <c r="B12" s="38" t="s">
        <v>61</v>
      </c>
      <c r="C12" s="35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M17"/>
  <sheetViews>
    <sheetView workbookViewId="0">
      <selection activeCell="G23" sqref="G23"/>
    </sheetView>
  </sheetViews>
  <sheetFormatPr defaultRowHeight="13.2" x14ac:dyDescent="0.25"/>
  <cols>
    <col min="2" max="2" width="18.109375" customWidth="1"/>
    <col min="3" max="3" width="19.6640625" customWidth="1"/>
    <col min="8" max="8" width="20" customWidth="1"/>
    <col min="9" max="9" width="19.21875" customWidth="1"/>
    <col min="12" max="12" width="16.77734375" bestFit="1" customWidth="1"/>
    <col min="13" max="13" width="17.44140625" customWidth="1"/>
  </cols>
  <sheetData>
    <row r="2" spans="2:13" x14ac:dyDescent="0.25">
      <c r="B2" t="s">
        <v>81</v>
      </c>
      <c r="C2" s="13">
        <f>Datos!C8</f>
        <v>1636126399.9559999</v>
      </c>
    </row>
    <row r="3" spans="2:13" x14ac:dyDescent="0.25">
      <c r="B3" t="s">
        <v>53</v>
      </c>
      <c r="C3" s="12">
        <f>Datos!C10</f>
        <v>0.02</v>
      </c>
    </row>
    <row r="4" spans="2:13" x14ac:dyDescent="0.25">
      <c r="G4" t="s">
        <v>50</v>
      </c>
      <c r="H4" t="s">
        <v>51</v>
      </c>
      <c r="I4" t="s">
        <v>52</v>
      </c>
      <c r="K4" t="s">
        <v>50</v>
      </c>
      <c r="L4" t="s">
        <v>51</v>
      </c>
      <c r="M4" t="s">
        <v>52</v>
      </c>
    </row>
    <row r="5" spans="2:13" x14ac:dyDescent="0.25">
      <c r="B5" t="s">
        <v>84</v>
      </c>
      <c r="C5" s="13">
        <f>Datos!C11</f>
        <v>449936600</v>
      </c>
      <c r="G5">
        <v>0</v>
      </c>
      <c r="H5" s="13">
        <f>-C2</f>
        <v>-1636126399.9559999</v>
      </c>
      <c r="I5" s="13">
        <f>H5</f>
        <v>-1636126399.9559999</v>
      </c>
      <c r="K5">
        <v>0</v>
      </c>
      <c r="L5" s="13">
        <f>-C5</f>
        <v>-449936600</v>
      </c>
      <c r="M5" s="13">
        <f>L5</f>
        <v>-449936600</v>
      </c>
    </row>
    <row r="6" spans="2:13" x14ac:dyDescent="0.25">
      <c r="B6" t="s">
        <v>53</v>
      </c>
      <c r="C6" s="12">
        <f>Datos!C10</f>
        <v>0.02</v>
      </c>
      <c r="G6">
        <v>1</v>
      </c>
      <c r="H6" s="13">
        <f>-I5/(13-G6)</f>
        <v>136343866.66299999</v>
      </c>
      <c r="I6" s="13">
        <f>(I5*(1+$C$3)+H6)</f>
        <v>-1532505061.29212</v>
      </c>
      <c r="K6">
        <v>1</v>
      </c>
      <c r="L6" s="13">
        <f>-M5/(13-K6)</f>
        <v>37494716.666666664</v>
      </c>
      <c r="M6" s="13">
        <f>(M5*(1+$C$3)+L6)</f>
        <v>-421440615.33333331</v>
      </c>
    </row>
    <row r="7" spans="2:13" x14ac:dyDescent="0.25">
      <c r="G7">
        <v>2</v>
      </c>
      <c r="H7" s="13">
        <f>-I6/(13-G7)</f>
        <v>139318641.93564728</v>
      </c>
      <c r="I7" s="13">
        <f t="shared" ref="I7:I16" si="0">(I6*(1+$C$3)+H7)</f>
        <v>-1423836520.5823152</v>
      </c>
      <c r="K7">
        <v>2</v>
      </c>
      <c r="L7" s="13">
        <f>-M6/(13-K7)</f>
        <v>38312783.212121211</v>
      </c>
      <c r="M7" s="13">
        <f t="shared" ref="M7:M16" si="1">(M6*(1+$C$3)+L7)</f>
        <v>-391556644.4278788</v>
      </c>
    </row>
    <row r="8" spans="2:13" x14ac:dyDescent="0.25">
      <c r="G8">
        <v>3</v>
      </c>
      <c r="H8" s="13">
        <f t="shared" ref="H8:H16" si="2">-I7/(13-G8)</f>
        <v>142383652.05823153</v>
      </c>
      <c r="I8" s="13">
        <f t="shared" si="0"/>
        <v>-1309929598.93573</v>
      </c>
      <c r="K8">
        <v>3</v>
      </c>
      <c r="L8" s="13">
        <f t="shared" ref="L8:L16" si="3">-M7/(13-K8)</f>
        <v>39155664.442787878</v>
      </c>
      <c r="M8" s="13">
        <f t="shared" si="1"/>
        <v>-360232112.87364846</v>
      </c>
    </row>
    <row r="9" spans="2:13" x14ac:dyDescent="0.25">
      <c r="G9">
        <v>4</v>
      </c>
      <c r="H9" s="13">
        <f t="shared" si="2"/>
        <v>145547733.2150811</v>
      </c>
      <c r="I9" s="13">
        <f t="shared" si="0"/>
        <v>-1190580457.6993637</v>
      </c>
      <c r="K9">
        <v>4</v>
      </c>
      <c r="L9" s="13">
        <f t="shared" si="3"/>
        <v>40025790.319294274</v>
      </c>
      <c r="M9" s="13">
        <f t="shared" si="1"/>
        <v>-327410964.81182718</v>
      </c>
    </row>
    <row r="10" spans="2:13" x14ac:dyDescent="0.25">
      <c r="G10">
        <v>5</v>
      </c>
      <c r="H10" s="13">
        <f t="shared" si="2"/>
        <v>148822557.21242046</v>
      </c>
      <c r="I10" s="13">
        <f t="shared" si="0"/>
        <v>-1065569509.6409307</v>
      </c>
      <c r="K10">
        <v>5</v>
      </c>
      <c r="L10" s="13">
        <f t="shared" si="3"/>
        <v>40926370.601478398</v>
      </c>
      <c r="M10" s="13">
        <f t="shared" si="1"/>
        <v>-293032813.50658536</v>
      </c>
    </row>
    <row r="11" spans="2:13" x14ac:dyDescent="0.25">
      <c r="G11">
        <v>6</v>
      </c>
      <c r="H11" s="13">
        <f t="shared" si="2"/>
        <v>152224215.66299009</v>
      </c>
      <c r="I11" s="13">
        <f t="shared" si="0"/>
        <v>-934656684.1707592</v>
      </c>
      <c r="K11">
        <v>6</v>
      </c>
      <c r="L11" s="13">
        <f t="shared" si="3"/>
        <v>41861830.500940762</v>
      </c>
      <c r="M11" s="13">
        <f t="shared" si="1"/>
        <v>-257031639.2757763</v>
      </c>
    </row>
    <row r="12" spans="2:13" x14ac:dyDescent="0.25">
      <c r="G12">
        <v>7</v>
      </c>
      <c r="H12" s="13">
        <f t="shared" si="2"/>
        <v>155776114.02845988</v>
      </c>
      <c r="I12" s="13">
        <f t="shared" si="0"/>
        <v>-797573703.82571447</v>
      </c>
      <c r="K12">
        <v>7</v>
      </c>
      <c r="L12" s="13">
        <f t="shared" si="3"/>
        <v>42838606.545962714</v>
      </c>
      <c r="M12" s="13">
        <f t="shared" si="1"/>
        <v>-219333665.51532909</v>
      </c>
    </row>
    <row r="13" spans="2:13" x14ac:dyDescent="0.25">
      <c r="G13">
        <v>8</v>
      </c>
      <c r="H13" s="13">
        <f t="shared" si="2"/>
        <v>159514740.76514289</v>
      </c>
      <c r="I13" s="13">
        <f t="shared" si="0"/>
        <v>-654010437.1370858</v>
      </c>
      <c r="K13">
        <v>8</v>
      </c>
      <c r="L13" s="13">
        <f t="shared" si="3"/>
        <v>43866733.103065819</v>
      </c>
      <c r="M13" s="13">
        <f t="shared" si="1"/>
        <v>-179853605.72256985</v>
      </c>
    </row>
    <row r="14" spans="2:13" x14ac:dyDescent="0.25">
      <c r="G14">
        <v>9</v>
      </c>
      <c r="H14" s="13">
        <f t="shared" si="2"/>
        <v>163502609.28427145</v>
      </c>
      <c r="I14" s="13">
        <f t="shared" si="0"/>
        <v>-503588036.59555602</v>
      </c>
      <c r="K14">
        <v>9</v>
      </c>
      <c r="L14" s="13">
        <f t="shared" si="3"/>
        <v>44963401.430642463</v>
      </c>
      <c r="M14" s="13">
        <f t="shared" si="1"/>
        <v>-138487276.40637881</v>
      </c>
    </row>
    <row r="15" spans="2:13" x14ac:dyDescent="0.25">
      <c r="G15">
        <v>10</v>
      </c>
      <c r="H15" s="13">
        <f t="shared" si="2"/>
        <v>167862678.86518535</v>
      </c>
      <c r="I15" s="13">
        <f t="shared" si="0"/>
        <v>-345797118.46228182</v>
      </c>
      <c r="K15">
        <v>10</v>
      </c>
      <c r="L15" s="13">
        <f t="shared" si="3"/>
        <v>46162425.468792938</v>
      </c>
      <c r="M15" s="13">
        <f t="shared" si="1"/>
        <v>-95094596.465713441</v>
      </c>
    </row>
    <row r="16" spans="2:13" x14ac:dyDescent="0.25">
      <c r="G16">
        <v>11</v>
      </c>
      <c r="H16" s="13">
        <f t="shared" si="2"/>
        <v>172898559.23114091</v>
      </c>
      <c r="I16" s="13">
        <f t="shared" si="0"/>
        <v>-179814501.60038656</v>
      </c>
      <c r="K16">
        <v>11</v>
      </c>
      <c r="L16" s="13">
        <f t="shared" si="3"/>
        <v>47547298.232856721</v>
      </c>
      <c r="M16" s="13">
        <f t="shared" si="1"/>
        <v>-49449190.162170991</v>
      </c>
    </row>
    <row r="17" spans="7:13" x14ac:dyDescent="0.25">
      <c r="G17">
        <v>12</v>
      </c>
      <c r="H17" s="13">
        <f>-I16/(13-G17)</f>
        <v>179814501.60038656</v>
      </c>
      <c r="I17" s="13">
        <f>0</f>
        <v>0</v>
      </c>
      <c r="K17">
        <v>12</v>
      </c>
      <c r="L17" s="13">
        <f>-M16/(13-K17)</f>
        <v>49449190.162170991</v>
      </c>
      <c r="M17" s="13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3:D6"/>
  <sheetViews>
    <sheetView workbookViewId="0">
      <selection activeCell="C6" sqref="C6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3" spans="2:4" x14ac:dyDescent="0.25">
      <c r="B3" t="s">
        <v>63</v>
      </c>
      <c r="C3">
        <v>26250</v>
      </c>
      <c r="D3" t="s">
        <v>64</v>
      </c>
    </row>
    <row r="4" spans="2:4" x14ac:dyDescent="0.25">
      <c r="B4" t="s">
        <v>65</v>
      </c>
      <c r="C4">
        <v>30000</v>
      </c>
      <c r="D4" t="s">
        <v>64</v>
      </c>
    </row>
    <row r="6" spans="2:4" x14ac:dyDescent="0.25">
      <c r="B6" t="s">
        <v>72</v>
      </c>
      <c r="C6" s="13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2021-12-12T20:48:35Z</dcterms:modified>
</cp:coreProperties>
</file>