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esktop\Unal\APM\Proyecto\APM\Evaluación economica\"/>
    </mc:Choice>
  </mc:AlternateContent>
  <xr:revisionPtr revIDLastSave="0" documentId="13_ncr:1_{BC8F76D0-06B0-40CE-8D10-28B40920A35E}" xr6:coauthVersionLast="47" xr6:coauthVersionMax="47" xr10:uidLastSave="{00000000-0000-0000-0000-000000000000}"/>
  <bookViews>
    <workbookView xWindow="-108" yWindow="-108" windowWidth="23256" windowHeight="12576" tabRatio="750" activeTab="3" xr2:uid="{86E37AEA-507A-4C4C-95B6-664C68D3C326}"/>
  </bookViews>
  <sheets>
    <sheet name="Flujo Opción 2" sheetId="8" r:id="rId1"/>
    <sheet name="Flujo Opción 1" sheetId="4" r:id="rId2"/>
    <sheet name="COSTOS PRY" sheetId="2" r:id="rId3"/>
    <sheet name="Datos" sheetId="5" r:id="rId4"/>
    <sheet name="Prestamo" sheetId="6" r:id="rId5"/>
    <sheet name="Cotizaciónes" sheetId="7" r:id="rId6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4" l="1"/>
  <c r="E11" i="4"/>
  <c r="F11" i="4"/>
  <c r="G11" i="4"/>
  <c r="H11" i="4"/>
  <c r="I11" i="4"/>
  <c r="J11" i="4"/>
  <c r="K11" i="4"/>
  <c r="L11" i="4"/>
  <c r="M11" i="4"/>
  <c r="N11" i="4"/>
  <c r="O11" i="4"/>
  <c r="P11" i="4"/>
  <c r="C8" i="5"/>
  <c r="C3" i="5"/>
  <c r="C2" i="5"/>
  <c r="F11" i="8"/>
  <c r="G11" i="8"/>
  <c r="H11" i="8"/>
  <c r="I11" i="8"/>
  <c r="J11" i="8"/>
  <c r="K11" i="8"/>
  <c r="L11" i="8"/>
  <c r="M11" i="8"/>
  <c r="N11" i="8"/>
  <c r="O11" i="8"/>
  <c r="P11" i="8"/>
  <c r="E11" i="8"/>
  <c r="G33" i="2"/>
  <c r="G29" i="2"/>
  <c r="F29" i="2"/>
  <c r="E29" i="2"/>
  <c r="G28" i="2"/>
  <c r="F28" i="2"/>
  <c r="E28" i="2"/>
  <c r="P6" i="8"/>
  <c r="O6" i="8"/>
  <c r="N6" i="8"/>
  <c r="M6" i="8"/>
  <c r="L6" i="8"/>
  <c r="K6" i="8"/>
  <c r="J6" i="8"/>
  <c r="I6" i="8"/>
  <c r="H6" i="8"/>
  <c r="G6" i="8"/>
  <c r="F6" i="8"/>
  <c r="E6" i="8"/>
  <c r="I17" i="6"/>
  <c r="D31" i="2"/>
  <c r="D32" i="2"/>
  <c r="F18" i="2"/>
  <c r="E18" i="2"/>
  <c r="G18" i="2" s="1"/>
  <c r="F17" i="2"/>
  <c r="E17" i="2"/>
  <c r="G17" i="2" s="1"/>
  <c r="F14" i="4"/>
  <c r="G14" i="4"/>
  <c r="H14" i="4"/>
  <c r="I14" i="4"/>
  <c r="J14" i="4"/>
  <c r="K14" i="4"/>
  <c r="L14" i="4"/>
  <c r="M14" i="4"/>
  <c r="N14" i="4"/>
  <c r="O14" i="4"/>
  <c r="P14" i="4"/>
  <c r="E14" i="4"/>
  <c r="E15" i="4"/>
  <c r="F15" i="4"/>
  <c r="F9" i="4"/>
  <c r="G9" i="4"/>
  <c r="H9" i="4"/>
  <c r="I9" i="4"/>
  <c r="J9" i="4"/>
  <c r="K9" i="4"/>
  <c r="L9" i="4"/>
  <c r="M9" i="4"/>
  <c r="N9" i="4"/>
  <c r="O9" i="4"/>
  <c r="P9" i="4"/>
  <c r="E9" i="4"/>
  <c r="C6" i="7"/>
  <c r="F6" i="4"/>
  <c r="G6" i="4"/>
  <c r="H6" i="4"/>
  <c r="I6" i="4"/>
  <c r="J6" i="4"/>
  <c r="K6" i="4"/>
  <c r="L6" i="4"/>
  <c r="M6" i="4"/>
  <c r="N6" i="4"/>
  <c r="O6" i="4"/>
  <c r="P6" i="4"/>
  <c r="E6" i="4"/>
  <c r="G15" i="4"/>
  <c r="H15" i="4"/>
  <c r="I15" i="4"/>
  <c r="J15" i="4"/>
  <c r="K15" i="4"/>
  <c r="L15" i="4"/>
  <c r="M15" i="4"/>
  <c r="N15" i="4"/>
  <c r="O15" i="4"/>
  <c r="P15" i="4"/>
  <c r="F8" i="4"/>
  <c r="G8" i="4"/>
  <c r="H8" i="4"/>
  <c r="I8" i="4"/>
  <c r="J8" i="4"/>
  <c r="K8" i="4"/>
  <c r="L8" i="4"/>
  <c r="M8" i="4"/>
  <c r="N8" i="4"/>
  <c r="O8" i="4"/>
  <c r="P8" i="4"/>
  <c r="E8" i="4"/>
  <c r="D7" i="2"/>
  <c r="D5" i="2"/>
  <c r="D14" i="2"/>
  <c r="C11" i="5" s="1"/>
  <c r="F20" i="2"/>
  <c r="F21" i="2"/>
  <c r="F22" i="2"/>
  <c r="F23" i="2"/>
  <c r="F24" i="2"/>
  <c r="F25" i="2"/>
  <c r="F26" i="2"/>
  <c r="F27" i="2"/>
  <c r="F30" i="2"/>
  <c r="F19" i="2"/>
  <c r="E20" i="2"/>
  <c r="E21" i="2"/>
  <c r="E22" i="2"/>
  <c r="E23" i="2"/>
  <c r="E24" i="2"/>
  <c r="E25" i="2"/>
  <c r="E26" i="2"/>
  <c r="E27" i="2"/>
  <c r="E30" i="2"/>
  <c r="E19" i="2"/>
  <c r="C3" i="6"/>
  <c r="E31" i="2" l="1"/>
  <c r="G31" i="2" s="1"/>
  <c r="F31" i="2"/>
  <c r="D8" i="2"/>
  <c r="C10" i="5" s="1"/>
  <c r="C17" i="8"/>
  <c r="C21" i="4"/>
  <c r="E32" i="2"/>
  <c r="F32" i="2"/>
  <c r="G22" i="2"/>
  <c r="G23" i="2"/>
  <c r="G24" i="2"/>
  <c r="G30" i="2"/>
  <c r="G20" i="2"/>
  <c r="G21" i="2"/>
  <c r="G25" i="2"/>
  <c r="G19" i="2"/>
  <c r="G27" i="2"/>
  <c r="G26" i="2"/>
  <c r="G32" i="2" l="1"/>
  <c r="P5" i="8" l="1"/>
  <c r="O5" i="8"/>
  <c r="N5" i="8"/>
  <c r="M5" i="8"/>
  <c r="J5" i="8"/>
  <c r="H5" i="8"/>
  <c r="G5" i="8"/>
  <c r="F5" i="8"/>
  <c r="E5" i="8"/>
  <c r="L5" i="8"/>
  <c r="K5" i="8"/>
  <c r="I5" i="8"/>
  <c r="C18" i="8" l="1"/>
  <c r="C19" i="8" s="1"/>
  <c r="K5" i="4" l="1"/>
  <c r="E5" i="4"/>
  <c r="D37" i="2" s="1"/>
  <c r="M5" i="4"/>
  <c r="H5" i="4"/>
  <c r="I5" i="4"/>
  <c r="P5" i="4"/>
  <c r="N5" i="4"/>
  <c r="F5" i="4"/>
  <c r="O5" i="4"/>
  <c r="G5" i="4"/>
  <c r="J5" i="4"/>
  <c r="L5" i="4"/>
  <c r="C22" i="4" l="1"/>
  <c r="C23" i="4" s="1"/>
  <c r="D12" i="4" l="1"/>
  <c r="D9" i="8"/>
  <c r="C2" i="6"/>
  <c r="H5" i="6" s="1"/>
  <c r="I5" i="6" s="1"/>
  <c r="D12" i="8" l="1"/>
  <c r="F19" i="8"/>
  <c r="D16" i="4"/>
  <c r="F23" i="4"/>
  <c r="H6" i="6"/>
  <c r="E10" i="4" l="1"/>
  <c r="E16" i="4" s="1"/>
  <c r="E8" i="8"/>
  <c r="I6" i="6"/>
  <c r="H7" i="6" s="1"/>
  <c r="F8" i="8" s="1"/>
  <c r="F12" i="8" s="1"/>
  <c r="E12" i="8" l="1"/>
  <c r="I7" i="6"/>
  <c r="H8" i="6" s="1"/>
  <c r="F10" i="4"/>
  <c r="F16" i="4" s="1"/>
  <c r="I8" i="6" l="1"/>
  <c r="H9" i="6" s="1"/>
  <c r="G8" i="8"/>
  <c r="G10" i="4"/>
  <c r="G16" i="4" s="1"/>
  <c r="H10" i="4" l="1"/>
  <c r="H16" i="4" s="1"/>
  <c r="H8" i="8"/>
  <c r="H12" i="8" s="1"/>
  <c r="G12" i="8"/>
  <c r="I9" i="6"/>
  <c r="H10" i="6" l="1"/>
  <c r="I10" i="4" l="1"/>
  <c r="I16" i="4" s="1"/>
  <c r="I8" i="8"/>
  <c r="I10" i="6"/>
  <c r="I12" i="8" l="1"/>
  <c r="H11" i="6"/>
  <c r="J10" i="4" l="1"/>
  <c r="J16" i="4" s="1"/>
  <c r="J8" i="8"/>
  <c r="I11" i="6"/>
  <c r="J12" i="8" l="1"/>
  <c r="H12" i="6"/>
  <c r="K10" i="4" l="1"/>
  <c r="K16" i="4" s="1"/>
  <c r="K8" i="8"/>
  <c r="I12" i="6"/>
  <c r="K12" i="8" l="1"/>
  <c r="H13" i="6"/>
  <c r="L10" i="4" l="1"/>
  <c r="L16" i="4" s="1"/>
  <c r="L8" i="8"/>
  <c r="L12" i="8" s="1"/>
  <c r="I13" i="6"/>
  <c r="H14" i="6" l="1"/>
  <c r="M10" i="4" l="1"/>
  <c r="M8" i="8"/>
  <c r="M12" i="8" s="1"/>
  <c r="M16" i="4"/>
  <c r="I14" i="6"/>
  <c r="H15" i="6" l="1"/>
  <c r="N10" i="4" l="1"/>
  <c r="N8" i="8"/>
  <c r="N12" i="8" s="1"/>
  <c r="N16" i="4"/>
  <c r="I15" i="6"/>
  <c r="H16" i="6" l="1"/>
  <c r="O10" i="4" l="1"/>
  <c r="O16" i="4" s="1"/>
  <c r="O8" i="8"/>
  <c r="O12" i="8" s="1"/>
  <c r="I16" i="6"/>
  <c r="H17" i="6" s="1"/>
  <c r="P8" i="8" s="1"/>
  <c r="P12" i="8" l="1"/>
  <c r="C20" i="8"/>
  <c r="C21" i="8" s="1"/>
  <c r="C22" i="8" s="1"/>
  <c r="P10" i="4"/>
  <c r="F18" i="8" l="1"/>
  <c r="F20" i="8" s="1"/>
  <c r="F21" i="8"/>
  <c r="P16" i="4"/>
  <c r="C25" i="4"/>
  <c r="C26" i="4" s="1"/>
  <c r="F25" i="4" l="1"/>
  <c r="F22" i="4"/>
  <c r="F24" i="4" s="1"/>
</calcChain>
</file>

<file path=xl/sharedStrings.xml><?xml version="1.0" encoding="utf-8"?>
<sst xmlns="http://schemas.openxmlformats.org/spreadsheetml/2006/main" count="134" uniqueCount="82">
  <si>
    <t>INVERSION</t>
  </si>
  <si>
    <t>GANANCIA 
        O
COSTO OPORTUNIDAD</t>
  </si>
  <si>
    <t>FLUJO NETO FINANCIADO</t>
  </si>
  <si>
    <t>VA</t>
  </si>
  <si>
    <t>VAN</t>
  </si>
  <si>
    <t>TIR</t>
  </si>
  <si>
    <t>ESTADO DE PERDIDAS Y GANANCIAS</t>
  </si>
  <si>
    <t>VENTAS</t>
  </si>
  <si>
    <t>COSTOS</t>
  </si>
  <si>
    <t>UTILIDAD BRUTA</t>
  </si>
  <si>
    <t>GASTOS FINANCIEROS</t>
  </si>
  <si>
    <t>UTILIDAD ANTES DE IMMPUESTOS</t>
  </si>
  <si>
    <t>UTILIDAD NETA DEL EJERCICIO</t>
  </si>
  <si>
    <t>HARDWARE</t>
  </si>
  <si>
    <t>SOFTWARE</t>
  </si>
  <si>
    <t>NOMINA</t>
  </si>
  <si>
    <t>PLCs</t>
  </si>
  <si>
    <t>Robots</t>
  </si>
  <si>
    <t>Sensores</t>
  </si>
  <si>
    <t>Studio 5000</t>
  </si>
  <si>
    <t>Siemenx NX</t>
  </si>
  <si>
    <t>Ignition</t>
  </si>
  <si>
    <t>Unidades producidas pimenton</t>
  </si>
  <si>
    <t>Unidades producidas aguacate</t>
  </si>
  <si>
    <t>Precio compra unidad pimenton</t>
  </si>
  <si>
    <t>Precio compra unidad aguacate</t>
  </si>
  <si>
    <t>Precio venta unidad pimenton</t>
  </si>
  <si>
    <t>Precio venta unidad aguacate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</si>
  <si>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</si>
  <si>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</si>
  <si>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</si>
  <si>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</si>
  <si>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</si>
  <si>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</si>
  <si>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</si>
  <si>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</si>
  <si>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</si>
  <si>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</si>
  <si>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</si>
  <si>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</si>
  <si>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</si>
  <si>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Nomina</t>
  </si>
  <si>
    <t>Arriendos</t>
  </si>
  <si>
    <t>Servicios</t>
  </si>
  <si>
    <t>Materia prima</t>
  </si>
  <si>
    <t>Abono a deuda</t>
  </si>
  <si>
    <t>PASIVOS</t>
  </si>
  <si>
    <t>Ventas a costo</t>
  </si>
  <si>
    <t>ACTIVOS</t>
  </si>
  <si>
    <t>Ventas mensuales</t>
  </si>
  <si>
    <t>Prestamo</t>
  </si>
  <si>
    <t>Valor del prestamo</t>
  </si>
  <si>
    <t>Periodo</t>
  </si>
  <si>
    <t>Flujo</t>
  </si>
  <si>
    <t>saldo</t>
  </si>
  <si>
    <t>Interes mensual</t>
  </si>
  <si>
    <t>Salario</t>
  </si>
  <si>
    <t>ARL</t>
  </si>
  <si>
    <t>Pensión</t>
  </si>
  <si>
    <t>Precio</t>
  </si>
  <si>
    <t>Maquinaria</t>
  </si>
  <si>
    <t>Total</t>
  </si>
  <si>
    <t>Costo maquinaria</t>
  </si>
  <si>
    <t>Costo de software</t>
  </si>
  <si>
    <t>271120_BOLETIN SEMANAL SIPSA_442.indd (dane.gov.co)</t>
  </si>
  <si>
    <t>Linea con maquina lavadora enceradora</t>
  </si>
  <si>
    <t>USD</t>
  </si>
  <si>
    <t>Maquina de selección</t>
  </si>
  <si>
    <t>Operario/Carguero</t>
  </si>
  <si>
    <t>Supervisor</t>
  </si>
  <si>
    <t>Tecnico</t>
  </si>
  <si>
    <t>Ingeniero</t>
  </si>
  <si>
    <t>Arriendo</t>
  </si>
  <si>
    <t>Logistica</t>
  </si>
  <si>
    <t>Translado de mercancía</t>
  </si>
  <si>
    <t>Flujo total</t>
  </si>
  <si>
    <t>IVA</t>
  </si>
  <si>
    <t>Varios</t>
  </si>
  <si>
    <t>Contabilidad y legal</t>
  </si>
  <si>
    <t>Deuda</t>
  </si>
  <si>
    <t>Cobro mensual</t>
  </si>
  <si>
    <t>Primeros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</si>
</sst>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202124"/>
      <name val="Arial"/>
      <family val="2"/>
    </font>
    <font>
      <u/>
      <sz val="10"/>
      <color theme="10"/>
      <name val="Arial"/>
      <family val="2"/>
    </font>
    <font>
      <sz val="10"/>
      <color rgb="FF000000"/>
      <name val="Barlow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44" fontId="1" fillId="0" borderId="0" xfId="2" applyFont="1" applyFill="1"/>
    <xf numFmtId="44" fontId="4" fillId="0" borderId="0" xfId="2" applyFont="1"/>
    <xf numFmtId="44" fontId="0" fillId="0" borderId="0" xfId="2" applyFont="1" applyFill="1"/>
    <xf numFmtId="0" fontId="5" fillId="0" borderId="0" xfId="3"/>
    <xf numFmtId="44" fontId="0" fillId="5" borderId="0" xfId="2" applyFont="1" applyFill="1"/>
    <xf numFmtId="0" fontId="0" fillId="0" borderId="0" xfId="0" applyFill="1"/>
    <xf numFmtId="44" fontId="6" fillId="0" borderId="0" xfId="2" applyFont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10" fontId="0" fillId="2" borderId="1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vertical="center" wrapText="1"/>
    </xf>
    <xf numFmtId="165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165" fontId="0" fillId="3" borderId="7" xfId="0" applyNumberFormat="1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3" xfId="2" applyNumberFormat="1" applyFont="1" applyBorder="1"/>
    <xf numFmtId="0" fontId="0" fillId="0" borderId="5" xfId="2" applyNumberFormat="1" applyFont="1" applyBorder="1"/>
    <xf numFmtId="44" fontId="0" fillId="0" borderId="5" xfId="2" applyFont="1" applyBorder="1"/>
    <xf numFmtId="9" fontId="0" fillId="0" borderId="5" xfId="2" applyNumberFormat="1" applyFont="1" applyBorder="1"/>
    <xf numFmtId="44" fontId="0" fillId="0" borderId="7" xfId="2" applyFont="1" applyBorder="1"/>
    <xf numFmtId="0" fontId="0" fillId="6" borderId="2" xfId="0" applyFill="1" applyBorder="1"/>
    <xf numFmtId="0" fontId="0" fillId="6" borderId="4" xfId="0" applyFill="1" applyBorder="1"/>
    <xf numFmtId="0" fontId="0" fillId="6" borderId="6" xfId="0" applyFill="1" applyBorder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937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198120</xdr:colOff>
      <xdr:row>13</xdr:row>
      <xdr:rowOff>144780</xdr:rowOff>
    </xdr:from>
    <xdr:to>
      <xdr:col>13</xdr:col>
      <xdr:colOff>426720</xdr:colOff>
      <xdr:row>26</xdr:row>
      <xdr:rowOff>91440</xdr:rowOff>
    </xdr:to>
    <xdr:pic>
      <xdr:nvPicPr>
        <xdr:cNvPr id="3088" name="Picture 16" descr="Conoce los porcentajes para la liquidación ARL según la clase de riesgo.">
          <a:extLst>
            <a:ext uri="{FF2B5EF4-FFF2-40B4-BE49-F238E27FC236}">
              <a16:creationId xmlns:a16="http://schemas.microsoft.com/office/drawing/2014/main" id="{D59D3CB7-D134-4D6B-A017-BB3A83D28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2324100"/>
          <a:ext cx="4983480" cy="212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ne.gov.co/files/investigaciones/agropecuario/sipsa/Sem_21nov_2020__27nov_2020.pdf" TargetMode="External"/><Relationship Id="rId1" Type="http://schemas.openxmlformats.org/officeDocument/2006/relationships/hyperlink" Target="https://www.dane.gov.co/files/investigaciones/agropecuario/sipsa/Sem_21nov_2020__27nov_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15CF-6437-416C-BEA1-56EE97CC6200}">
  <dimension ref="B4:P22"/>
  <sheetViews>
    <sheetView workbookViewId="0">
      <selection activeCell="E15" sqref="E15:F21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2:16" x14ac:dyDescent="0.25">
      <c r="B5" s="26" t="s">
        <v>46</v>
      </c>
      <c r="C5" t="s">
        <v>41</v>
      </c>
      <c r="D5" s="13">
        <v>0</v>
      </c>
      <c r="E5" s="13">
        <f>'COSTOS PRY'!$G$33</f>
        <v>32310749.095999997</v>
      </c>
      <c r="F5" s="13">
        <f>'COSTOS PRY'!$G$33</f>
        <v>32310749.095999997</v>
      </c>
      <c r="G5" s="13">
        <f>'COSTOS PRY'!$G$33</f>
        <v>32310749.095999997</v>
      </c>
      <c r="H5" s="13">
        <f>'COSTOS PRY'!$G$33</f>
        <v>32310749.095999997</v>
      </c>
      <c r="I5" s="13">
        <f>'COSTOS PRY'!$G$33</f>
        <v>32310749.095999997</v>
      </c>
      <c r="J5" s="13">
        <f>'COSTOS PRY'!$G$33</f>
        <v>32310749.095999997</v>
      </c>
      <c r="K5" s="13">
        <f>'COSTOS PRY'!$G$33</f>
        <v>32310749.095999997</v>
      </c>
      <c r="L5" s="13">
        <f>'COSTOS PRY'!$G$33</f>
        <v>32310749.095999997</v>
      </c>
      <c r="M5" s="13">
        <f>'COSTOS PRY'!$G$33</f>
        <v>32310749.095999997</v>
      </c>
      <c r="N5" s="13">
        <f>'COSTOS PRY'!$G$33</f>
        <v>32310749.095999997</v>
      </c>
      <c r="O5" s="13">
        <f>'COSTOS PRY'!$G$33</f>
        <v>32310749.095999997</v>
      </c>
      <c r="P5" s="13">
        <f>'COSTOS PRY'!$G$33</f>
        <v>32310749.095999997</v>
      </c>
    </row>
    <row r="6" spans="2:16" x14ac:dyDescent="0.25">
      <c r="B6" s="26"/>
      <c r="C6" t="s">
        <v>42</v>
      </c>
      <c r="D6" s="13">
        <v>0</v>
      </c>
      <c r="E6" s="13">
        <f>'COSTOS PRY'!$D$35</f>
        <v>25668000</v>
      </c>
      <c r="F6" s="13">
        <f>'COSTOS PRY'!$D$35</f>
        <v>25668000</v>
      </c>
      <c r="G6" s="13">
        <f>'COSTOS PRY'!$D$35</f>
        <v>25668000</v>
      </c>
      <c r="H6" s="13">
        <f>'COSTOS PRY'!$D$35</f>
        <v>25668000</v>
      </c>
      <c r="I6" s="13">
        <f>'COSTOS PRY'!$D$35</f>
        <v>25668000</v>
      </c>
      <c r="J6" s="13">
        <f>'COSTOS PRY'!$D$35</f>
        <v>25668000</v>
      </c>
      <c r="K6" s="13">
        <f>'COSTOS PRY'!$D$35</f>
        <v>25668000</v>
      </c>
      <c r="L6" s="13">
        <f>'COSTOS PRY'!$D$35</f>
        <v>25668000</v>
      </c>
      <c r="M6" s="13">
        <f>'COSTOS PRY'!$D$35</f>
        <v>25668000</v>
      </c>
      <c r="N6" s="13">
        <f>'COSTOS PRY'!$D$35</f>
        <v>25668000</v>
      </c>
      <c r="O6" s="13">
        <f>'COSTOS PRY'!$D$35</f>
        <v>25668000</v>
      </c>
      <c r="P6" s="13">
        <f>'COSTOS PRY'!$D$35</f>
        <v>25668000</v>
      </c>
    </row>
    <row r="7" spans="2:16" x14ac:dyDescent="0.25">
      <c r="B7" s="26"/>
      <c r="C7" t="s">
        <v>43</v>
      </c>
      <c r="D7" s="13">
        <v>0</v>
      </c>
      <c r="E7" s="13">
        <v>3000000</v>
      </c>
      <c r="F7" s="13">
        <v>3000000</v>
      </c>
      <c r="G7" s="13">
        <v>3000000</v>
      </c>
      <c r="H7" s="13">
        <v>3000000</v>
      </c>
      <c r="I7" s="13">
        <v>3000000</v>
      </c>
      <c r="J7" s="13">
        <v>3000000</v>
      </c>
      <c r="K7" s="13">
        <v>3000000</v>
      </c>
      <c r="L7" s="13">
        <v>3000000</v>
      </c>
      <c r="M7" s="13">
        <v>3000000</v>
      </c>
      <c r="N7" s="13">
        <v>3000000</v>
      </c>
      <c r="O7" s="13">
        <v>3000000</v>
      </c>
      <c r="P7" s="13">
        <v>3000000</v>
      </c>
    </row>
    <row r="8" spans="2:16" x14ac:dyDescent="0.25">
      <c r="B8" s="26"/>
      <c r="C8" t="s">
        <v>45</v>
      </c>
      <c r="D8" s="13">
        <v>0</v>
      </c>
      <c r="E8" s="13">
        <f>Prestamo!H6</f>
        <v>242930533.3296667</v>
      </c>
      <c r="F8" s="13">
        <f>Prestamo!$H7</f>
        <v>248230835.87504128</v>
      </c>
      <c r="G8" s="13">
        <f>Prestamo!$H8</f>
        <v>253691914.26429215</v>
      </c>
      <c r="H8" s="13">
        <f>Prestamo!$H9</f>
        <v>259329512.35905421</v>
      </c>
      <c r="I8" s="13">
        <f>Prestamo!$H10</f>
        <v>265164426.38713294</v>
      </c>
      <c r="J8" s="13">
        <f>Prestamo!$H11</f>
        <v>271225327.56169599</v>
      </c>
      <c r="K8" s="13">
        <f>Prestamo!$H12</f>
        <v>277553918.53813559</v>
      </c>
      <c r="L8" s="13">
        <f>Prestamo!$H13</f>
        <v>284215212.58305085</v>
      </c>
      <c r="M8" s="13">
        <f>Prestamo!$H14</f>
        <v>291320592.89762712</v>
      </c>
      <c r="N8" s="13">
        <f>Prestamo!$H15</f>
        <v>299089142.04156381</v>
      </c>
      <c r="O8" s="13">
        <f>Prestamo!$H16</f>
        <v>308061816.30281079</v>
      </c>
      <c r="P8" s="13">
        <f>Prestamo!$H17</f>
        <v>320384288.95492327</v>
      </c>
    </row>
    <row r="9" spans="2:16" x14ac:dyDescent="0.25">
      <c r="B9" s="26"/>
      <c r="C9" t="s">
        <v>79</v>
      </c>
      <c r="D9" s="13">
        <f>Datos!C8</f>
        <v>2915166399.9560003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</row>
    <row r="10" spans="2:16" ht="6" customHeight="1" x14ac:dyDescent="0.25">
      <c r="B10" s="22"/>
      <c r="C10" s="23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2:16" x14ac:dyDescent="0.25">
      <c r="B11" s="24" t="s">
        <v>48</v>
      </c>
      <c r="C11" t="s">
        <v>49</v>
      </c>
      <c r="D11" s="13">
        <v>0</v>
      </c>
      <c r="E11" s="13">
        <f>$I$17</f>
        <v>680000000</v>
      </c>
      <c r="F11" s="13">
        <f t="shared" ref="F11:P11" si="0">$I$17</f>
        <v>680000000</v>
      </c>
      <c r="G11" s="13">
        <f t="shared" si="0"/>
        <v>680000000</v>
      </c>
      <c r="H11" s="13">
        <f t="shared" si="0"/>
        <v>680000000</v>
      </c>
      <c r="I11" s="13">
        <f t="shared" si="0"/>
        <v>680000000</v>
      </c>
      <c r="J11" s="13">
        <f t="shared" si="0"/>
        <v>680000000</v>
      </c>
      <c r="K11" s="13">
        <f t="shared" si="0"/>
        <v>680000000</v>
      </c>
      <c r="L11" s="13">
        <f t="shared" si="0"/>
        <v>680000000</v>
      </c>
      <c r="M11" s="13">
        <f t="shared" si="0"/>
        <v>680000000</v>
      </c>
      <c r="N11" s="13">
        <f t="shared" si="0"/>
        <v>680000000</v>
      </c>
      <c r="O11" s="13">
        <f t="shared" si="0"/>
        <v>680000000</v>
      </c>
      <c r="P11" s="13">
        <f t="shared" si="0"/>
        <v>680000000</v>
      </c>
    </row>
    <row r="12" spans="2:16" x14ac:dyDescent="0.25">
      <c r="B12" t="s">
        <v>75</v>
      </c>
      <c r="D12" s="14">
        <f>SUM(D11:D11)-SUM(D5:D9)</f>
        <v>-2915166399.9560003</v>
      </c>
      <c r="E12" s="14">
        <f t="shared" ref="E12:P12" si="1">SUM(E11:E11)-SUM(E5:E8)</f>
        <v>376090717.57433331</v>
      </c>
      <c r="F12" s="14">
        <f t="shared" si="1"/>
        <v>370790415.02895874</v>
      </c>
      <c r="G12" s="14">
        <f t="shared" si="1"/>
        <v>365329336.63970786</v>
      </c>
      <c r="H12" s="14">
        <f t="shared" si="1"/>
        <v>359691738.54494578</v>
      </c>
      <c r="I12" s="14">
        <f t="shared" si="1"/>
        <v>353856824.51686704</v>
      </c>
      <c r="J12" s="14">
        <f t="shared" si="1"/>
        <v>347795923.34230399</v>
      </c>
      <c r="K12" s="14">
        <f t="shared" si="1"/>
        <v>341467332.3658644</v>
      </c>
      <c r="L12" s="14">
        <f t="shared" si="1"/>
        <v>334806038.32094914</v>
      </c>
      <c r="M12" s="14">
        <f t="shared" si="1"/>
        <v>327700658.00637287</v>
      </c>
      <c r="N12" s="14">
        <f t="shared" si="1"/>
        <v>319932108.86243618</v>
      </c>
      <c r="O12" s="14">
        <f t="shared" si="1"/>
        <v>310959434.6011892</v>
      </c>
      <c r="P12" s="14">
        <f t="shared" si="1"/>
        <v>298636961.94907671</v>
      </c>
    </row>
    <row r="14" spans="2:16" ht="13.8" thickBot="1" x14ac:dyDescent="0.3"/>
    <row r="15" spans="2:16" ht="54.6" customHeight="1" thickBot="1" x14ac:dyDescent="0.3">
      <c r="B15" s="34" t="s">
        <v>6</v>
      </c>
      <c r="C15" s="35"/>
      <c r="E15" s="10" t="s">
        <v>1</v>
      </c>
      <c r="F15" s="11">
        <v>0.05</v>
      </c>
    </row>
    <row r="16" spans="2:16" x14ac:dyDescent="0.25">
      <c r="B16" s="32"/>
      <c r="C16" s="33"/>
      <c r="E16" s="2"/>
      <c r="F16" s="1"/>
    </row>
    <row r="17" spans="2:9" x14ac:dyDescent="0.25">
      <c r="B17" s="28" t="s">
        <v>7</v>
      </c>
      <c r="C17" s="29">
        <f>SUM(E11:P11)</f>
        <v>8160000000</v>
      </c>
      <c r="E17" s="3" t="s">
        <v>2</v>
      </c>
      <c r="F17" s="4"/>
      <c r="H17" t="s">
        <v>80</v>
      </c>
      <c r="I17" s="13">
        <v>680000000</v>
      </c>
    </row>
    <row r="18" spans="2:9" x14ac:dyDescent="0.25">
      <c r="B18" s="28" t="s">
        <v>8</v>
      </c>
      <c r="C18" s="29">
        <f>SUM(E5:P7)</f>
        <v>731744989.15199995</v>
      </c>
      <c r="E18" s="5" t="s">
        <v>3</v>
      </c>
      <c r="F18" s="6">
        <f>NPV(F15,E12:P12)</f>
        <v>3067828194.1519456</v>
      </c>
    </row>
    <row r="19" spans="2:9" x14ac:dyDescent="0.25">
      <c r="B19" s="28" t="s">
        <v>9</v>
      </c>
      <c r="C19" s="29">
        <f>C17-C18</f>
        <v>7428255010.8479996</v>
      </c>
      <c r="E19" s="5" t="s">
        <v>0</v>
      </c>
      <c r="F19" s="7">
        <f>D9</f>
        <v>2915166399.9560003</v>
      </c>
    </row>
    <row r="20" spans="2:9" ht="26.4" x14ac:dyDescent="0.25">
      <c r="B20" s="28" t="s">
        <v>10</v>
      </c>
      <c r="C20" s="29">
        <f>SUM(E8:P8)</f>
        <v>3321197521.094995</v>
      </c>
      <c r="E20" s="8" t="s">
        <v>4</v>
      </c>
      <c r="F20" s="9">
        <f>F18-F19</f>
        <v>152661794.19594526</v>
      </c>
    </row>
    <row r="21" spans="2:9" ht="26.4" x14ac:dyDescent="0.25">
      <c r="B21" s="28" t="s">
        <v>11</v>
      </c>
      <c r="C21" s="29">
        <f>C19-C20</f>
        <v>4107057489.7530046</v>
      </c>
      <c r="E21" s="8" t="s">
        <v>5</v>
      </c>
      <c r="F21" s="25">
        <f>IRR(D12:P12)</f>
        <v>5.953676939117436E-2</v>
      </c>
    </row>
    <row r="22" spans="2:9" ht="27" thickBot="1" x14ac:dyDescent="0.3">
      <c r="B22" s="30" t="s">
        <v>12</v>
      </c>
      <c r="C22" s="31">
        <f>C21-(C21*0.19)</f>
        <v>3326716566.6999335</v>
      </c>
    </row>
  </sheetData>
  <mergeCells count="2">
    <mergeCell ref="B5:B9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4E06-930F-4524-B246-04747DB2E922}">
  <dimension ref="B4:P26"/>
  <sheetViews>
    <sheetView topLeftCell="A4" workbookViewId="0">
      <selection activeCell="D24" sqref="D24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2:16" x14ac:dyDescent="0.25">
      <c r="B5" s="26" t="s">
        <v>46</v>
      </c>
      <c r="C5" t="s">
        <v>41</v>
      </c>
      <c r="D5" s="13">
        <v>0</v>
      </c>
      <c r="E5" s="13">
        <f>'COSTOS PRY'!$G$33</f>
        <v>32310749.095999997</v>
      </c>
      <c r="F5" s="13">
        <f>'COSTOS PRY'!$G$33</f>
        <v>32310749.095999997</v>
      </c>
      <c r="G5" s="13">
        <f>'COSTOS PRY'!$G$33</f>
        <v>32310749.095999997</v>
      </c>
      <c r="H5" s="13">
        <f>'COSTOS PRY'!$G$33</f>
        <v>32310749.095999997</v>
      </c>
      <c r="I5" s="13">
        <f>'COSTOS PRY'!$G$33</f>
        <v>32310749.095999997</v>
      </c>
      <c r="J5" s="13">
        <f>'COSTOS PRY'!$G$33</f>
        <v>32310749.095999997</v>
      </c>
      <c r="K5" s="13">
        <f>'COSTOS PRY'!$G$33</f>
        <v>32310749.095999997</v>
      </c>
      <c r="L5" s="13">
        <f>'COSTOS PRY'!$G$33</f>
        <v>32310749.095999997</v>
      </c>
      <c r="M5" s="13">
        <f>'COSTOS PRY'!$G$33</f>
        <v>32310749.095999997</v>
      </c>
      <c r="N5" s="13">
        <f>'COSTOS PRY'!$G$33</f>
        <v>32310749.095999997</v>
      </c>
      <c r="O5" s="13">
        <f>'COSTOS PRY'!$G$33</f>
        <v>32310749.095999997</v>
      </c>
      <c r="P5" s="13">
        <f>'COSTOS PRY'!$G$33</f>
        <v>32310749.095999997</v>
      </c>
    </row>
    <row r="6" spans="2:16" x14ac:dyDescent="0.25">
      <c r="B6" s="26"/>
      <c r="C6" t="s">
        <v>42</v>
      </c>
      <c r="D6" s="13">
        <v>0</v>
      </c>
      <c r="E6" s="13">
        <f>'COSTOS PRY'!$D$35</f>
        <v>25668000</v>
      </c>
      <c r="F6" s="13">
        <f>'COSTOS PRY'!$D$35</f>
        <v>25668000</v>
      </c>
      <c r="G6" s="13">
        <f>'COSTOS PRY'!$D$35</f>
        <v>25668000</v>
      </c>
      <c r="H6" s="13">
        <f>'COSTOS PRY'!$D$35</f>
        <v>25668000</v>
      </c>
      <c r="I6" s="13">
        <f>'COSTOS PRY'!$D$35</f>
        <v>25668000</v>
      </c>
      <c r="J6" s="13">
        <f>'COSTOS PRY'!$D$35</f>
        <v>25668000</v>
      </c>
      <c r="K6" s="13">
        <f>'COSTOS PRY'!$D$35</f>
        <v>25668000</v>
      </c>
      <c r="L6" s="13">
        <f>'COSTOS PRY'!$D$35</f>
        <v>25668000</v>
      </c>
      <c r="M6" s="13">
        <f>'COSTOS PRY'!$D$35</f>
        <v>25668000</v>
      </c>
      <c r="N6" s="13">
        <f>'COSTOS PRY'!$D$35</f>
        <v>25668000</v>
      </c>
      <c r="O6" s="13">
        <f>'COSTOS PRY'!$D$35</f>
        <v>25668000</v>
      </c>
      <c r="P6" s="13">
        <f>'COSTOS PRY'!$D$35</f>
        <v>25668000</v>
      </c>
    </row>
    <row r="7" spans="2:16" x14ac:dyDescent="0.25">
      <c r="B7" s="26"/>
      <c r="C7" t="s">
        <v>43</v>
      </c>
      <c r="D7" s="13">
        <v>0</v>
      </c>
      <c r="E7" s="13">
        <v>3000000</v>
      </c>
      <c r="F7" s="13">
        <v>3000000</v>
      </c>
      <c r="G7" s="13">
        <v>3000000</v>
      </c>
      <c r="H7" s="13">
        <v>3000000</v>
      </c>
      <c r="I7" s="13">
        <v>3000000</v>
      </c>
      <c r="J7" s="13">
        <v>3000000</v>
      </c>
      <c r="K7" s="13">
        <v>3000000</v>
      </c>
      <c r="L7" s="13">
        <v>3000000</v>
      </c>
      <c r="M7" s="13">
        <v>3000000</v>
      </c>
      <c r="N7" s="13">
        <v>3000000</v>
      </c>
      <c r="O7" s="13">
        <v>3000000</v>
      </c>
      <c r="P7" s="13">
        <v>3000000</v>
      </c>
    </row>
    <row r="8" spans="2:16" x14ac:dyDescent="0.25">
      <c r="B8" s="26"/>
      <c r="C8" t="s">
        <v>44</v>
      </c>
      <c r="D8" s="13">
        <v>0</v>
      </c>
      <c r="E8" s="13">
        <f>Datos!$C$2*Datos!$C$4+Datos!$C$3*Datos!$C$5</f>
        <v>2346000000</v>
      </c>
      <c r="F8" s="13">
        <f>Datos!$C$2*Datos!$C$4+Datos!$C$3*Datos!$C$5</f>
        <v>2346000000</v>
      </c>
      <c r="G8" s="13">
        <f>Datos!$C$2*Datos!$C$4+Datos!$C$3*Datos!$C$5</f>
        <v>2346000000</v>
      </c>
      <c r="H8" s="13">
        <f>Datos!$C$2*Datos!$C$4+Datos!$C$3*Datos!$C$5</f>
        <v>2346000000</v>
      </c>
      <c r="I8" s="13">
        <f>Datos!$C$2*Datos!$C$4+Datos!$C$3*Datos!$C$5</f>
        <v>2346000000</v>
      </c>
      <c r="J8" s="13">
        <f>Datos!$C$2*Datos!$C$4+Datos!$C$3*Datos!$C$5</f>
        <v>2346000000</v>
      </c>
      <c r="K8" s="13">
        <f>Datos!$C$2*Datos!$C$4+Datos!$C$3*Datos!$C$5</f>
        <v>2346000000</v>
      </c>
      <c r="L8" s="13">
        <f>Datos!$C$2*Datos!$C$4+Datos!$C$3*Datos!$C$5</f>
        <v>2346000000</v>
      </c>
      <c r="M8" s="13">
        <f>Datos!$C$2*Datos!$C$4+Datos!$C$3*Datos!$C$5</f>
        <v>2346000000</v>
      </c>
      <c r="N8" s="13">
        <f>Datos!$C$2*Datos!$C$4+Datos!$C$3*Datos!$C$5</f>
        <v>2346000000</v>
      </c>
      <c r="O8" s="13">
        <f>Datos!$C$2*Datos!$C$4+Datos!$C$3*Datos!$C$5</f>
        <v>2346000000</v>
      </c>
      <c r="P8" s="13">
        <f>Datos!$C$2*Datos!$C$4+Datos!$C$3*Datos!$C$5</f>
        <v>2346000000</v>
      </c>
    </row>
    <row r="9" spans="2:16" x14ac:dyDescent="0.25">
      <c r="B9" s="26"/>
      <c r="C9" t="s">
        <v>73</v>
      </c>
      <c r="D9" s="13">
        <v>0</v>
      </c>
      <c r="E9" s="13">
        <f>Cotizaciónes!$C$6</f>
        <v>23617760</v>
      </c>
      <c r="F9" s="13">
        <f>Cotizaciónes!$C$6</f>
        <v>23617760</v>
      </c>
      <c r="G9" s="13">
        <f>Cotizaciónes!$C$6</f>
        <v>23617760</v>
      </c>
      <c r="H9" s="13">
        <f>Cotizaciónes!$C$6</f>
        <v>23617760</v>
      </c>
      <c r="I9" s="13">
        <f>Cotizaciónes!$C$6</f>
        <v>23617760</v>
      </c>
      <c r="J9" s="13">
        <f>Cotizaciónes!$C$6</f>
        <v>23617760</v>
      </c>
      <c r="K9" s="13">
        <f>Cotizaciónes!$C$6</f>
        <v>23617760</v>
      </c>
      <c r="L9" s="13">
        <f>Cotizaciónes!$C$6</f>
        <v>23617760</v>
      </c>
      <c r="M9" s="13">
        <f>Cotizaciónes!$C$6</f>
        <v>23617760</v>
      </c>
      <c r="N9" s="13">
        <f>Cotizaciónes!$C$6</f>
        <v>23617760</v>
      </c>
      <c r="O9" s="13">
        <f>Cotizaciónes!$C$6</f>
        <v>23617760</v>
      </c>
      <c r="P9" s="13">
        <f>Cotizaciónes!$C$6</f>
        <v>23617760</v>
      </c>
    </row>
    <row r="10" spans="2:16" x14ac:dyDescent="0.25">
      <c r="B10" s="26"/>
      <c r="C10" t="s">
        <v>45</v>
      </c>
      <c r="D10" s="13">
        <v>0</v>
      </c>
      <c r="E10" s="13">
        <f>Prestamo!H6</f>
        <v>242930533.3296667</v>
      </c>
      <c r="F10" s="13">
        <f>Prestamo!$H7</f>
        <v>248230835.87504128</v>
      </c>
      <c r="G10" s="13">
        <f>Prestamo!$H8</f>
        <v>253691914.26429215</v>
      </c>
      <c r="H10" s="13">
        <f>Prestamo!$H9</f>
        <v>259329512.35905421</v>
      </c>
      <c r="I10" s="13">
        <f>Prestamo!$H10</f>
        <v>265164426.38713294</v>
      </c>
      <c r="J10" s="13">
        <f>Prestamo!$H11</f>
        <v>271225327.56169599</v>
      </c>
      <c r="K10" s="13">
        <f>Prestamo!$H12</f>
        <v>277553918.53813559</v>
      </c>
      <c r="L10" s="13">
        <f>Prestamo!$H13</f>
        <v>284215212.58305085</v>
      </c>
      <c r="M10" s="13">
        <f>Prestamo!$H14</f>
        <v>291320592.89762712</v>
      </c>
      <c r="N10" s="13">
        <f>Prestamo!$H15</f>
        <v>299089142.04156381</v>
      </c>
      <c r="O10" s="13">
        <f>Prestamo!$H16</f>
        <v>308061816.30281079</v>
      </c>
      <c r="P10" s="13">
        <f>Prestamo!$H17</f>
        <v>320384288.95492327</v>
      </c>
    </row>
    <row r="11" spans="2:16" x14ac:dyDescent="0.25">
      <c r="B11" s="26"/>
      <c r="C11" t="s">
        <v>76</v>
      </c>
      <c r="D11" s="13">
        <v>0</v>
      </c>
      <c r="E11" s="13">
        <f>E8*0.19</f>
        <v>445740000</v>
      </c>
      <c r="F11" s="13">
        <f t="shared" ref="F11:P11" si="0">F8*0.19</f>
        <v>445740000</v>
      </c>
      <c r="G11" s="13">
        <f t="shared" si="0"/>
        <v>445740000</v>
      </c>
      <c r="H11" s="13">
        <f t="shared" si="0"/>
        <v>445740000</v>
      </c>
      <c r="I11" s="13">
        <f t="shared" si="0"/>
        <v>445740000</v>
      </c>
      <c r="J11" s="13">
        <f t="shared" si="0"/>
        <v>445740000</v>
      </c>
      <c r="K11" s="13">
        <f t="shared" si="0"/>
        <v>445740000</v>
      </c>
      <c r="L11" s="13">
        <f t="shared" si="0"/>
        <v>445740000</v>
      </c>
      <c r="M11" s="13">
        <f t="shared" si="0"/>
        <v>445740000</v>
      </c>
      <c r="N11" s="13">
        <f t="shared" si="0"/>
        <v>445740000</v>
      </c>
      <c r="O11" s="13">
        <f t="shared" si="0"/>
        <v>445740000</v>
      </c>
      <c r="P11" s="13">
        <f t="shared" si="0"/>
        <v>445740000</v>
      </c>
    </row>
    <row r="12" spans="2:16" x14ac:dyDescent="0.25">
      <c r="B12" s="26"/>
      <c r="C12" t="s">
        <v>79</v>
      </c>
      <c r="D12" s="13">
        <f>Datos!C8</f>
        <v>2915166399.9560003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</row>
    <row r="13" spans="2:16" ht="6" customHeight="1" x14ac:dyDescent="0.25">
      <c r="B13" s="22"/>
      <c r="C13" s="23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2:16" x14ac:dyDescent="0.25">
      <c r="B14" s="26" t="s">
        <v>48</v>
      </c>
      <c r="C14" t="s">
        <v>49</v>
      </c>
      <c r="D14" s="13">
        <v>0</v>
      </c>
      <c r="E14" s="13">
        <f>(Datos!$C$6*Datos!$C$2*0.8)+(Datos!$C$7*Datos!$C$3*0.8)</f>
        <v>3264000000</v>
      </c>
      <c r="F14" s="13">
        <f>(Datos!$C$6*Datos!$C$2*0.8)+(Datos!$C$7*Datos!$C$3*0.8)</f>
        <v>3264000000</v>
      </c>
      <c r="G14" s="13">
        <f>(Datos!$C$6*Datos!$C$2*0.8)+(Datos!$C$7*Datos!$C$3*0.8)</f>
        <v>3264000000</v>
      </c>
      <c r="H14" s="13">
        <f>(Datos!$C$6*Datos!$C$2*0.8)+(Datos!$C$7*Datos!$C$3*0.8)</f>
        <v>3264000000</v>
      </c>
      <c r="I14" s="13">
        <f>(Datos!$C$6*Datos!$C$2*0.8)+(Datos!$C$7*Datos!$C$3*0.8)</f>
        <v>3264000000</v>
      </c>
      <c r="J14" s="13">
        <f>(Datos!$C$6*Datos!$C$2*0.8)+(Datos!$C$7*Datos!$C$3*0.8)</f>
        <v>3264000000</v>
      </c>
      <c r="K14" s="13">
        <f>(Datos!$C$6*Datos!$C$2*0.8)+(Datos!$C$7*Datos!$C$3*0.8)</f>
        <v>3264000000</v>
      </c>
      <c r="L14" s="13">
        <f>(Datos!$C$6*Datos!$C$2*0.8)+(Datos!$C$7*Datos!$C$3*0.8)</f>
        <v>3264000000</v>
      </c>
      <c r="M14" s="13">
        <f>(Datos!$C$6*Datos!$C$2*0.8)+(Datos!$C$7*Datos!$C$3*0.8)</f>
        <v>3264000000</v>
      </c>
      <c r="N14" s="13">
        <f>(Datos!$C$6*Datos!$C$2*0.8)+(Datos!$C$7*Datos!$C$3*0.8)</f>
        <v>3264000000</v>
      </c>
      <c r="O14" s="13">
        <f>(Datos!$C$6*Datos!$C$2*0.8)+(Datos!$C$7*Datos!$C$3*0.8)</f>
        <v>3264000000</v>
      </c>
      <c r="P14" s="13">
        <f>(Datos!$C$6*Datos!$C$2*0.8)+(Datos!$C$7*Datos!$C$3*0.8)</f>
        <v>3264000000</v>
      </c>
    </row>
    <row r="15" spans="2:16" x14ac:dyDescent="0.25">
      <c r="B15" s="26"/>
      <c r="C15" t="s">
        <v>47</v>
      </c>
      <c r="D15" s="13">
        <v>0</v>
      </c>
      <c r="E15" s="13">
        <f>(Datos!$C$4*Datos!$C$2*0.1)+(Datos!$C$5*Datos!$C$3*0.1)</f>
        <v>234600000</v>
      </c>
      <c r="F15" s="13">
        <f>(Datos!$C$4*Datos!$C$2*0.1)+(Datos!$C$5*Datos!$C$3*0.1)</f>
        <v>234600000</v>
      </c>
      <c r="G15" s="13">
        <f>(Datos!$C$4*Datos!$C$2*0.1)+(Datos!$C$5*Datos!$C$3*0.1)</f>
        <v>234600000</v>
      </c>
      <c r="H15" s="13">
        <f>(Datos!$C$4*Datos!$C$2*0.1)+(Datos!$C$5*Datos!$C$3*0.1)</f>
        <v>234600000</v>
      </c>
      <c r="I15" s="13">
        <f>(Datos!$C$4*Datos!$C$2*0.1)+(Datos!$C$5*Datos!$C$3*0.1)</f>
        <v>234600000</v>
      </c>
      <c r="J15" s="13">
        <f>(Datos!$C$4*Datos!$C$2*0.1)+(Datos!$C$5*Datos!$C$3*0.1)</f>
        <v>234600000</v>
      </c>
      <c r="K15" s="13">
        <f>(Datos!$C$4*Datos!$C$2*0.1)+(Datos!$C$5*Datos!$C$3*0.1)</f>
        <v>234600000</v>
      </c>
      <c r="L15" s="13">
        <f>(Datos!$C$4*Datos!$C$2*0.1)+(Datos!$C$5*Datos!$C$3*0.1)</f>
        <v>234600000</v>
      </c>
      <c r="M15" s="13">
        <f>(Datos!$C$4*Datos!$C$2*0.1)+(Datos!$C$5*Datos!$C$3*0.1)</f>
        <v>234600000</v>
      </c>
      <c r="N15" s="13">
        <f>(Datos!$C$4*Datos!$C$2*0.1)+(Datos!$C$5*Datos!$C$3*0.1)</f>
        <v>234600000</v>
      </c>
      <c r="O15" s="13">
        <f>(Datos!$C$4*Datos!$C$2*0.1)+(Datos!$C$5*Datos!$C$3*0.1)</f>
        <v>234600000</v>
      </c>
      <c r="P15" s="13">
        <f>(Datos!$C$4*Datos!$C$2*0.1)+(Datos!$C$5*Datos!$C$3*0.1)</f>
        <v>234600000</v>
      </c>
    </row>
    <row r="16" spans="2:16" x14ac:dyDescent="0.25">
      <c r="B16" t="s">
        <v>75</v>
      </c>
      <c r="D16" s="14">
        <f>SUM(D14:D15)-SUM(D5:D12)</f>
        <v>-2915166399.9560003</v>
      </c>
      <c r="E16" s="14">
        <f t="shared" ref="E16:P16" si="1">SUM(E14:E15)-SUM(E5:E11)</f>
        <v>379332957.57433319</v>
      </c>
      <c r="F16" s="14">
        <f t="shared" si="1"/>
        <v>374032655.02895832</v>
      </c>
      <c r="G16" s="14">
        <f t="shared" si="1"/>
        <v>368571576.63970757</v>
      </c>
      <c r="H16" s="14">
        <f t="shared" si="1"/>
        <v>362933978.54494572</v>
      </c>
      <c r="I16" s="14">
        <f t="shared" si="1"/>
        <v>357099064.51686668</v>
      </c>
      <c r="J16" s="14">
        <f t="shared" si="1"/>
        <v>351038163.34230375</v>
      </c>
      <c r="K16" s="14">
        <f t="shared" si="1"/>
        <v>344709572.36586428</v>
      </c>
      <c r="L16" s="14">
        <f t="shared" si="1"/>
        <v>338048278.32094908</v>
      </c>
      <c r="M16" s="14">
        <f t="shared" si="1"/>
        <v>330942898.00637245</v>
      </c>
      <c r="N16" s="14">
        <f t="shared" si="1"/>
        <v>323174348.86243582</v>
      </c>
      <c r="O16" s="14">
        <f t="shared" si="1"/>
        <v>314201674.60118914</v>
      </c>
      <c r="P16" s="14">
        <f t="shared" si="1"/>
        <v>301879201.94907665</v>
      </c>
    </row>
    <row r="18" spans="2:6" ht="13.8" thickBot="1" x14ac:dyDescent="0.3"/>
    <row r="19" spans="2:6" ht="54.6" customHeight="1" thickBot="1" x14ac:dyDescent="0.3">
      <c r="B19" s="34" t="s">
        <v>6</v>
      </c>
      <c r="C19" s="35"/>
      <c r="E19" s="10" t="s">
        <v>1</v>
      </c>
      <c r="F19" s="11">
        <v>0.05</v>
      </c>
    </row>
    <row r="20" spans="2:6" x14ac:dyDescent="0.25">
      <c r="B20" s="32"/>
      <c r="C20" s="33"/>
      <c r="E20" s="2"/>
      <c r="F20" s="1"/>
    </row>
    <row r="21" spans="2:6" x14ac:dyDescent="0.25">
      <c r="B21" s="28" t="s">
        <v>7</v>
      </c>
      <c r="C21" s="29">
        <f>SUM(E14:P15)</f>
        <v>41983200000</v>
      </c>
      <c r="E21" s="3" t="s">
        <v>2</v>
      </c>
      <c r="F21" s="4"/>
    </row>
    <row r="22" spans="2:6" x14ac:dyDescent="0.25">
      <c r="B22" s="28" t="s">
        <v>8</v>
      </c>
      <c r="C22" s="29">
        <f>SUM(E5:P9)</f>
        <v>29167158109.152</v>
      </c>
      <c r="E22" s="5" t="s">
        <v>3</v>
      </c>
      <c r="F22" s="6">
        <f>NPV(F19,E16:P16)</f>
        <v>3096564983.1377034</v>
      </c>
    </row>
    <row r="23" spans="2:6" x14ac:dyDescent="0.25">
      <c r="B23" s="28" t="s">
        <v>9</v>
      </c>
      <c r="C23" s="29">
        <f>C21-C22</f>
        <v>12816041890.848</v>
      </c>
      <c r="E23" s="5" t="s">
        <v>0</v>
      </c>
      <c r="F23" s="7">
        <f>D12</f>
        <v>2915166399.9560003</v>
      </c>
    </row>
    <row r="24" spans="2:6" ht="26.4" x14ac:dyDescent="0.25">
      <c r="B24" s="28" t="s">
        <v>10</v>
      </c>
      <c r="C24" s="29">
        <f>SUM(E10:P10)</f>
        <v>3321197521.094995</v>
      </c>
      <c r="E24" s="8" t="s">
        <v>4</v>
      </c>
      <c r="F24" s="9">
        <f>F22-F23</f>
        <v>181398583.18170309</v>
      </c>
    </row>
    <row r="25" spans="2:6" ht="26.4" x14ac:dyDescent="0.25">
      <c r="B25" s="28" t="s">
        <v>11</v>
      </c>
      <c r="C25" s="29">
        <f>C23-C24</f>
        <v>9494844369.7530041</v>
      </c>
      <c r="E25" s="8" t="s">
        <v>5</v>
      </c>
      <c r="F25" s="25">
        <f>IRR(D16:P16)</f>
        <v>6.1302966724562591E-2</v>
      </c>
    </row>
    <row r="26" spans="2:6" ht="27" thickBot="1" x14ac:dyDescent="0.3">
      <c r="B26" s="30" t="s">
        <v>12</v>
      </c>
      <c r="C26" s="31">
        <f>C25-SUM(E11:P11)</f>
        <v>4145964369.7530041</v>
      </c>
    </row>
  </sheetData>
  <mergeCells count="3">
    <mergeCell ref="B14:B15"/>
    <mergeCell ref="B5:B12"/>
    <mergeCell ref="B19:C19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5420-8E99-4DFA-A905-BD022E7B42F7}">
  <dimension ref="C3:G37"/>
  <sheetViews>
    <sheetView topLeftCell="A4" workbookViewId="0">
      <selection activeCell="D6" sqref="D6"/>
    </sheetView>
  </sheetViews>
  <sheetFormatPr defaultColWidth="11.5546875" defaultRowHeight="13.2" x14ac:dyDescent="0.25"/>
  <cols>
    <col min="3" max="3" width="17.33203125" customWidth="1"/>
    <col min="4" max="4" width="23.21875" customWidth="1"/>
    <col min="5" max="5" width="12.44140625" customWidth="1"/>
    <col min="6" max="6" width="13.88671875" customWidth="1"/>
    <col min="7" max="7" width="15.77734375" customWidth="1"/>
  </cols>
  <sheetData>
    <row r="3" spans="3:7" x14ac:dyDescent="0.25">
      <c r="C3" t="s">
        <v>13</v>
      </c>
      <c r="D3" t="s">
        <v>59</v>
      </c>
    </row>
    <row r="4" spans="3:7" x14ac:dyDescent="0.25">
      <c r="C4" t="s">
        <v>16</v>
      </c>
      <c r="D4" s="17">
        <v>21000000</v>
      </c>
    </row>
    <row r="5" spans="3:7" x14ac:dyDescent="0.25">
      <c r="C5" t="s">
        <v>17</v>
      </c>
      <c r="D5" s="13">
        <f>145669000*1.4</f>
        <v>203936600</v>
      </c>
    </row>
    <row r="6" spans="3:7" x14ac:dyDescent="0.25">
      <c r="C6" t="s">
        <v>18</v>
      </c>
      <c r="D6" s="19"/>
    </row>
    <row r="7" spans="3:7" x14ac:dyDescent="0.25">
      <c r="C7" t="s">
        <v>60</v>
      </c>
      <c r="D7" s="17">
        <f>(Cotizaciónes!C3+Cotizaciónes!C4)*4000</f>
        <v>225000000</v>
      </c>
    </row>
    <row r="8" spans="3:7" x14ac:dyDescent="0.25">
      <c r="C8" t="s">
        <v>61</v>
      </c>
      <c r="D8" s="13">
        <f>SUM(D4:D7)</f>
        <v>449936600</v>
      </c>
    </row>
    <row r="10" spans="3:7" x14ac:dyDescent="0.25">
      <c r="C10" t="s">
        <v>14</v>
      </c>
      <c r="D10" t="s">
        <v>59</v>
      </c>
    </row>
    <row r="11" spans="3:7" x14ac:dyDescent="0.25">
      <c r="C11" t="s">
        <v>19</v>
      </c>
      <c r="D11" s="15">
        <v>8376290.8600000003</v>
      </c>
    </row>
    <row r="12" spans="3:7" x14ac:dyDescent="0.25">
      <c r="C12" t="s">
        <v>20</v>
      </c>
      <c r="D12" s="13">
        <v>22320000</v>
      </c>
    </row>
    <row r="13" spans="3:7" x14ac:dyDescent="0.25">
      <c r="C13" t="s">
        <v>21</v>
      </c>
      <c r="D13" s="16">
        <v>3937000</v>
      </c>
    </row>
    <row r="14" spans="3:7" x14ac:dyDescent="0.25">
      <c r="C14" t="s">
        <v>61</v>
      </c>
      <c r="D14" s="13">
        <f>SUM(D11:D13)</f>
        <v>34633290.859999999</v>
      </c>
    </row>
    <row r="16" spans="3:7" x14ac:dyDescent="0.25">
      <c r="C16" t="s">
        <v>15</v>
      </c>
      <c r="D16" t="s">
        <v>56</v>
      </c>
      <c r="E16" t="s">
        <v>57</v>
      </c>
      <c r="F16" t="s">
        <v>58</v>
      </c>
      <c r="G16" t="s">
        <v>61</v>
      </c>
    </row>
    <row r="17" spans="3:7" x14ac:dyDescent="0.25">
      <c r="C17" s="20" t="s">
        <v>68</v>
      </c>
      <c r="D17" s="16">
        <v>908526</v>
      </c>
      <c r="E17" s="13">
        <f>D17*0.0696</f>
        <v>63233.409599999999</v>
      </c>
      <c r="F17" s="13">
        <f>D17*0.25</f>
        <v>227131.5</v>
      </c>
      <c r="G17" s="13">
        <f>SUM(D17:F17)</f>
        <v>1198890.9095999999</v>
      </c>
    </row>
    <row r="18" spans="3:7" x14ac:dyDescent="0.25">
      <c r="C18" s="20" t="s">
        <v>68</v>
      </c>
      <c r="D18" s="16">
        <v>908526</v>
      </c>
      <c r="E18" s="13">
        <f t="shared" ref="E18:E32" si="0">D18*0.0696</f>
        <v>63233.409599999999</v>
      </c>
      <c r="F18" s="13">
        <f t="shared" ref="F18" si="1">D18*0.25</f>
        <v>227131.5</v>
      </c>
      <c r="G18" s="13">
        <f t="shared" ref="G18" si="2">SUM(D18:F18)</f>
        <v>1198890.9095999999</v>
      </c>
    </row>
    <row r="19" spans="3:7" x14ac:dyDescent="0.25">
      <c r="C19" s="20" t="s">
        <v>68</v>
      </c>
      <c r="D19" s="16">
        <v>908526</v>
      </c>
      <c r="E19" s="13">
        <f>D19*0.0696</f>
        <v>63233.409599999999</v>
      </c>
      <c r="F19" s="13">
        <f>D19*0.25</f>
        <v>227131.5</v>
      </c>
      <c r="G19" s="13">
        <f>SUM(D19:F19)</f>
        <v>1198890.9095999999</v>
      </c>
    </row>
    <row r="20" spans="3:7" x14ac:dyDescent="0.25">
      <c r="C20" s="20" t="s">
        <v>68</v>
      </c>
      <c r="D20" s="16">
        <v>908526</v>
      </c>
      <c r="E20" s="13">
        <f t="shared" si="0"/>
        <v>63233.409599999999</v>
      </c>
      <c r="F20" s="13">
        <f t="shared" ref="F20:F32" si="3">D20*0.25</f>
        <v>227131.5</v>
      </c>
      <c r="G20" s="13">
        <f t="shared" ref="G20:G32" si="4">SUM(D20:F20)</f>
        <v>1198890.9095999999</v>
      </c>
    </row>
    <row r="21" spans="3:7" x14ac:dyDescent="0.25">
      <c r="C21" s="20" t="s">
        <v>68</v>
      </c>
      <c r="D21" s="16">
        <v>908526</v>
      </c>
      <c r="E21" s="13">
        <f t="shared" si="0"/>
        <v>63233.409599999999</v>
      </c>
      <c r="F21" s="13">
        <f t="shared" si="3"/>
        <v>227131.5</v>
      </c>
      <c r="G21" s="13">
        <f t="shared" si="4"/>
        <v>1198890.9095999999</v>
      </c>
    </row>
    <row r="22" spans="3:7" x14ac:dyDescent="0.25">
      <c r="C22" s="20" t="s">
        <v>68</v>
      </c>
      <c r="D22" s="16">
        <v>908526</v>
      </c>
      <c r="E22" s="13">
        <f t="shared" si="0"/>
        <v>63233.409599999999</v>
      </c>
      <c r="F22" s="13">
        <f t="shared" si="3"/>
        <v>227131.5</v>
      </c>
      <c r="G22" s="13">
        <f t="shared" si="4"/>
        <v>1198890.9095999999</v>
      </c>
    </row>
    <row r="23" spans="3:7" x14ac:dyDescent="0.25">
      <c r="C23" s="20" t="s">
        <v>68</v>
      </c>
      <c r="D23" s="16">
        <v>908526</v>
      </c>
      <c r="E23" s="13">
        <f t="shared" si="0"/>
        <v>63233.409599999999</v>
      </c>
      <c r="F23" s="13">
        <f t="shared" si="3"/>
        <v>227131.5</v>
      </c>
      <c r="G23" s="13">
        <f t="shared" si="4"/>
        <v>1198890.9095999999</v>
      </c>
    </row>
    <row r="24" spans="3:7" x14ac:dyDescent="0.25">
      <c r="C24" s="20" t="s">
        <v>69</v>
      </c>
      <c r="D24" s="17">
        <v>1400000</v>
      </c>
      <c r="E24" s="13">
        <f t="shared" si="0"/>
        <v>97440</v>
      </c>
      <c r="F24" s="13">
        <f t="shared" si="3"/>
        <v>350000</v>
      </c>
      <c r="G24" s="13">
        <f t="shared" si="4"/>
        <v>1847440</v>
      </c>
    </row>
    <row r="25" spans="3:7" x14ac:dyDescent="0.25">
      <c r="C25" s="20" t="s">
        <v>70</v>
      </c>
      <c r="D25" s="17">
        <v>1500000</v>
      </c>
      <c r="E25" s="13">
        <f t="shared" si="0"/>
        <v>104400</v>
      </c>
      <c r="F25" s="13">
        <f t="shared" si="3"/>
        <v>375000</v>
      </c>
      <c r="G25" s="13">
        <f t="shared" si="4"/>
        <v>1979400</v>
      </c>
    </row>
    <row r="26" spans="3:7" x14ac:dyDescent="0.25">
      <c r="C26" s="20" t="s">
        <v>70</v>
      </c>
      <c r="D26" s="17">
        <v>1500000</v>
      </c>
      <c r="E26" s="13">
        <f t="shared" si="0"/>
        <v>104400</v>
      </c>
      <c r="F26" s="13">
        <f t="shared" si="3"/>
        <v>375000</v>
      </c>
      <c r="G26" s="13">
        <f t="shared" si="4"/>
        <v>1979400</v>
      </c>
    </row>
    <row r="27" spans="3:7" x14ac:dyDescent="0.25">
      <c r="C27" s="20" t="s">
        <v>71</v>
      </c>
      <c r="D27" s="17">
        <v>2000000</v>
      </c>
      <c r="E27" s="13">
        <f t="shared" si="0"/>
        <v>139200</v>
      </c>
      <c r="F27" s="13">
        <f t="shared" si="3"/>
        <v>500000</v>
      </c>
      <c r="G27" s="13">
        <f t="shared" si="4"/>
        <v>2639200</v>
      </c>
    </row>
    <row r="28" spans="3:7" x14ac:dyDescent="0.25">
      <c r="C28" s="20" t="s">
        <v>71</v>
      </c>
      <c r="D28" s="17">
        <v>2000000</v>
      </c>
      <c r="E28" s="13">
        <f t="shared" ref="E28:E29" si="5">D28*0.0696</f>
        <v>139200</v>
      </c>
      <c r="F28" s="13">
        <f t="shared" ref="F28:F29" si="6">D28*0.25</f>
        <v>500000</v>
      </c>
      <c r="G28" s="13">
        <f t="shared" ref="G28:G29" si="7">SUM(D28:F28)</f>
        <v>2639200</v>
      </c>
    </row>
    <row r="29" spans="3:7" x14ac:dyDescent="0.25">
      <c r="C29" s="20" t="s">
        <v>71</v>
      </c>
      <c r="D29" s="17">
        <v>2000000</v>
      </c>
      <c r="E29" s="13">
        <f t="shared" si="5"/>
        <v>139200</v>
      </c>
      <c r="F29" s="13">
        <f t="shared" si="6"/>
        <v>500000</v>
      </c>
      <c r="G29" s="13">
        <f t="shared" si="7"/>
        <v>2639200</v>
      </c>
    </row>
    <row r="30" spans="3:7" ht="14.4" customHeight="1" x14ac:dyDescent="0.25">
      <c r="C30" s="20" t="s">
        <v>71</v>
      </c>
      <c r="D30" s="17">
        <v>2000000</v>
      </c>
      <c r="E30" s="13">
        <f t="shared" si="0"/>
        <v>139200</v>
      </c>
      <c r="F30" s="13">
        <f t="shared" si="3"/>
        <v>500000</v>
      </c>
      <c r="G30" s="13">
        <f t="shared" si="4"/>
        <v>2639200</v>
      </c>
    </row>
    <row r="31" spans="3:7" ht="14.4" customHeight="1" x14ac:dyDescent="0.25">
      <c r="C31" s="20" t="s">
        <v>78</v>
      </c>
      <c r="D31" s="17">
        <f>3000000</f>
        <v>3000000</v>
      </c>
      <c r="E31" s="13">
        <f t="shared" si="0"/>
        <v>208800</v>
      </c>
      <c r="F31" s="13">
        <f t="shared" si="3"/>
        <v>750000</v>
      </c>
      <c r="G31" s="13">
        <f t="shared" si="4"/>
        <v>3958800</v>
      </c>
    </row>
    <row r="32" spans="3:7" x14ac:dyDescent="0.25">
      <c r="C32" s="20" t="s">
        <v>77</v>
      </c>
      <c r="D32" s="17">
        <f>908526*3</f>
        <v>2725578</v>
      </c>
      <c r="E32" s="13">
        <f t="shared" si="0"/>
        <v>189700.22879999998</v>
      </c>
      <c r="F32" s="13">
        <f t="shared" si="3"/>
        <v>681394.5</v>
      </c>
      <c r="G32" s="13">
        <f t="shared" si="4"/>
        <v>3596672.7288000002</v>
      </c>
    </row>
    <row r="33" spans="3:7" x14ac:dyDescent="0.25">
      <c r="C33" s="27" t="s">
        <v>61</v>
      </c>
      <c r="D33" s="27"/>
      <c r="E33" s="27"/>
      <c r="F33" s="27"/>
      <c r="G33" s="14">
        <f>SUM(G17:G32)</f>
        <v>32310749.095999997</v>
      </c>
    </row>
    <row r="35" spans="3:7" ht="15.6" x14ac:dyDescent="0.35">
      <c r="C35" s="20" t="s">
        <v>72</v>
      </c>
      <c r="D35" s="21">
        <v>25668000</v>
      </c>
    </row>
    <row r="37" spans="3:7" x14ac:dyDescent="0.25">
      <c r="C37" t="s">
        <v>81</v>
      </c>
      <c r="D37" s="14">
        <f>SUM('Flujo Opción 1'!E5:E9)</f>
        <v>2430596509.0960002</v>
      </c>
    </row>
  </sheetData>
  <mergeCells count="1">
    <mergeCell ref="C33:F3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FA2B-1446-47C8-8D87-281B32239489}">
  <dimension ref="B1:D11"/>
  <sheetViews>
    <sheetView tabSelected="1" workbookViewId="0">
      <selection activeCell="B2" sqref="B2:C11"/>
    </sheetView>
  </sheetViews>
  <sheetFormatPr defaultRowHeight="13.2" x14ac:dyDescent="0.25"/>
  <cols>
    <col min="2" max="2" width="26.6640625" customWidth="1"/>
    <col min="3" max="3" width="18.88671875" customWidth="1"/>
  </cols>
  <sheetData>
    <row r="1" spans="2:4" ht="13.8" thickBot="1" x14ac:dyDescent="0.3"/>
    <row r="2" spans="2:4" x14ac:dyDescent="0.25">
      <c r="B2" s="41" t="s">
        <v>22</v>
      </c>
      <c r="C2" s="36">
        <f>17000000*20/100</f>
        <v>3400000</v>
      </c>
    </row>
    <row r="3" spans="2:4" x14ac:dyDescent="0.25">
      <c r="B3" s="42" t="s">
        <v>23</v>
      </c>
      <c r="C3" s="37">
        <f>17000000*20/100</f>
        <v>3400000</v>
      </c>
    </row>
    <row r="4" spans="2:4" x14ac:dyDescent="0.25">
      <c r="B4" s="42" t="s">
        <v>24</v>
      </c>
      <c r="C4" s="38">
        <v>210</v>
      </c>
      <c r="D4" s="18" t="s">
        <v>64</v>
      </c>
    </row>
    <row r="5" spans="2:4" x14ac:dyDescent="0.25">
      <c r="B5" s="42" t="s">
        <v>25</v>
      </c>
      <c r="C5" s="38">
        <v>480</v>
      </c>
      <c r="D5" s="18" t="s">
        <v>64</v>
      </c>
    </row>
    <row r="6" spans="2:4" x14ac:dyDescent="0.25">
      <c r="B6" s="42" t="s">
        <v>26</v>
      </c>
      <c r="C6" s="38">
        <v>500</v>
      </c>
    </row>
    <row r="7" spans="2:4" x14ac:dyDescent="0.25">
      <c r="B7" s="42" t="s">
        <v>27</v>
      </c>
      <c r="C7" s="38">
        <v>700</v>
      </c>
    </row>
    <row r="8" spans="2:4" x14ac:dyDescent="0.25">
      <c r="B8" s="42" t="s">
        <v>50</v>
      </c>
      <c r="C8" s="38">
        <f>'COSTOS PRY'!D8+'COSTOS PRY'!D14+'COSTOS PRY'!D37</f>
        <v>2915166399.9560003</v>
      </c>
    </row>
    <row r="9" spans="2:4" x14ac:dyDescent="0.25">
      <c r="B9" s="42" t="s">
        <v>55</v>
      </c>
      <c r="C9" s="39">
        <v>0.02</v>
      </c>
    </row>
    <row r="10" spans="2:4" x14ac:dyDescent="0.25">
      <c r="B10" s="42" t="s">
        <v>62</v>
      </c>
      <c r="C10" s="38">
        <f>'COSTOS PRY'!D8</f>
        <v>449936600</v>
      </c>
    </row>
    <row r="11" spans="2:4" ht="13.8" thickBot="1" x14ac:dyDescent="0.3">
      <c r="B11" s="43" t="s">
        <v>63</v>
      </c>
      <c r="C11" s="40">
        <f>'COSTOS PRY'!D14</f>
        <v>34633290.859999999</v>
      </c>
    </row>
  </sheetData>
  <hyperlinks>
    <hyperlink ref="D4" r:id="rId1" display="https://www.dane.gov.co/files/investigaciones/agropecuario/sipsa/Sem_21nov_2020__27nov_2020.pdf" xr:uid="{0DAE0A45-DB21-4862-B0B4-2CA162700A50}"/>
    <hyperlink ref="D5" r:id="rId2" display="https://www.dane.gov.co/files/investigaciones/agropecuario/sipsa/Sem_21nov_2020__27nov_2020.pdf" xr:uid="{A2AA7D94-42EA-4482-AEBF-9449742697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CDE9-0148-490F-AEEB-8B5A304A44AC}">
  <dimension ref="B2:I17"/>
  <sheetViews>
    <sheetView workbookViewId="0">
      <selection activeCell="C2" sqref="C2"/>
    </sheetView>
  </sheetViews>
  <sheetFormatPr defaultRowHeight="13.2" x14ac:dyDescent="0.25"/>
  <cols>
    <col min="2" max="2" width="16.44140625" customWidth="1"/>
    <col min="3" max="3" width="19.6640625" customWidth="1"/>
    <col min="8" max="8" width="20" customWidth="1"/>
    <col min="9" max="9" width="19.21875" customWidth="1"/>
  </cols>
  <sheetData>
    <row r="2" spans="2:9" x14ac:dyDescent="0.25">
      <c r="B2" t="s">
        <v>51</v>
      </c>
      <c r="C2" s="13">
        <f>Datos!C8</f>
        <v>2915166399.9560003</v>
      </c>
    </row>
    <row r="3" spans="2:9" x14ac:dyDescent="0.25">
      <c r="B3" t="s">
        <v>55</v>
      </c>
      <c r="C3" s="12">
        <f>Datos!C9</f>
        <v>0.02</v>
      </c>
    </row>
    <row r="4" spans="2:9" x14ac:dyDescent="0.25">
      <c r="G4" t="s">
        <v>52</v>
      </c>
      <c r="H4" t="s">
        <v>53</v>
      </c>
      <c r="I4" t="s">
        <v>54</v>
      </c>
    </row>
    <row r="5" spans="2:9" x14ac:dyDescent="0.25">
      <c r="G5">
        <v>0</v>
      </c>
      <c r="H5" s="13">
        <f>-C2</f>
        <v>-2915166399.9560003</v>
      </c>
      <c r="I5" s="13">
        <f>H5</f>
        <v>-2915166399.9560003</v>
      </c>
    </row>
    <row r="6" spans="2:9" x14ac:dyDescent="0.25">
      <c r="G6">
        <v>1</v>
      </c>
      <c r="H6" s="13">
        <f>-I5/(13-G6)</f>
        <v>242930533.3296667</v>
      </c>
      <c r="I6" s="13">
        <f>(I5*(1+$C$3)+H6)</f>
        <v>-2730539194.6254539</v>
      </c>
    </row>
    <row r="7" spans="2:9" x14ac:dyDescent="0.25">
      <c r="G7">
        <v>2</v>
      </c>
      <c r="H7" s="13">
        <f>-I6/(13-G7)</f>
        <v>248230835.87504128</v>
      </c>
      <c r="I7" s="13">
        <f t="shared" ref="I7:I16" si="0">(I6*(1+$C$3)+H7)</f>
        <v>-2536919142.6429214</v>
      </c>
    </row>
    <row r="8" spans="2:9" x14ac:dyDescent="0.25">
      <c r="G8">
        <v>3</v>
      </c>
      <c r="H8" s="13">
        <f t="shared" ref="H8:H16" si="1">-I7/(13-G8)</f>
        <v>253691914.26429215</v>
      </c>
      <c r="I8" s="13">
        <f t="shared" si="0"/>
        <v>-2333965611.2314878</v>
      </c>
    </row>
    <row r="9" spans="2:9" x14ac:dyDescent="0.25">
      <c r="G9">
        <v>4</v>
      </c>
      <c r="H9" s="13">
        <f t="shared" si="1"/>
        <v>259329512.35905421</v>
      </c>
      <c r="I9" s="13">
        <f t="shared" si="0"/>
        <v>-2121315411.0970635</v>
      </c>
    </row>
    <row r="10" spans="2:9" x14ac:dyDescent="0.25">
      <c r="G10">
        <v>5</v>
      </c>
      <c r="H10" s="13">
        <f t="shared" si="1"/>
        <v>265164426.38713294</v>
      </c>
      <c r="I10" s="13">
        <f t="shared" si="0"/>
        <v>-1898577292.9318721</v>
      </c>
    </row>
    <row r="11" spans="2:9" x14ac:dyDescent="0.25">
      <c r="G11">
        <v>6</v>
      </c>
      <c r="H11" s="13">
        <f t="shared" si="1"/>
        <v>271225327.56169599</v>
      </c>
      <c r="I11" s="13">
        <f t="shared" si="0"/>
        <v>-1665323511.2288136</v>
      </c>
    </row>
    <row r="12" spans="2:9" x14ac:dyDescent="0.25">
      <c r="G12">
        <v>7</v>
      </c>
      <c r="H12" s="13">
        <f t="shared" si="1"/>
        <v>277553918.53813559</v>
      </c>
      <c r="I12" s="13">
        <f t="shared" si="0"/>
        <v>-1421076062.9152544</v>
      </c>
    </row>
    <row r="13" spans="2:9" x14ac:dyDescent="0.25">
      <c r="G13">
        <v>8</v>
      </c>
      <c r="H13" s="13">
        <f t="shared" si="1"/>
        <v>284215212.58305085</v>
      </c>
      <c r="I13" s="13">
        <f t="shared" si="0"/>
        <v>-1165282371.5905085</v>
      </c>
    </row>
    <row r="14" spans="2:9" x14ac:dyDescent="0.25">
      <c r="G14">
        <v>9</v>
      </c>
      <c r="H14" s="13">
        <f t="shared" si="1"/>
        <v>291320592.89762712</v>
      </c>
      <c r="I14" s="13">
        <f t="shared" si="0"/>
        <v>-897267426.12469149</v>
      </c>
    </row>
    <row r="15" spans="2:9" x14ac:dyDescent="0.25">
      <c r="G15">
        <v>10</v>
      </c>
      <c r="H15" s="13">
        <f t="shared" si="1"/>
        <v>299089142.04156381</v>
      </c>
      <c r="I15" s="13">
        <f t="shared" si="0"/>
        <v>-616123632.60562158</v>
      </c>
    </row>
    <row r="16" spans="2:9" x14ac:dyDescent="0.25">
      <c r="G16">
        <v>11</v>
      </c>
      <c r="H16" s="13">
        <f t="shared" si="1"/>
        <v>308061816.30281079</v>
      </c>
      <c r="I16" s="13">
        <f t="shared" si="0"/>
        <v>-320384288.95492327</v>
      </c>
    </row>
    <row r="17" spans="7:9" x14ac:dyDescent="0.25">
      <c r="G17">
        <v>12</v>
      </c>
      <c r="H17" s="13">
        <f>-I16/(13-G17)</f>
        <v>320384288.95492327</v>
      </c>
      <c r="I17" s="13">
        <f>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F4E5-1DB1-4E12-8A5A-100971F0E12D}">
  <dimension ref="B3:D6"/>
  <sheetViews>
    <sheetView workbookViewId="0">
      <selection activeCell="C6" sqref="C6"/>
    </sheetView>
  </sheetViews>
  <sheetFormatPr defaultRowHeight="13.2" x14ac:dyDescent="0.25"/>
  <cols>
    <col min="2" max="2" width="35.109375" customWidth="1"/>
    <col min="3" max="3" width="15.109375" bestFit="1" customWidth="1"/>
  </cols>
  <sheetData>
    <row r="3" spans="2:4" x14ac:dyDescent="0.25">
      <c r="B3" t="s">
        <v>65</v>
      </c>
      <c r="C3">
        <v>26250</v>
      </c>
      <c r="D3" t="s">
        <v>66</v>
      </c>
    </row>
    <row r="4" spans="2:4" x14ac:dyDescent="0.25">
      <c r="B4" t="s">
        <v>67</v>
      </c>
      <c r="C4">
        <v>30000</v>
      </c>
      <c r="D4" t="s">
        <v>66</v>
      </c>
    </row>
    <row r="6" spans="2:4" x14ac:dyDescent="0.25">
      <c r="B6" t="s">
        <v>74</v>
      </c>
      <c r="C6" s="13">
        <f>(25000+12*811)*34*20</f>
        <v>23617760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Flujo Opción 2</vt:lpstr>
      <vt:lpstr>Flujo Opción 1</vt:lpstr>
      <vt:lpstr>COSTOS PRY</vt:lpstr>
      <vt:lpstr>Datos</vt:lpstr>
      <vt:lpstr>Prestamo</vt:lpstr>
      <vt:lpstr>Cotizaciónes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Barrera G.</dc:creator>
  <cp:lastModifiedBy>Juan David Ramírez Salazar</cp:lastModifiedBy>
  <dcterms:created xsi:type="dcterms:W3CDTF">2020-11-30T17:50:54Z</dcterms:created>
  <dcterms:modified xsi:type="dcterms:W3CDTF">2021-12-06T17:35:17Z</dcterms:modified>
</cp:coreProperties>
</file>