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8_{503237B5-FAF4-4EFD-A16B-AE19838652B0}" xr6:coauthVersionLast="47" xr6:coauthVersionMax="47" xr10:uidLastSave="{00000000-0000-0000-0000-000000000000}"/>
  <bookViews>
    <workbookView xWindow="-108" yWindow="-108" windowWidth="23256" windowHeight="12576" tabRatio="750" xr2:uid="{86E37AEA-507A-4C4C-95B6-664C68D3C326}"/>
  </bookViews>
  <sheets>
    <sheet name="EVALUACION PRY OPCION 1" sheetId="3" r:id="rId1"/>
    <sheet name="EVALUACION PRY OPCION 2" sheetId="1" r:id="rId2"/>
    <sheet name="Flujo Opción 1" sheetId="4" r:id="rId3"/>
    <sheet name="COSTOS PRY" sheetId="2" r:id="rId4"/>
    <sheet name="Datos" sheetId="5" r:id="rId5"/>
    <sheet name="Prestamo" sheetId="6" r:id="rId6"/>
    <sheet name="Cotizaciónes" sheetId="7" r:id="rId7"/>
  </sheets>
  <definedNames>
    <definedName name="Inflacion1">#REF!</definedName>
    <definedName name="Inflacion2">#REF!</definedName>
    <definedName name="Inflacion3">#REF!</definedName>
    <definedName name="Inflacion4">#REF!</definedName>
    <definedName name="Inflacion5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4" l="1"/>
  <c r="I17" i="6"/>
  <c r="G31" i="2"/>
  <c r="G29" i="2"/>
  <c r="F29" i="2"/>
  <c r="E29" i="2"/>
  <c r="D29" i="2"/>
  <c r="D30" i="2"/>
  <c r="F18" i="2"/>
  <c r="E18" i="2"/>
  <c r="G18" i="2" s="1"/>
  <c r="F17" i="2"/>
  <c r="E17" i="2"/>
  <c r="G17" i="2" s="1"/>
  <c r="B25" i="3"/>
  <c r="B44" i="3"/>
  <c r="B42" i="3"/>
  <c r="F14" i="4"/>
  <c r="G14" i="4"/>
  <c r="H14" i="4"/>
  <c r="I14" i="4"/>
  <c r="J14" i="4"/>
  <c r="K14" i="4"/>
  <c r="L14" i="4"/>
  <c r="M14" i="4"/>
  <c r="N14" i="4"/>
  <c r="O14" i="4"/>
  <c r="P14" i="4"/>
  <c r="E14" i="4"/>
  <c r="E15" i="4"/>
  <c r="F15" i="4"/>
  <c r="F9" i="4"/>
  <c r="G9" i="4"/>
  <c r="H9" i="4"/>
  <c r="I9" i="4"/>
  <c r="J9" i="4"/>
  <c r="K9" i="4"/>
  <c r="L9" i="4"/>
  <c r="M9" i="4"/>
  <c r="N9" i="4"/>
  <c r="O9" i="4"/>
  <c r="P9" i="4"/>
  <c r="E9" i="4"/>
  <c r="C3" i="5"/>
  <c r="C2" i="5"/>
  <c r="C6" i="7"/>
  <c r="F6" i="4"/>
  <c r="G6" i="4"/>
  <c r="H6" i="4"/>
  <c r="I6" i="4"/>
  <c r="J6" i="4"/>
  <c r="K6" i="4"/>
  <c r="L6" i="4"/>
  <c r="M6" i="4"/>
  <c r="N6" i="4"/>
  <c r="O6" i="4"/>
  <c r="P6" i="4"/>
  <c r="E6" i="4"/>
  <c r="G15" i="4"/>
  <c r="H15" i="4"/>
  <c r="I15" i="4"/>
  <c r="J15" i="4"/>
  <c r="K15" i="4"/>
  <c r="L15" i="4"/>
  <c r="M15" i="4"/>
  <c r="N15" i="4"/>
  <c r="O15" i="4"/>
  <c r="P15" i="4"/>
  <c r="F8" i="4"/>
  <c r="F11" i="4" s="1"/>
  <c r="G8" i="4"/>
  <c r="G11" i="4" s="1"/>
  <c r="H8" i="4"/>
  <c r="H11" i="4" s="1"/>
  <c r="I8" i="4"/>
  <c r="I11" i="4" s="1"/>
  <c r="J8" i="4"/>
  <c r="J11" i="4" s="1"/>
  <c r="K8" i="4"/>
  <c r="K11" i="4" s="1"/>
  <c r="L8" i="4"/>
  <c r="L11" i="4" s="1"/>
  <c r="M8" i="4"/>
  <c r="M11" i="4" s="1"/>
  <c r="N8" i="4"/>
  <c r="N11" i="4" s="1"/>
  <c r="O8" i="4"/>
  <c r="O11" i="4" s="1"/>
  <c r="P8" i="4"/>
  <c r="P11" i="4" s="1"/>
  <c r="E8" i="4"/>
  <c r="E11" i="4" s="1"/>
  <c r="D7" i="2"/>
  <c r="D8" i="2" s="1"/>
  <c r="C10" i="5" s="1"/>
  <c r="D5" i="2"/>
  <c r="D14" i="2"/>
  <c r="C11" i="5" s="1"/>
  <c r="F20" i="2"/>
  <c r="F21" i="2"/>
  <c r="F22" i="2"/>
  <c r="F23" i="2"/>
  <c r="F24" i="2"/>
  <c r="F25" i="2"/>
  <c r="F26" i="2"/>
  <c r="F27" i="2"/>
  <c r="F28" i="2"/>
  <c r="F19" i="2"/>
  <c r="E20" i="2"/>
  <c r="E21" i="2"/>
  <c r="E22" i="2"/>
  <c r="E23" i="2"/>
  <c r="E24" i="2"/>
  <c r="E25" i="2"/>
  <c r="E26" i="2"/>
  <c r="E27" i="2"/>
  <c r="E28" i="2"/>
  <c r="E19" i="2"/>
  <c r="C8" i="1"/>
  <c r="C3" i="6"/>
  <c r="C21" i="4" l="1"/>
  <c r="E30" i="2"/>
  <c r="G30" i="2" s="1"/>
  <c r="F30" i="2"/>
  <c r="G22" i="2"/>
  <c r="G23" i="2"/>
  <c r="G24" i="2"/>
  <c r="G28" i="2"/>
  <c r="G20" i="2"/>
  <c r="G21" i="2"/>
  <c r="G25" i="2"/>
  <c r="G19" i="2"/>
  <c r="G27" i="2"/>
  <c r="G26" i="2"/>
  <c r="B44" i="1" l="1"/>
  <c r="N8" i="1"/>
  <c r="N9" i="1" s="1"/>
  <c r="M8" i="1"/>
  <c r="M9" i="1" s="1"/>
  <c r="L8" i="1"/>
  <c r="L9" i="1" s="1"/>
  <c r="K8" i="1"/>
  <c r="K9" i="1" s="1"/>
  <c r="K17" i="1" s="1"/>
  <c r="J8" i="1"/>
  <c r="I8" i="1"/>
  <c r="I9" i="1" s="1"/>
  <c r="H8" i="1"/>
  <c r="H9" i="1" s="1"/>
  <c r="G8" i="1"/>
  <c r="G9" i="1" s="1"/>
  <c r="G17" i="1" s="1"/>
  <c r="F8" i="1"/>
  <c r="F9" i="1" s="1"/>
  <c r="E8" i="1"/>
  <c r="D8" i="1"/>
  <c r="D9" i="1" s="1"/>
  <c r="B41" i="3"/>
  <c r="B26" i="3"/>
  <c r="B17" i="3"/>
  <c r="B19" i="3" s="1"/>
  <c r="K15" i="3"/>
  <c r="K17" i="3" s="1"/>
  <c r="K19" i="3" s="1"/>
  <c r="K33" i="3" s="1"/>
  <c r="G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N13" i="3"/>
  <c r="N15" i="3" s="1"/>
  <c r="M13" i="3"/>
  <c r="M15" i="3" s="1"/>
  <c r="L13" i="3"/>
  <c r="L15" i="3" s="1"/>
  <c r="K13" i="3"/>
  <c r="J13" i="3"/>
  <c r="J15" i="3" s="1"/>
  <c r="I13" i="3"/>
  <c r="I15" i="3" s="1"/>
  <c r="H13" i="3"/>
  <c r="H15" i="3" s="1"/>
  <c r="G13" i="3"/>
  <c r="F13" i="3"/>
  <c r="F15" i="3" s="1"/>
  <c r="E13" i="3"/>
  <c r="E15" i="3" s="1"/>
  <c r="D13" i="3"/>
  <c r="D15" i="3" s="1"/>
  <c r="C13" i="3"/>
  <c r="N9" i="3"/>
  <c r="M9" i="3"/>
  <c r="M17" i="3" s="1"/>
  <c r="M19" i="3" s="1"/>
  <c r="M33" i="3" s="1"/>
  <c r="L9" i="3"/>
  <c r="L17" i="3" s="1"/>
  <c r="L19" i="3" s="1"/>
  <c r="L33" i="3" s="1"/>
  <c r="K9" i="3"/>
  <c r="J9" i="3"/>
  <c r="I9" i="3"/>
  <c r="I17" i="3" s="1"/>
  <c r="I19" i="3" s="1"/>
  <c r="I33" i="3" s="1"/>
  <c r="H9" i="3"/>
  <c r="H17" i="3" s="1"/>
  <c r="H19" i="3" s="1"/>
  <c r="H33" i="3" s="1"/>
  <c r="G9" i="3"/>
  <c r="F9" i="3"/>
  <c r="E9" i="3"/>
  <c r="E17" i="3" s="1"/>
  <c r="E19" i="3" s="1"/>
  <c r="E33" i="3" s="1"/>
  <c r="D9" i="3"/>
  <c r="D17" i="3" s="1"/>
  <c r="D19" i="3" s="1"/>
  <c r="D33" i="3" s="1"/>
  <c r="C9" i="3"/>
  <c r="B26" i="1"/>
  <c r="B15" i="1"/>
  <c r="N14" i="1"/>
  <c r="M14" i="1"/>
  <c r="L14" i="1"/>
  <c r="K14" i="1"/>
  <c r="J14" i="1"/>
  <c r="I14" i="1"/>
  <c r="H14" i="1"/>
  <c r="G14" i="1"/>
  <c r="F14" i="1"/>
  <c r="E14" i="1"/>
  <c r="D14" i="1"/>
  <c r="C14" i="1"/>
  <c r="N13" i="1"/>
  <c r="N15" i="1" s="1"/>
  <c r="M13" i="1"/>
  <c r="L13" i="1"/>
  <c r="L15" i="1" s="1"/>
  <c r="K13" i="1"/>
  <c r="K15" i="1" s="1"/>
  <c r="J13" i="1"/>
  <c r="J15" i="1" s="1"/>
  <c r="I13" i="1"/>
  <c r="I15" i="1" s="1"/>
  <c r="H13" i="1"/>
  <c r="H15" i="1" s="1"/>
  <c r="G13" i="1"/>
  <c r="G15" i="1" s="1"/>
  <c r="F13" i="1"/>
  <c r="F15" i="1" s="1"/>
  <c r="E13" i="1"/>
  <c r="E15" i="1" s="1"/>
  <c r="D13" i="1"/>
  <c r="D15" i="1" s="1"/>
  <c r="C13" i="1"/>
  <c r="C15" i="1" s="1"/>
  <c r="B17" i="1"/>
  <c r="J9" i="1"/>
  <c r="E9" i="1"/>
  <c r="N17" i="3" l="1"/>
  <c r="N19" i="3" s="1"/>
  <c r="N33" i="3" s="1"/>
  <c r="G17" i="3"/>
  <c r="G19" i="3" s="1"/>
  <c r="G33" i="3" s="1"/>
  <c r="C17" i="3"/>
  <c r="C19" i="3" s="1"/>
  <c r="C33" i="3" s="1"/>
  <c r="C34" i="3" s="1"/>
  <c r="D34" i="3" s="1"/>
  <c r="E34" i="3" s="1"/>
  <c r="F34" i="3" s="1"/>
  <c r="J17" i="3"/>
  <c r="J19" i="3" s="1"/>
  <c r="J33" i="3" s="1"/>
  <c r="F17" i="3"/>
  <c r="F19" i="3" s="1"/>
  <c r="F33" i="3" s="1"/>
  <c r="B43" i="3"/>
  <c r="B45" i="3" s="1"/>
  <c r="B46" i="3" s="1"/>
  <c r="B47" i="3" s="1"/>
  <c r="B28" i="3"/>
  <c r="B27" i="3"/>
  <c r="D17" i="1"/>
  <c r="D19" i="1" s="1"/>
  <c r="D33" i="1" s="1"/>
  <c r="H17" i="1"/>
  <c r="L17" i="1"/>
  <c r="L19" i="1" s="1"/>
  <c r="L33" i="1" s="1"/>
  <c r="F17" i="1"/>
  <c r="F19" i="1" s="1"/>
  <c r="F33" i="1" s="1"/>
  <c r="J17" i="1"/>
  <c r="J19" i="1" s="1"/>
  <c r="J33" i="1" s="1"/>
  <c r="N17" i="1"/>
  <c r="B41" i="1"/>
  <c r="I17" i="1"/>
  <c r="I19" i="1" s="1"/>
  <c r="I33" i="1" s="1"/>
  <c r="M15" i="1"/>
  <c r="M17" i="1" s="1"/>
  <c r="E17" i="1"/>
  <c r="N19" i="1"/>
  <c r="N33" i="1" s="1"/>
  <c r="G19" i="1"/>
  <c r="G33" i="1" s="1"/>
  <c r="K19" i="1"/>
  <c r="K33" i="1" s="1"/>
  <c r="B19" i="1"/>
  <c r="H19" i="1"/>
  <c r="H33" i="1" s="1"/>
  <c r="C9" i="1"/>
  <c r="C17" i="1" s="1"/>
  <c r="B42" i="1"/>
  <c r="G34" i="3" l="1"/>
  <c r="H34" i="3" s="1"/>
  <c r="I34" i="3" s="1"/>
  <c r="J34" i="3" s="1"/>
  <c r="K34" i="3" s="1"/>
  <c r="L34" i="3" s="1"/>
  <c r="M34" i="3" s="1"/>
  <c r="N34" i="3" s="1"/>
  <c r="B43" i="1"/>
  <c r="B45" i="1" s="1"/>
  <c r="B46" i="1" s="1"/>
  <c r="B47" i="1" s="1"/>
  <c r="M19" i="1"/>
  <c r="M33" i="1" s="1"/>
  <c r="E19" i="1"/>
  <c r="E33" i="1" s="1"/>
  <c r="C19" i="1"/>
  <c r="C33" i="1" s="1"/>
  <c r="C34" i="1" l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B28" i="1"/>
  <c r="B25" i="1"/>
  <c r="B27" i="1" s="1"/>
  <c r="K5" i="4" l="1"/>
  <c r="E5" i="4"/>
  <c r="D35" i="2" s="1"/>
  <c r="M5" i="4"/>
  <c r="H5" i="4"/>
  <c r="I5" i="4"/>
  <c r="P5" i="4"/>
  <c r="N5" i="4"/>
  <c r="F5" i="4"/>
  <c r="O5" i="4"/>
  <c r="G5" i="4"/>
  <c r="J5" i="4"/>
  <c r="L5" i="4"/>
  <c r="C8" i="5" l="1"/>
  <c r="D12" i="4" s="1"/>
  <c r="D16" i="4" s="1"/>
  <c r="C22" i="4"/>
  <c r="C23" i="4" s="1"/>
  <c r="C2" i="6" l="1"/>
  <c r="H5" i="6" s="1"/>
  <c r="I5" i="6" s="1"/>
  <c r="H6" i="6" l="1"/>
  <c r="E10" i="4" s="1"/>
  <c r="E16" i="4" s="1"/>
  <c r="I6" i="6" l="1"/>
  <c r="H7" i="6"/>
  <c r="I7" i="6" l="1"/>
  <c r="H8" i="6" s="1"/>
  <c r="I8" i="6" s="1"/>
  <c r="F10" i="4"/>
  <c r="F16" i="4" s="1"/>
  <c r="H9" i="6" l="1"/>
  <c r="H10" i="4" s="1"/>
  <c r="H16" i="4" s="1"/>
  <c r="G10" i="4"/>
  <c r="G16" i="4" s="1"/>
  <c r="I9" i="6" l="1"/>
  <c r="H10" i="6" l="1"/>
  <c r="I10" i="4" s="1"/>
  <c r="I16" i="4" s="1"/>
  <c r="I10" i="6" l="1"/>
  <c r="H11" i="6" l="1"/>
  <c r="J10" i="4" s="1"/>
  <c r="J16" i="4" s="1"/>
  <c r="I11" i="6" l="1"/>
  <c r="H12" i="6" l="1"/>
  <c r="K10" i="4" s="1"/>
  <c r="K16" i="4" s="1"/>
  <c r="I12" i="6" l="1"/>
  <c r="H13" i="6" l="1"/>
  <c r="L10" i="4" s="1"/>
  <c r="L16" i="4" s="1"/>
  <c r="I13" i="6" l="1"/>
  <c r="H14" i="6" l="1"/>
  <c r="M10" i="4" s="1"/>
  <c r="M16" i="4" l="1"/>
  <c r="I14" i="6"/>
  <c r="H15" i="6" l="1"/>
  <c r="N10" i="4" s="1"/>
  <c r="N16" i="4" l="1"/>
  <c r="I15" i="6"/>
  <c r="H16" i="6" l="1"/>
  <c r="O10" i="4" s="1"/>
  <c r="O16" i="4" l="1"/>
  <c r="I16" i="6"/>
  <c r="H17" i="6" s="1"/>
  <c r="P10" i="4" l="1"/>
  <c r="P16" i="4" l="1"/>
  <c r="C24" i="4"/>
  <c r="C25" i="4" s="1"/>
  <c r="C26" i="4" s="1"/>
  <c r="F25" i="4" l="1"/>
  <c r="F22" i="4"/>
  <c r="F24" i="4" s="1"/>
</calcChain>
</file>

<file path=xl/sharedStrings.xml><?xml version="1.0" encoding="utf-8"?>
<sst xmlns="http://schemas.openxmlformats.org/spreadsheetml/2006/main" count="236" uniqueCount="102">
  <si>
    <t>MENSUALIDAD CLIENTE (MILLONES)</t>
  </si>
  <si>
    <t>SALARIO NETO INGENIERO MENSUAL</t>
  </si>
  <si>
    <t>COSTOS FIJOS MENSUAL</t>
  </si>
  <si>
    <t>MES</t>
  </si>
  <si>
    <t>INGRESOS</t>
  </si>
  <si>
    <t>SERVICIO AUTOMATIZACION</t>
  </si>
  <si>
    <t>TOTAL INGRESOS</t>
  </si>
  <si>
    <t>EGRESOS</t>
  </si>
  <si>
    <t xml:space="preserve"> </t>
  </si>
  <si>
    <t>INVERSION</t>
  </si>
  <si>
    <t>OTROS COSTOS (ARRIENDOS, SERVICIOS ETC)</t>
  </si>
  <si>
    <t>TOTAL EGRESOS</t>
  </si>
  <si>
    <t>FLUJO NETO ECONOMICO</t>
  </si>
  <si>
    <t>PAGO DEUDA</t>
  </si>
  <si>
    <t>FLUJO NETO FINANCIERO</t>
  </si>
  <si>
    <t>GANANCIA 
        O
COSTO OPORTUNIDAD</t>
  </si>
  <si>
    <t>FLUJO NETO FINANCIADO</t>
  </si>
  <si>
    <t>VA</t>
  </si>
  <si>
    <t>VAN</t>
  </si>
  <si>
    <t>TIR</t>
  </si>
  <si>
    <t>VALOR ACTUAL</t>
  </si>
  <si>
    <t>VALOR ACTUA ACUMULADO</t>
  </si>
  <si>
    <t>PAYBACK</t>
  </si>
  <si>
    <t>ESTADO DE PERDIDAS Y GANANCIAS</t>
  </si>
  <si>
    <t>VENTAS</t>
  </si>
  <si>
    <t>COSTOS</t>
  </si>
  <si>
    <t>UTILIDAD BRUTA</t>
  </si>
  <si>
    <t>GASTOS FINANCIEROS</t>
  </si>
  <si>
    <t>UTILIDAD ANTES DE IMMPUESTOS</t>
  </si>
  <si>
    <t>IMPUESTOS</t>
  </si>
  <si>
    <t>UTILIDAD NETA DEL EJERCICIO</t>
  </si>
  <si>
    <t>HARDWARE</t>
  </si>
  <si>
    <t>SOFTWARE</t>
  </si>
  <si>
    <t>NOMINA</t>
  </si>
  <si>
    <t>PLCs</t>
  </si>
  <si>
    <t>Robots</t>
  </si>
  <si>
    <t>Sensores</t>
  </si>
  <si>
    <t>Studio 5000</t>
  </si>
  <si>
    <t>Siemenx NX</t>
  </si>
  <si>
    <t>Ignition</t>
  </si>
  <si>
    <t>COSTOS FIJOS (NOMINA)</t>
  </si>
  <si>
    <t>OPCION 1: Pago en tres cuotas y el cliente es el dueño de las maquinas.</t>
  </si>
  <si>
    <t>OPCION 2: Pago en mensualidades y el cliente paga por alquiler de maquinas.</t>
  </si>
  <si>
    <t>Unidades producidas pimenton</t>
  </si>
  <si>
    <t>Unidades producidas aguacate</t>
  </si>
  <si>
    <t>Precio compra unidad pimenton</t>
  </si>
  <si>
    <t>Precio compra unidad aguacate</t>
  </si>
  <si>
    <t>Precio venta unidad pimenton</t>
  </si>
  <si>
    <t>Precio venta unidad aguacate</t>
  </si>
  <si>
    <t>Mes 0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</si>
  <si>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</si>
  <si>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</si>
  <si>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</si>
  <si>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</si>
  <si>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</si>
  <si>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</si>
  <si>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</si>
  <si>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</si>
  <si>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</si>
  <si>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</si>
  <si>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</si>
  <si>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</si>
  <si>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Nomina</t>
  </si>
  <si>
    <t>Arriendos</t>
  </si>
  <si>
    <t>Servicios</t>
  </si>
  <si>
    <t>Materia prima</t>
  </si>
  <si>
    <t>Abono a deuda</t>
  </si>
  <si>
    <t>PASIVOS</t>
  </si>
  <si>
    <t>Ventas a costo</t>
  </si>
  <si>
    <t>ACTIVOS</t>
  </si>
  <si>
    <t>Ventas mensuales</t>
  </si>
  <si>
    <t>Prestamo</t>
  </si>
  <si>
    <t>Valor del prestamo</t>
  </si>
  <si>
    <t>Periodo</t>
  </si>
  <si>
    <t>Flujo</t>
  </si>
  <si>
    <t>saldo</t>
  </si>
  <si>
    <t>Interes mensual</t>
  </si>
  <si>
    <t>Salario</t>
  </si>
  <si>
    <t>ARL</t>
  </si>
  <si>
    <t>Pensión</t>
  </si>
  <si>
    <t>Precio</t>
  </si>
  <si>
    <t>Maquinaria</t>
  </si>
  <si>
    <t>Total</t>
  </si>
  <si>
    <t>Costo maquinaria</t>
  </si>
  <si>
    <t>Costo de software</t>
  </si>
  <si>
    <t>271120_BOLETIN SEMANAL SIPSA_442.indd (dane.gov.co)</t>
  </si>
  <si>
    <t>Linea con maquina lavadora enceradora</t>
  </si>
  <si>
    <t>USD</t>
  </si>
  <si>
    <t>Maquina de selección</t>
  </si>
  <si>
    <t>Operario/Carguero</t>
  </si>
  <si>
    <t>Supervisor</t>
  </si>
  <si>
    <t>Tecnico</t>
  </si>
  <si>
    <t>Ingeniero</t>
  </si>
  <si>
    <t>Arriendo</t>
  </si>
  <si>
    <t>Logistica</t>
  </si>
  <si>
    <t>Translado de mercancía</t>
  </si>
  <si>
    <t>Flujo total</t>
  </si>
  <si>
    <t>IVA</t>
  </si>
  <si>
    <t>Primeros dos meses</t>
  </si>
  <si>
    <t>Varios</t>
  </si>
  <si>
    <t>Contabilidad y legal</t>
  </si>
  <si>
    <t>Deuda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</si>
</sst>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02124"/>
      <name val="Arial"/>
      <family val="2"/>
    </font>
    <font>
      <u/>
      <sz val="10"/>
      <color theme="10"/>
      <name val="Arial"/>
      <family val="2"/>
    </font>
    <font>
      <sz val="10"/>
      <color rgb="FF000000"/>
      <name val="Barlow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3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2" fillId="2" borderId="0" xfId="0" applyFont="1" applyFill="1" applyAlignment="1">
      <alignment vertical="center" wrapText="1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165" fontId="0" fillId="4" borderId="0" xfId="0" applyNumberFormat="1" applyFill="1" applyAlignment="1">
      <alignment vertical="center"/>
    </xf>
    <xf numFmtId="165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vertical="center"/>
    </xf>
    <xf numFmtId="0" fontId="2" fillId="3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65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165" fontId="0" fillId="6" borderId="0" xfId="0" applyNumberFormat="1" applyFill="1" applyAlignment="1">
      <alignment vertical="center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165" fontId="0" fillId="7" borderId="0" xfId="0" applyNumberFormat="1" applyFill="1" applyAlignment="1">
      <alignment vertical="center"/>
    </xf>
    <xf numFmtId="0" fontId="2" fillId="7" borderId="1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164" fontId="0" fillId="3" borderId="1" xfId="0" applyNumberFormat="1" applyFill="1" applyBorder="1" applyAlignment="1">
      <alignment vertical="center"/>
    </xf>
    <xf numFmtId="9" fontId="0" fillId="3" borderId="1" xfId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9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5" fontId="0" fillId="3" borderId="0" xfId="0" applyNumberForma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44" fontId="1" fillId="0" borderId="0" xfId="2" applyFont="1" applyFill="1"/>
    <xf numFmtId="44" fontId="4" fillId="0" borderId="0" xfId="2" applyFont="1"/>
    <xf numFmtId="44" fontId="0" fillId="0" borderId="0" xfId="2" applyFont="1" applyFill="1"/>
    <xf numFmtId="44" fontId="0" fillId="8" borderId="0" xfId="2" applyFont="1" applyFill="1"/>
    <xf numFmtId="0" fontId="5" fillId="0" borderId="0" xfId="3"/>
    <xf numFmtId="0" fontId="0" fillId="0" borderId="0" xfId="2" applyNumberFormat="1" applyFont="1"/>
    <xf numFmtId="44" fontId="0" fillId="9" borderId="0" xfId="2" applyFont="1" applyFill="1"/>
    <xf numFmtId="0" fontId="0" fillId="0" borderId="0" xfId="0" applyFill="1"/>
    <xf numFmtId="9" fontId="0" fillId="0" borderId="0" xfId="2" applyNumberFormat="1" applyFont="1"/>
    <xf numFmtId="44" fontId="6" fillId="0" borderId="0" xfId="2" applyFont="1"/>
    <xf numFmtId="0" fontId="0" fillId="9" borderId="0" xfId="0" applyFill="1" applyAlignment="1">
      <alignment horizontal="center" vertical="center"/>
    </xf>
    <xf numFmtId="0" fontId="0" fillId="9" borderId="0" xfId="0" applyFill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37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ane.gov.co/files/investigaciones/agropecuario/sipsa/Sem_21nov_2020__27nov_2020.pdf" TargetMode="External"/><Relationship Id="rId1" Type="http://schemas.openxmlformats.org/officeDocument/2006/relationships/hyperlink" Target="https://www.dane.gov.co/files/investigaciones/agropecuario/sipsa/Sem_21nov_2020__27nov_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36B6-C95E-4F80-8316-6AF95C4E391A}">
  <dimension ref="A1:Z47"/>
  <sheetViews>
    <sheetView tabSelected="1" topLeftCell="A10" zoomScaleNormal="100" workbookViewId="0">
      <selection activeCell="D26" sqref="D26"/>
    </sheetView>
  </sheetViews>
  <sheetFormatPr defaultColWidth="11.5546875" defaultRowHeight="13.2" x14ac:dyDescent="0.25"/>
  <cols>
    <col min="1" max="1" width="18.44140625" style="4" customWidth="1"/>
    <col min="2" max="2" width="24.33203125" style="3" customWidth="1"/>
    <col min="3" max="3" width="22.109375" style="3" bestFit="1" customWidth="1"/>
    <col min="4" max="5" width="16.5546875" style="3" bestFit="1" customWidth="1"/>
    <col min="6" max="6" width="21.33203125" style="3" customWidth="1"/>
    <col min="7" max="7" width="18.88671875" style="3" customWidth="1"/>
    <col min="8" max="8" width="24.5546875" style="3" customWidth="1"/>
    <col min="9" max="9" width="19.44140625" style="3" customWidth="1"/>
    <col min="10" max="13" width="16.5546875" style="3" bestFit="1" customWidth="1"/>
    <col min="14" max="14" width="22" style="3" customWidth="1"/>
    <col min="15" max="256" width="11.44140625" style="3"/>
    <col min="257" max="257" width="18.44140625" style="3" customWidth="1"/>
    <col min="258" max="258" width="17.5546875" style="3" bestFit="1" customWidth="1"/>
    <col min="259" max="259" width="22.109375" style="3" bestFit="1" customWidth="1"/>
    <col min="260" max="270" width="16.5546875" style="3" bestFit="1" customWidth="1"/>
    <col min="271" max="512" width="11.44140625" style="3"/>
    <col min="513" max="513" width="18.44140625" style="3" customWidth="1"/>
    <col min="514" max="514" width="17.5546875" style="3" bestFit="1" customWidth="1"/>
    <col min="515" max="515" width="22.109375" style="3" bestFit="1" customWidth="1"/>
    <col min="516" max="526" width="16.5546875" style="3" bestFit="1" customWidth="1"/>
    <col min="527" max="768" width="11.44140625" style="3"/>
    <col min="769" max="769" width="18.44140625" style="3" customWidth="1"/>
    <col min="770" max="770" width="17.5546875" style="3" bestFit="1" customWidth="1"/>
    <col min="771" max="771" width="22.109375" style="3" bestFit="1" customWidth="1"/>
    <col min="772" max="782" width="16.5546875" style="3" bestFit="1" customWidth="1"/>
    <col min="783" max="1024" width="11.44140625" style="3"/>
    <col min="1025" max="1025" width="18.44140625" style="3" customWidth="1"/>
    <col min="1026" max="1026" width="17.5546875" style="3" bestFit="1" customWidth="1"/>
    <col min="1027" max="1027" width="22.109375" style="3" bestFit="1" customWidth="1"/>
    <col min="1028" max="1038" width="16.5546875" style="3" bestFit="1" customWidth="1"/>
    <col min="1039" max="1280" width="11.44140625" style="3"/>
    <col min="1281" max="1281" width="18.44140625" style="3" customWidth="1"/>
    <col min="1282" max="1282" width="17.5546875" style="3" bestFit="1" customWidth="1"/>
    <col min="1283" max="1283" width="22.109375" style="3" bestFit="1" customWidth="1"/>
    <col min="1284" max="1294" width="16.5546875" style="3" bestFit="1" customWidth="1"/>
    <col min="1295" max="1536" width="11.44140625" style="3"/>
    <col min="1537" max="1537" width="18.44140625" style="3" customWidth="1"/>
    <col min="1538" max="1538" width="17.5546875" style="3" bestFit="1" customWidth="1"/>
    <col min="1539" max="1539" width="22.109375" style="3" bestFit="1" customWidth="1"/>
    <col min="1540" max="1550" width="16.5546875" style="3" bestFit="1" customWidth="1"/>
    <col min="1551" max="1792" width="11.44140625" style="3"/>
    <col min="1793" max="1793" width="18.44140625" style="3" customWidth="1"/>
    <col min="1794" max="1794" width="17.5546875" style="3" bestFit="1" customWidth="1"/>
    <col min="1795" max="1795" width="22.109375" style="3" bestFit="1" customWidth="1"/>
    <col min="1796" max="1806" width="16.5546875" style="3" bestFit="1" customWidth="1"/>
    <col min="1807" max="2048" width="11.44140625" style="3"/>
    <col min="2049" max="2049" width="18.44140625" style="3" customWidth="1"/>
    <col min="2050" max="2050" width="17.5546875" style="3" bestFit="1" customWidth="1"/>
    <col min="2051" max="2051" width="22.109375" style="3" bestFit="1" customWidth="1"/>
    <col min="2052" max="2062" width="16.5546875" style="3" bestFit="1" customWidth="1"/>
    <col min="2063" max="2304" width="11.44140625" style="3"/>
    <col min="2305" max="2305" width="18.44140625" style="3" customWidth="1"/>
    <col min="2306" max="2306" width="17.5546875" style="3" bestFit="1" customWidth="1"/>
    <col min="2307" max="2307" width="22.109375" style="3" bestFit="1" customWidth="1"/>
    <col min="2308" max="2318" width="16.5546875" style="3" bestFit="1" customWidth="1"/>
    <col min="2319" max="2560" width="11.44140625" style="3"/>
    <col min="2561" max="2561" width="18.44140625" style="3" customWidth="1"/>
    <col min="2562" max="2562" width="17.5546875" style="3" bestFit="1" customWidth="1"/>
    <col min="2563" max="2563" width="22.109375" style="3" bestFit="1" customWidth="1"/>
    <col min="2564" max="2574" width="16.5546875" style="3" bestFit="1" customWidth="1"/>
    <col min="2575" max="2816" width="11.44140625" style="3"/>
    <col min="2817" max="2817" width="18.44140625" style="3" customWidth="1"/>
    <col min="2818" max="2818" width="17.5546875" style="3" bestFit="1" customWidth="1"/>
    <col min="2819" max="2819" width="22.109375" style="3" bestFit="1" customWidth="1"/>
    <col min="2820" max="2830" width="16.5546875" style="3" bestFit="1" customWidth="1"/>
    <col min="2831" max="3072" width="11.44140625" style="3"/>
    <col min="3073" max="3073" width="18.44140625" style="3" customWidth="1"/>
    <col min="3074" max="3074" width="17.5546875" style="3" bestFit="1" customWidth="1"/>
    <col min="3075" max="3075" width="22.109375" style="3" bestFit="1" customWidth="1"/>
    <col min="3076" max="3086" width="16.5546875" style="3" bestFit="1" customWidth="1"/>
    <col min="3087" max="3328" width="11.44140625" style="3"/>
    <col min="3329" max="3329" width="18.44140625" style="3" customWidth="1"/>
    <col min="3330" max="3330" width="17.5546875" style="3" bestFit="1" customWidth="1"/>
    <col min="3331" max="3331" width="22.109375" style="3" bestFit="1" customWidth="1"/>
    <col min="3332" max="3342" width="16.5546875" style="3" bestFit="1" customWidth="1"/>
    <col min="3343" max="3584" width="11.44140625" style="3"/>
    <col min="3585" max="3585" width="18.44140625" style="3" customWidth="1"/>
    <col min="3586" max="3586" width="17.5546875" style="3" bestFit="1" customWidth="1"/>
    <col min="3587" max="3587" width="22.109375" style="3" bestFit="1" customWidth="1"/>
    <col min="3588" max="3598" width="16.5546875" style="3" bestFit="1" customWidth="1"/>
    <col min="3599" max="3840" width="11.44140625" style="3"/>
    <col min="3841" max="3841" width="18.44140625" style="3" customWidth="1"/>
    <col min="3842" max="3842" width="17.5546875" style="3" bestFit="1" customWidth="1"/>
    <col min="3843" max="3843" width="22.109375" style="3" bestFit="1" customWidth="1"/>
    <col min="3844" max="3854" width="16.5546875" style="3" bestFit="1" customWidth="1"/>
    <col min="3855" max="4096" width="11.44140625" style="3"/>
    <col min="4097" max="4097" width="18.44140625" style="3" customWidth="1"/>
    <col min="4098" max="4098" width="17.5546875" style="3" bestFit="1" customWidth="1"/>
    <col min="4099" max="4099" width="22.109375" style="3" bestFit="1" customWidth="1"/>
    <col min="4100" max="4110" width="16.5546875" style="3" bestFit="1" customWidth="1"/>
    <col min="4111" max="4352" width="11.44140625" style="3"/>
    <col min="4353" max="4353" width="18.44140625" style="3" customWidth="1"/>
    <col min="4354" max="4354" width="17.5546875" style="3" bestFit="1" customWidth="1"/>
    <col min="4355" max="4355" width="22.109375" style="3" bestFit="1" customWidth="1"/>
    <col min="4356" max="4366" width="16.5546875" style="3" bestFit="1" customWidth="1"/>
    <col min="4367" max="4608" width="11.44140625" style="3"/>
    <col min="4609" max="4609" width="18.44140625" style="3" customWidth="1"/>
    <col min="4610" max="4610" width="17.5546875" style="3" bestFit="1" customWidth="1"/>
    <col min="4611" max="4611" width="22.109375" style="3" bestFit="1" customWidth="1"/>
    <col min="4612" max="4622" width="16.5546875" style="3" bestFit="1" customWidth="1"/>
    <col min="4623" max="4864" width="11.44140625" style="3"/>
    <col min="4865" max="4865" width="18.44140625" style="3" customWidth="1"/>
    <col min="4866" max="4866" width="17.5546875" style="3" bestFit="1" customWidth="1"/>
    <col min="4867" max="4867" width="22.109375" style="3" bestFit="1" customWidth="1"/>
    <col min="4868" max="4878" width="16.5546875" style="3" bestFit="1" customWidth="1"/>
    <col min="4879" max="5120" width="11.44140625" style="3"/>
    <col min="5121" max="5121" width="18.44140625" style="3" customWidth="1"/>
    <col min="5122" max="5122" width="17.5546875" style="3" bestFit="1" customWidth="1"/>
    <col min="5123" max="5123" width="22.109375" style="3" bestFit="1" customWidth="1"/>
    <col min="5124" max="5134" width="16.5546875" style="3" bestFit="1" customWidth="1"/>
    <col min="5135" max="5376" width="11.44140625" style="3"/>
    <col min="5377" max="5377" width="18.44140625" style="3" customWidth="1"/>
    <col min="5378" max="5378" width="17.5546875" style="3" bestFit="1" customWidth="1"/>
    <col min="5379" max="5379" width="22.109375" style="3" bestFit="1" customWidth="1"/>
    <col min="5380" max="5390" width="16.5546875" style="3" bestFit="1" customWidth="1"/>
    <col min="5391" max="5632" width="11.44140625" style="3"/>
    <col min="5633" max="5633" width="18.44140625" style="3" customWidth="1"/>
    <col min="5634" max="5634" width="17.5546875" style="3" bestFit="1" customWidth="1"/>
    <col min="5635" max="5635" width="22.109375" style="3" bestFit="1" customWidth="1"/>
    <col min="5636" max="5646" width="16.5546875" style="3" bestFit="1" customWidth="1"/>
    <col min="5647" max="5888" width="11.44140625" style="3"/>
    <col min="5889" max="5889" width="18.44140625" style="3" customWidth="1"/>
    <col min="5890" max="5890" width="17.5546875" style="3" bestFit="1" customWidth="1"/>
    <col min="5891" max="5891" width="22.109375" style="3" bestFit="1" customWidth="1"/>
    <col min="5892" max="5902" width="16.5546875" style="3" bestFit="1" customWidth="1"/>
    <col min="5903" max="6144" width="11.44140625" style="3"/>
    <col min="6145" max="6145" width="18.44140625" style="3" customWidth="1"/>
    <col min="6146" max="6146" width="17.5546875" style="3" bestFit="1" customWidth="1"/>
    <col min="6147" max="6147" width="22.109375" style="3" bestFit="1" customWidth="1"/>
    <col min="6148" max="6158" width="16.5546875" style="3" bestFit="1" customWidth="1"/>
    <col min="6159" max="6400" width="11.44140625" style="3"/>
    <col min="6401" max="6401" width="18.44140625" style="3" customWidth="1"/>
    <col min="6402" max="6402" width="17.5546875" style="3" bestFit="1" customWidth="1"/>
    <col min="6403" max="6403" width="22.109375" style="3" bestFit="1" customWidth="1"/>
    <col min="6404" max="6414" width="16.5546875" style="3" bestFit="1" customWidth="1"/>
    <col min="6415" max="6656" width="11.44140625" style="3"/>
    <col min="6657" max="6657" width="18.44140625" style="3" customWidth="1"/>
    <col min="6658" max="6658" width="17.5546875" style="3" bestFit="1" customWidth="1"/>
    <col min="6659" max="6659" width="22.109375" style="3" bestFit="1" customWidth="1"/>
    <col min="6660" max="6670" width="16.5546875" style="3" bestFit="1" customWidth="1"/>
    <col min="6671" max="6912" width="11.44140625" style="3"/>
    <col min="6913" max="6913" width="18.44140625" style="3" customWidth="1"/>
    <col min="6914" max="6914" width="17.5546875" style="3" bestFit="1" customWidth="1"/>
    <col min="6915" max="6915" width="22.109375" style="3" bestFit="1" customWidth="1"/>
    <col min="6916" max="6926" width="16.5546875" style="3" bestFit="1" customWidth="1"/>
    <col min="6927" max="7168" width="11.44140625" style="3"/>
    <col min="7169" max="7169" width="18.44140625" style="3" customWidth="1"/>
    <col min="7170" max="7170" width="17.5546875" style="3" bestFit="1" customWidth="1"/>
    <col min="7171" max="7171" width="22.109375" style="3" bestFit="1" customWidth="1"/>
    <col min="7172" max="7182" width="16.5546875" style="3" bestFit="1" customWidth="1"/>
    <col min="7183" max="7424" width="11.44140625" style="3"/>
    <col min="7425" max="7425" width="18.44140625" style="3" customWidth="1"/>
    <col min="7426" max="7426" width="17.5546875" style="3" bestFit="1" customWidth="1"/>
    <col min="7427" max="7427" width="22.109375" style="3" bestFit="1" customWidth="1"/>
    <col min="7428" max="7438" width="16.5546875" style="3" bestFit="1" customWidth="1"/>
    <col min="7439" max="7680" width="11.44140625" style="3"/>
    <col min="7681" max="7681" width="18.44140625" style="3" customWidth="1"/>
    <col min="7682" max="7682" width="17.5546875" style="3" bestFit="1" customWidth="1"/>
    <col min="7683" max="7683" width="22.109375" style="3" bestFit="1" customWidth="1"/>
    <col min="7684" max="7694" width="16.5546875" style="3" bestFit="1" customWidth="1"/>
    <col min="7695" max="7936" width="11.44140625" style="3"/>
    <col min="7937" max="7937" width="18.44140625" style="3" customWidth="1"/>
    <col min="7938" max="7938" width="17.5546875" style="3" bestFit="1" customWidth="1"/>
    <col min="7939" max="7939" width="22.109375" style="3" bestFit="1" customWidth="1"/>
    <col min="7940" max="7950" width="16.5546875" style="3" bestFit="1" customWidth="1"/>
    <col min="7951" max="8192" width="11.44140625" style="3"/>
    <col min="8193" max="8193" width="18.44140625" style="3" customWidth="1"/>
    <col min="8194" max="8194" width="17.5546875" style="3" bestFit="1" customWidth="1"/>
    <col min="8195" max="8195" width="22.109375" style="3" bestFit="1" customWidth="1"/>
    <col min="8196" max="8206" width="16.5546875" style="3" bestFit="1" customWidth="1"/>
    <col min="8207" max="8448" width="11.44140625" style="3"/>
    <col min="8449" max="8449" width="18.44140625" style="3" customWidth="1"/>
    <col min="8450" max="8450" width="17.5546875" style="3" bestFit="1" customWidth="1"/>
    <col min="8451" max="8451" width="22.109375" style="3" bestFit="1" customWidth="1"/>
    <col min="8452" max="8462" width="16.5546875" style="3" bestFit="1" customWidth="1"/>
    <col min="8463" max="8704" width="11.44140625" style="3"/>
    <col min="8705" max="8705" width="18.44140625" style="3" customWidth="1"/>
    <col min="8706" max="8706" width="17.5546875" style="3" bestFit="1" customWidth="1"/>
    <col min="8707" max="8707" width="22.109375" style="3" bestFit="1" customWidth="1"/>
    <col min="8708" max="8718" width="16.5546875" style="3" bestFit="1" customWidth="1"/>
    <col min="8719" max="8960" width="11.44140625" style="3"/>
    <col min="8961" max="8961" width="18.44140625" style="3" customWidth="1"/>
    <col min="8962" max="8962" width="17.5546875" style="3" bestFit="1" customWidth="1"/>
    <col min="8963" max="8963" width="22.109375" style="3" bestFit="1" customWidth="1"/>
    <col min="8964" max="8974" width="16.5546875" style="3" bestFit="1" customWidth="1"/>
    <col min="8975" max="9216" width="11.44140625" style="3"/>
    <col min="9217" max="9217" width="18.44140625" style="3" customWidth="1"/>
    <col min="9218" max="9218" width="17.5546875" style="3" bestFit="1" customWidth="1"/>
    <col min="9219" max="9219" width="22.109375" style="3" bestFit="1" customWidth="1"/>
    <col min="9220" max="9230" width="16.5546875" style="3" bestFit="1" customWidth="1"/>
    <col min="9231" max="9472" width="11.44140625" style="3"/>
    <col min="9473" max="9473" width="18.44140625" style="3" customWidth="1"/>
    <col min="9474" max="9474" width="17.5546875" style="3" bestFit="1" customWidth="1"/>
    <col min="9475" max="9475" width="22.109375" style="3" bestFit="1" customWidth="1"/>
    <col min="9476" max="9486" width="16.5546875" style="3" bestFit="1" customWidth="1"/>
    <col min="9487" max="9728" width="11.44140625" style="3"/>
    <col min="9729" max="9729" width="18.44140625" style="3" customWidth="1"/>
    <col min="9730" max="9730" width="17.5546875" style="3" bestFit="1" customWidth="1"/>
    <col min="9731" max="9731" width="22.109375" style="3" bestFit="1" customWidth="1"/>
    <col min="9732" max="9742" width="16.5546875" style="3" bestFit="1" customWidth="1"/>
    <col min="9743" max="9984" width="11.44140625" style="3"/>
    <col min="9985" max="9985" width="18.44140625" style="3" customWidth="1"/>
    <col min="9986" max="9986" width="17.5546875" style="3" bestFit="1" customWidth="1"/>
    <col min="9987" max="9987" width="22.109375" style="3" bestFit="1" customWidth="1"/>
    <col min="9988" max="9998" width="16.5546875" style="3" bestFit="1" customWidth="1"/>
    <col min="9999" max="10240" width="11.44140625" style="3"/>
    <col min="10241" max="10241" width="18.44140625" style="3" customWidth="1"/>
    <col min="10242" max="10242" width="17.5546875" style="3" bestFit="1" customWidth="1"/>
    <col min="10243" max="10243" width="22.109375" style="3" bestFit="1" customWidth="1"/>
    <col min="10244" max="10254" width="16.5546875" style="3" bestFit="1" customWidth="1"/>
    <col min="10255" max="10496" width="11.44140625" style="3"/>
    <col min="10497" max="10497" width="18.44140625" style="3" customWidth="1"/>
    <col min="10498" max="10498" width="17.5546875" style="3" bestFit="1" customWidth="1"/>
    <col min="10499" max="10499" width="22.109375" style="3" bestFit="1" customWidth="1"/>
    <col min="10500" max="10510" width="16.5546875" style="3" bestFit="1" customWidth="1"/>
    <col min="10511" max="10752" width="11.44140625" style="3"/>
    <col min="10753" max="10753" width="18.44140625" style="3" customWidth="1"/>
    <col min="10754" max="10754" width="17.5546875" style="3" bestFit="1" customWidth="1"/>
    <col min="10755" max="10755" width="22.109375" style="3" bestFit="1" customWidth="1"/>
    <col min="10756" max="10766" width="16.5546875" style="3" bestFit="1" customWidth="1"/>
    <col min="10767" max="11008" width="11.44140625" style="3"/>
    <col min="11009" max="11009" width="18.44140625" style="3" customWidth="1"/>
    <col min="11010" max="11010" width="17.5546875" style="3" bestFit="1" customWidth="1"/>
    <col min="11011" max="11011" width="22.109375" style="3" bestFit="1" customWidth="1"/>
    <col min="11012" max="11022" width="16.5546875" style="3" bestFit="1" customWidth="1"/>
    <col min="11023" max="11264" width="11.44140625" style="3"/>
    <col min="11265" max="11265" width="18.44140625" style="3" customWidth="1"/>
    <col min="11266" max="11266" width="17.5546875" style="3" bestFit="1" customWidth="1"/>
    <col min="11267" max="11267" width="22.109375" style="3" bestFit="1" customWidth="1"/>
    <col min="11268" max="11278" width="16.5546875" style="3" bestFit="1" customWidth="1"/>
    <col min="11279" max="11520" width="11.44140625" style="3"/>
    <col min="11521" max="11521" width="18.44140625" style="3" customWidth="1"/>
    <col min="11522" max="11522" width="17.5546875" style="3" bestFit="1" customWidth="1"/>
    <col min="11523" max="11523" width="22.109375" style="3" bestFit="1" customWidth="1"/>
    <col min="11524" max="11534" width="16.5546875" style="3" bestFit="1" customWidth="1"/>
    <col min="11535" max="11776" width="11.44140625" style="3"/>
    <col min="11777" max="11777" width="18.44140625" style="3" customWidth="1"/>
    <col min="11778" max="11778" width="17.5546875" style="3" bestFit="1" customWidth="1"/>
    <col min="11779" max="11779" width="22.109375" style="3" bestFit="1" customWidth="1"/>
    <col min="11780" max="11790" width="16.5546875" style="3" bestFit="1" customWidth="1"/>
    <col min="11791" max="12032" width="11.44140625" style="3"/>
    <col min="12033" max="12033" width="18.44140625" style="3" customWidth="1"/>
    <col min="12034" max="12034" width="17.5546875" style="3" bestFit="1" customWidth="1"/>
    <col min="12035" max="12035" width="22.109375" style="3" bestFit="1" customWidth="1"/>
    <col min="12036" max="12046" width="16.5546875" style="3" bestFit="1" customWidth="1"/>
    <col min="12047" max="12288" width="11.44140625" style="3"/>
    <col min="12289" max="12289" width="18.44140625" style="3" customWidth="1"/>
    <col min="12290" max="12290" width="17.5546875" style="3" bestFit="1" customWidth="1"/>
    <col min="12291" max="12291" width="22.109375" style="3" bestFit="1" customWidth="1"/>
    <col min="12292" max="12302" width="16.5546875" style="3" bestFit="1" customWidth="1"/>
    <col min="12303" max="12544" width="11.44140625" style="3"/>
    <col min="12545" max="12545" width="18.44140625" style="3" customWidth="1"/>
    <col min="12546" max="12546" width="17.5546875" style="3" bestFit="1" customWidth="1"/>
    <col min="12547" max="12547" width="22.109375" style="3" bestFit="1" customWidth="1"/>
    <col min="12548" max="12558" width="16.5546875" style="3" bestFit="1" customWidth="1"/>
    <col min="12559" max="12800" width="11.44140625" style="3"/>
    <col min="12801" max="12801" width="18.44140625" style="3" customWidth="1"/>
    <col min="12802" max="12802" width="17.5546875" style="3" bestFit="1" customWidth="1"/>
    <col min="12803" max="12803" width="22.109375" style="3" bestFit="1" customWidth="1"/>
    <col min="12804" max="12814" width="16.5546875" style="3" bestFit="1" customWidth="1"/>
    <col min="12815" max="13056" width="11.44140625" style="3"/>
    <col min="13057" max="13057" width="18.44140625" style="3" customWidth="1"/>
    <col min="13058" max="13058" width="17.5546875" style="3" bestFit="1" customWidth="1"/>
    <col min="13059" max="13059" width="22.109375" style="3" bestFit="1" customWidth="1"/>
    <col min="13060" max="13070" width="16.5546875" style="3" bestFit="1" customWidth="1"/>
    <col min="13071" max="13312" width="11.44140625" style="3"/>
    <col min="13313" max="13313" width="18.44140625" style="3" customWidth="1"/>
    <col min="13314" max="13314" width="17.5546875" style="3" bestFit="1" customWidth="1"/>
    <col min="13315" max="13315" width="22.109375" style="3" bestFit="1" customWidth="1"/>
    <col min="13316" max="13326" width="16.5546875" style="3" bestFit="1" customWidth="1"/>
    <col min="13327" max="13568" width="11.44140625" style="3"/>
    <col min="13569" max="13569" width="18.44140625" style="3" customWidth="1"/>
    <col min="13570" max="13570" width="17.5546875" style="3" bestFit="1" customWidth="1"/>
    <col min="13571" max="13571" width="22.109375" style="3" bestFit="1" customWidth="1"/>
    <col min="13572" max="13582" width="16.5546875" style="3" bestFit="1" customWidth="1"/>
    <col min="13583" max="13824" width="11.44140625" style="3"/>
    <col min="13825" max="13825" width="18.44140625" style="3" customWidth="1"/>
    <col min="13826" max="13826" width="17.5546875" style="3" bestFit="1" customWidth="1"/>
    <col min="13827" max="13827" width="22.109375" style="3" bestFit="1" customWidth="1"/>
    <col min="13828" max="13838" width="16.5546875" style="3" bestFit="1" customWidth="1"/>
    <col min="13839" max="14080" width="11.44140625" style="3"/>
    <col min="14081" max="14081" width="18.44140625" style="3" customWidth="1"/>
    <col min="14082" max="14082" width="17.5546875" style="3" bestFit="1" customWidth="1"/>
    <col min="14083" max="14083" width="22.109375" style="3" bestFit="1" customWidth="1"/>
    <col min="14084" max="14094" width="16.5546875" style="3" bestFit="1" customWidth="1"/>
    <col min="14095" max="14336" width="11.44140625" style="3"/>
    <col min="14337" max="14337" width="18.44140625" style="3" customWidth="1"/>
    <col min="14338" max="14338" width="17.5546875" style="3" bestFit="1" customWidth="1"/>
    <col min="14339" max="14339" width="22.109375" style="3" bestFit="1" customWidth="1"/>
    <col min="14340" max="14350" width="16.5546875" style="3" bestFit="1" customWidth="1"/>
    <col min="14351" max="14592" width="11.44140625" style="3"/>
    <col min="14593" max="14593" width="18.44140625" style="3" customWidth="1"/>
    <col min="14594" max="14594" width="17.5546875" style="3" bestFit="1" customWidth="1"/>
    <col min="14595" max="14595" width="22.109375" style="3" bestFit="1" customWidth="1"/>
    <col min="14596" max="14606" width="16.5546875" style="3" bestFit="1" customWidth="1"/>
    <col min="14607" max="14848" width="11.44140625" style="3"/>
    <col min="14849" max="14849" width="18.44140625" style="3" customWidth="1"/>
    <col min="14850" max="14850" width="17.5546875" style="3" bestFit="1" customWidth="1"/>
    <col min="14851" max="14851" width="22.109375" style="3" bestFit="1" customWidth="1"/>
    <col min="14852" max="14862" width="16.5546875" style="3" bestFit="1" customWidth="1"/>
    <col min="14863" max="15104" width="11.44140625" style="3"/>
    <col min="15105" max="15105" width="18.44140625" style="3" customWidth="1"/>
    <col min="15106" max="15106" width="17.5546875" style="3" bestFit="1" customWidth="1"/>
    <col min="15107" max="15107" width="22.109375" style="3" bestFit="1" customWidth="1"/>
    <col min="15108" max="15118" width="16.5546875" style="3" bestFit="1" customWidth="1"/>
    <col min="15119" max="15360" width="11.44140625" style="3"/>
    <col min="15361" max="15361" width="18.44140625" style="3" customWidth="1"/>
    <col min="15362" max="15362" width="17.5546875" style="3" bestFit="1" customWidth="1"/>
    <col min="15363" max="15363" width="22.109375" style="3" bestFit="1" customWidth="1"/>
    <col min="15364" max="15374" width="16.5546875" style="3" bestFit="1" customWidth="1"/>
    <col min="15375" max="15616" width="11.44140625" style="3"/>
    <col min="15617" max="15617" width="18.44140625" style="3" customWidth="1"/>
    <col min="15618" max="15618" width="17.5546875" style="3" bestFit="1" customWidth="1"/>
    <col min="15619" max="15619" width="22.109375" style="3" bestFit="1" customWidth="1"/>
    <col min="15620" max="15630" width="16.5546875" style="3" bestFit="1" customWidth="1"/>
    <col min="15631" max="15872" width="11.44140625" style="3"/>
    <col min="15873" max="15873" width="18.44140625" style="3" customWidth="1"/>
    <col min="15874" max="15874" width="17.5546875" style="3" bestFit="1" customWidth="1"/>
    <col min="15875" max="15875" width="22.109375" style="3" bestFit="1" customWidth="1"/>
    <col min="15876" max="15886" width="16.5546875" style="3" bestFit="1" customWidth="1"/>
    <col min="15887" max="16128" width="11.44140625" style="3"/>
    <col min="16129" max="16129" width="18.44140625" style="3" customWidth="1"/>
    <col min="16130" max="16130" width="17.5546875" style="3" bestFit="1" customWidth="1"/>
    <col min="16131" max="16131" width="22.109375" style="3" bestFit="1" customWidth="1"/>
    <col min="16132" max="16142" width="16.5546875" style="3" bestFit="1" customWidth="1"/>
    <col min="16143" max="16384" width="11.44140625" style="3"/>
  </cols>
  <sheetData>
    <row r="1" spans="1:26" ht="39.6" x14ac:dyDescent="0.25">
      <c r="A1" s="1" t="s">
        <v>0</v>
      </c>
      <c r="B1" s="2">
        <v>200</v>
      </c>
      <c r="D1" s="37" t="s">
        <v>41</v>
      </c>
    </row>
    <row r="2" spans="1:26" ht="39.6" x14ac:dyDescent="0.25">
      <c r="A2" s="1" t="s">
        <v>1</v>
      </c>
      <c r="B2" s="35">
        <v>4</v>
      </c>
    </row>
    <row r="3" spans="1:26" ht="26.4" x14ac:dyDescent="0.25">
      <c r="A3" s="1" t="s">
        <v>2</v>
      </c>
      <c r="B3" s="35">
        <v>5</v>
      </c>
    </row>
    <row r="4" spans="1:26" x14ac:dyDescent="0.25">
      <c r="B4" s="5"/>
    </row>
    <row r="5" spans="1:26" s="7" customFormat="1" x14ac:dyDescent="0.25">
      <c r="A5" s="6"/>
      <c r="B5" s="7" t="s">
        <v>3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 t="s">
        <v>3</v>
      </c>
      <c r="Q5" s="7" t="s">
        <v>3</v>
      </c>
      <c r="R5" s="7" t="s">
        <v>3</v>
      </c>
      <c r="S5" s="7" t="s">
        <v>3</v>
      </c>
      <c r="T5" s="7" t="s">
        <v>3</v>
      </c>
      <c r="U5" s="7" t="s">
        <v>3</v>
      </c>
      <c r="V5" s="7" t="s">
        <v>3</v>
      </c>
      <c r="W5" s="7" t="s">
        <v>3</v>
      </c>
      <c r="X5" s="7" t="s">
        <v>3</v>
      </c>
      <c r="Y5" s="7" t="s">
        <v>3</v>
      </c>
      <c r="Z5" s="7" t="s">
        <v>3</v>
      </c>
    </row>
    <row r="6" spans="1:26" s="7" customFormat="1" x14ac:dyDescent="0.25">
      <c r="A6" s="6"/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7">
        <v>19</v>
      </c>
      <c r="V6" s="7">
        <v>20</v>
      </c>
      <c r="W6" s="7">
        <v>21</v>
      </c>
      <c r="X6" s="7">
        <v>22</v>
      </c>
      <c r="Y6" s="7">
        <v>23</v>
      </c>
      <c r="Z6" s="7">
        <v>24</v>
      </c>
    </row>
    <row r="7" spans="1:26" x14ac:dyDescent="0.25">
      <c r="A7" s="17" t="s">
        <v>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26" ht="26.4" x14ac:dyDescent="0.25">
      <c r="A8" s="19" t="s">
        <v>5</v>
      </c>
      <c r="B8" s="18"/>
      <c r="C8" s="18">
        <v>1000000000</v>
      </c>
      <c r="D8" s="18">
        <v>0</v>
      </c>
      <c r="E8" s="18">
        <v>0</v>
      </c>
      <c r="F8" s="18">
        <v>0</v>
      </c>
      <c r="G8" s="18">
        <v>1000000000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1000000000</v>
      </c>
    </row>
    <row r="9" spans="1:26" x14ac:dyDescent="0.25">
      <c r="A9" s="19" t="s">
        <v>6</v>
      </c>
      <c r="B9" s="18"/>
      <c r="C9" s="18">
        <f t="shared" ref="C9:N9" si="0">SUM(C8:C8)</f>
        <v>1000000000</v>
      </c>
      <c r="D9" s="18">
        <f t="shared" si="0"/>
        <v>0</v>
      </c>
      <c r="E9" s="18">
        <f t="shared" si="0"/>
        <v>0</v>
      </c>
      <c r="F9" s="18">
        <f t="shared" si="0"/>
        <v>0</v>
      </c>
      <c r="G9" s="18">
        <f t="shared" si="0"/>
        <v>1000000000</v>
      </c>
      <c r="H9" s="18">
        <f t="shared" si="0"/>
        <v>0</v>
      </c>
      <c r="I9" s="18">
        <f t="shared" si="0"/>
        <v>0</v>
      </c>
      <c r="J9" s="18">
        <f t="shared" si="0"/>
        <v>0</v>
      </c>
      <c r="K9" s="18">
        <f t="shared" si="0"/>
        <v>0</v>
      </c>
      <c r="L9" s="18">
        <f t="shared" si="0"/>
        <v>0</v>
      </c>
      <c r="M9" s="18">
        <f t="shared" si="0"/>
        <v>0</v>
      </c>
      <c r="N9" s="18">
        <f t="shared" si="0"/>
        <v>1000000000</v>
      </c>
    </row>
    <row r="10" spans="1:26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6" x14ac:dyDescent="0.25">
      <c r="A11" s="20" t="s">
        <v>7</v>
      </c>
      <c r="B11" s="21" t="s">
        <v>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26" x14ac:dyDescent="0.25">
      <c r="A12" s="22" t="s">
        <v>9</v>
      </c>
      <c r="B12" s="21">
        <v>1000000000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26" ht="39.6" x14ac:dyDescent="0.25">
      <c r="A13" s="22" t="s">
        <v>10</v>
      </c>
      <c r="B13" s="21"/>
      <c r="C13" s="21">
        <f>$B$3*1000000</f>
        <v>5000000</v>
      </c>
      <c r="D13" s="21">
        <f t="shared" ref="D13:N13" si="1">$B$3*1000000</f>
        <v>5000000</v>
      </c>
      <c r="E13" s="21">
        <f t="shared" si="1"/>
        <v>5000000</v>
      </c>
      <c r="F13" s="21">
        <f t="shared" si="1"/>
        <v>5000000</v>
      </c>
      <c r="G13" s="21">
        <f t="shared" si="1"/>
        <v>5000000</v>
      </c>
      <c r="H13" s="21">
        <f t="shared" si="1"/>
        <v>5000000</v>
      </c>
      <c r="I13" s="21">
        <f t="shared" si="1"/>
        <v>5000000</v>
      </c>
      <c r="J13" s="21">
        <f t="shared" si="1"/>
        <v>5000000</v>
      </c>
      <c r="K13" s="21">
        <f t="shared" si="1"/>
        <v>5000000</v>
      </c>
      <c r="L13" s="21">
        <f t="shared" si="1"/>
        <v>5000000</v>
      </c>
      <c r="M13" s="21">
        <f t="shared" si="1"/>
        <v>5000000</v>
      </c>
      <c r="N13" s="21">
        <f t="shared" si="1"/>
        <v>5000000</v>
      </c>
    </row>
    <row r="14" spans="1:26" ht="26.4" x14ac:dyDescent="0.25">
      <c r="A14" s="22" t="s">
        <v>40</v>
      </c>
      <c r="B14" s="21"/>
      <c r="C14" s="21">
        <f>($B$2*1000000*1.6)*5</f>
        <v>32000000</v>
      </c>
      <c r="D14" s="21">
        <f t="shared" ref="D14:N14" si="2">($B$2*1000000*1.6)*5</f>
        <v>32000000</v>
      </c>
      <c r="E14" s="21">
        <f t="shared" si="2"/>
        <v>32000000</v>
      </c>
      <c r="F14" s="21">
        <f t="shared" si="2"/>
        <v>32000000</v>
      </c>
      <c r="G14" s="21">
        <f t="shared" si="2"/>
        <v>32000000</v>
      </c>
      <c r="H14" s="21">
        <f t="shared" si="2"/>
        <v>32000000</v>
      </c>
      <c r="I14" s="21">
        <f t="shared" si="2"/>
        <v>32000000</v>
      </c>
      <c r="J14" s="21">
        <f t="shared" si="2"/>
        <v>32000000</v>
      </c>
      <c r="K14" s="21">
        <f t="shared" si="2"/>
        <v>32000000</v>
      </c>
      <c r="L14" s="21">
        <f t="shared" si="2"/>
        <v>32000000</v>
      </c>
      <c r="M14" s="21">
        <f t="shared" si="2"/>
        <v>32000000</v>
      </c>
      <c r="N14" s="21">
        <f t="shared" si="2"/>
        <v>32000000</v>
      </c>
    </row>
    <row r="15" spans="1:26" x14ac:dyDescent="0.25">
      <c r="A15" s="22" t="s">
        <v>11</v>
      </c>
      <c r="B15" s="21">
        <f t="shared" ref="B15:N15" si="3">SUM(B12:B14)</f>
        <v>1000000000</v>
      </c>
      <c r="C15" s="21">
        <f t="shared" si="3"/>
        <v>37000000</v>
      </c>
      <c r="D15" s="21">
        <f t="shared" si="3"/>
        <v>37000000</v>
      </c>
      <c r="E15" s="21">
        <f t="shared" si="3"/>
        <v>37000000</v>
      </c>
      <c r="F15" s="21">
        <f t="shared" si="3"/>
        <v>37000000</v>
      </c>
      <c r="G15" s="21">
        <f t="shared" si="3"/>
        <v>37000000</v>
      </c>
      <c r="H15" s="21">
        <f t="shared" si="3"/>
        <v>37000000</v>
      </c>
      <c r="I15" s="21">
        <f t="shared" si="3"/>
        <v>37000000</v>
      </c>
      <c r="J15" s="21">
        <f t="shared" si="3"/>
        <v>37000000</v>
      </c>
      <c r="K15" s="21">
        <f t="shared" si="3"/>
        <v>37000000</v>
      </c>
      <c r="L15" s="21">
        <f t="shared" si="3"/>
        <v>37000000</v>
      </c>
      <c r="M15" s="21">
        <f t="shared" si="3"/>
        <v>37000000</v>
      </c>
      <c r="N15" s="21">
        <f t="shared" si="3"/>
        <v>37000000</v>
      </c>
    </row>
    <row r="16" spans="1:26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s="15" customFormat="1" ht="26.4" x14ac:dyDescent="0.25">
      <c r="A17" s="14" t="s">
        <v>12</v>
      </c>
      <c r="B17" s="13">
        <f>B9-B15</f>
        <v>-1000000000</v>
      </c>
      <c r="C17" s="13">
        <f>C9-C15</f>
        <v>963000000</v>
      </c>
      <c r="D17" s="13">
        <f t="shared" ref="D17:N17" si="4">D9-D15</f>
        <v>-37000000</v>
      </c>
      <c r="E17" s="13">
        <f t="shared" si="4"/>
        <v>-37000000</v>
      </c>
      <c r="F17" s="13">
        <f t="shared" si="4"/>
        <v>-37000000</v>
      </c>
      <c r="G17" s="13">
        <f t="shared" si="4"/>
        <v>963000000</v>
      </c>
      <c r="H17" s="13">
        <f t="shared" si="4"/>
        <v>-37000000</v>
      </c>
      <c r="I17" s="13">
        <f t="shared" si="4"/>
        <v>-37000000</v>
      </c>
      <c r="J17" s="13">
        <f t="shared" si="4"/>
        <v>-37000000</v>
      </c>
      <c r="K17" s="13">
        <f t="shared" si="4"/>
        <v>-37000000</v>
      </c>
      <c r="L17" s="13">
        <f t="shared" si="4"/>
        <v>-37000000</v>
      </c>
      <c r="M17" s="13">
        <f t="shared" si="4"/>
        <v>-37000000</v>
      </c>
      <c r="N17" s="13">
        <f t="shared" si="4"/>
        <v>963000000</v>
      </c>
    </row>
    <row r="18" spans="1:14" x14ac:dyDescent="0.25">
      <c r="A18" s="4" t="s">
        <v>13</v>
      </c>
      <c r="B18" s="13"/>
      <c r="C18" s="5">
        <v>90000000</v>
      </c>
      <c r="D18" s="5">
        <v>90000000</v>
      </c>
      <c r="E18" s="5">
        <v>90000000</v>
      </c>
      <c r="F18" s="5">
        <v>90000000</v>
      </c>
      <c r="G18" s="5">
        <v>90000000</v>
      </c>
      <c r="H18" s="5">
        <v>90000000</v>
      </c>
      <c r="I18" s="5">
        <v>90000000</v>
      </c>
      <c r="J18" s="5">
        <v>90000000</v>
      </c>
      <c r="K18" s="5">
        <v>90000000</v>
      </c>
      <c r="L18" s="5">
        <v>90000000</v>
      </c>
      <c r="M18" s="5">
        <v>90000000</v>
      </c>
      <c r="N18" s="5">
        <v>90000000</v>
      </c>
    </row>
    <row r="19" spans="1:14" ht="26.4" x14ac:dyDescent="0.25">
      <c r="A19" s="23" t="s">
        <v>14</v>
      </c>
      <c r="B19" s="24">
        <f>B17-B18</f>
        <v>-1000000000</v>
      </c>
      <c r="C19" s="24">
        <f t="shared" ref="C19:N19" si="5">C17-C18</f>
        <v>873000000</v>
      </c>
      <c r="D19" s="24">
        <f t="shared" si="5"/>
        <v>-127000000</v>
      </c>
      <c r="E19" s="24">
        <f t="shared" si="5"/>
        <v>-127000000</v>
      </c>
      <c r="F19" s="24">
        <f t="shared" si="5"/>
        <v>-127000000</v>
      </c>
      <c r="G19" s="24">
        <f t="shared" si="5"/>
        <v>873000000</v>
      </c>
      <c r="H19" s="24">
        <f t="shared" si="5"/>
        <v>-127000000</v>
      </c>
      <c r="I19" s="24">
        <f t="shared" si="5"/>
        <v>-127000000</v>
      </c>
      <c r="J19" s="24">
        <f t="shared" si="5"/>
        <v>-127000000</v>
      </c>
      <c r="K19" s="24">
        <f t="shared" si="5"/>
        <v>-127000000</v>
      </c>
      <c r="L19" s="24">
        <f t="shared" si="5"/>
        <v>-127000000</v>
      </c>
      <c r="M19" s="24">
        <f t="shared" si="5"/>
        <v>-127000000</v>
      </c>
      <c r="N19" s="24">
        <f t="shared" si="5"/>
        <v>873000000</v>
      </c>
    </row>
    <row r="22" spans="1:14" ht="52.8" x14ac:dyDescent="0.25">
      <c r="A22" s="33" t="s">
        <v>15</v>
      </c>
      <c r="B22" s="34">
        <v>0.05</v>
      </c>
    </row>
    <row r="24" spans="1:14" x14ac:dyDescent="0.25">
      <c r="A24" s="25" t="s">
        <v>16</v>
      </c>
      <c r="B24" s="26"/>
    </row>
    <row r="25" spans="1:14" x14ac:dyDescent="0.25">
      <c r="A25" s="27" t="s">
        <v>17</v>
      </c>
      <c r="B25" s="28">
        <f>NPV(B22,C19:N19)</f>
        <v>1167111579.1979718</v>
      </c>
    </row>
    <row r="26" spans="1:14" x14ac:dyDescent="0.25">
      <c r="A26" s="27" t="s">
        <v>9</v>
      </c>
      <c r="B26" s="29">
        <f>$B$12</f>
        <v>1000000000</v>
      </c>
    </row>
    <row r="27" spans="1:14" x14ac:dyDescent="0.25">
      <c r="A27" s="30" t="s">
        <v>18</v>
      </c>
      <c r="B27" s="31">
        <f>B25-B26</f>
        <v>167111579.19797182</v>
      </c>
    </row>
    <row r="28" spans="1:14" x14ac:dyDescent="0.25">
      <c r="A28" s="30" t="s">
        <v>19</v>
      </c>
      <c r="B28" s="32">
        <f>IRR(B19:N19)</f>
        <v>9.4357878579761634E-2</v>
      </c>
    </row>
    <row r="31" spans="1:14" x14ac:dyDescent="0.25">
      <c r="C31" s="7" t="s">
        <v>3</v>
      </c>
      <c r="D31" s="7" t="s">
        <v>3</v>
      </c>
      <c r="E31" s="7" t="s">
        <v>3</v>
      </c>
      <c r="F31" s="7" t="s">
        <v>3</v>
      </c>
      <c r="G31" s="7" t="s">
        <v>3</v>
      </c>
      <c r="H31" s="7" t="s">
        <v>3</v>
      </c>
      <c r="I31" s="7" t="s">
        <v>3</v>
      </c>
      <c r="J31" s="7" t="s">
        <v>3</v>
      </c>
      <c r="K31" s="7" t="s">
        <v>3</v>
      </c>
      <c r="L31" s="7" t="s">
        <v>3</v>
      </c>
      <c r="M31" s="7" t="s">
        <v>3</v>
      </c>
      <c r="N31" s="7" t="s">
        <v>3</v>
      </c>
    </row>
    <row r="32" spans="1:14" x14ac:dyDescent="0.25">
      <c r="C32" s="7">
        <v>1</v>
      </c>
      <c r="D32" s="7">
        <v>2</v>
      </c>
      <c r="E32" s="7">
        <v>3</v>
      </c>
      <c r="F32" s="7">
        <v>4</v>
      </c>
      <c r="G32" s="7">
        <v>5</v>
      </c>
      <c r="H32" s="7">
        <v>6</v>
      </c>
      <c r="I32" s="7">
        <v>7</v>
      </c>
      <c r="J32" s="7">
        <v>8</v>
      </c>
      <c r="K32" s="7">
        <v>9</v>
      </c>
      <c r="L32" s="7">
        <v>10</v>
      </c>
      <c r="M32" s="7">
        <v>11</v>
      </c>
      <c r="N32" s="7">
        <v>12</v>
      </c>
    </row>
    <row r="33" spans="1:14" x14ac:dyDescent="0.25">
      <c r="A33" s="8" t="s">
        <v>20</v>
      </c>
      <c r="C33" s="5">
        <f>C19/POWER(1+$B$22,C32)</f>
        <v>831428571.42857134</v>
      </c>
      <c r="D33" s="5">
        <f>D19/POWER(1+$B$22,D32)</f>
        <v>-115192743.76417233</v>
      </c>
      <c r="E33" s="5">
        <f t="shared" ref="E33:N33" si="6">E19/POWER(1+$B$22,E32)</f>
        <v>-109707375.01349746</v>
      </c>
      <c r="F33" s="5">
        <f t="shared" si="6"/>
        <v>-104483214.29856901</v>
      </c>
      <c r="G33" s="5">
        <f t="shared" si="6"/>
        <v>684018343.32696462</v>
      </c>
      <c r="H33" s="5">
        <f t="shared" si="6"/>
        <v>-94769355.372851714</v>
      </c>
      <c r="I33" s="5">
        <f t="shared" si="6"/>
        <v>-90256528.926525429</v>
      </c>
      <c r="J33" s="5">
        <f t="shared" si="6"/>
        <v>-85958598.977643266</v>
      </c>
      <c r="K33" s="5">
        <f t="shared" si="6"/>
        <v>-81865332.359660253</v>
      </c>
      <c r="L33" s="5">
        <f t="shared" si="6"/>
        <v>-77966983.199676439</v>
      </c>
      <c r="M33" s="5">
        <f t="shared" si="6"/>
        <v>-74254269.713977545</v>
      </c>
      <c r="N33" s="5">
        <f t="shared" si="6"/>
        <v>486119066.06900942</v>
      </c>
    </row>
    <row r="34" spans="1:14" ht="26.4" x14ac:dyDescent="0.25">
      <c r="A34" s="8" t="s">
        <v>21</v>
      </c>
      <c r="C34" s="36">
        <f>C33</f>
        <v>831428571.42857134</v>
      </c>
      <c r="D34" s="36">
        <f>C34+D33</f>
        <v>716235827.66439903</v>
      </c>
      <c r="E34" s="36">
        <f t="shared" ref="E34:N34" si="7">D34+E33</f>
        <v>606528452.65090156</v>
      </c>
      <c r="F34" s="36">
        <f t="shared" si="7"/>
        <v>502045238.35233253</v>
      </c>
      <c r="G34" s="36">
        <f t="shared" si="7"/>
        <v>1186063581.6792972</v>
      </c>
      <c r="H34" s="5">
        <f t="shared" si="7"/>
        <v>1091294226.3064456</v>
      </c>
      <c r="I34" s="5">
        <f t="shared" si="7"/>
        <v>1001037697.3799201</v>
      </c>
      <c r="J34" s="5">
        <f t="shared" si="7"/>
        <v>915079098.40227687</v>
      </c>
      <c r="K34" s="5">
        <f t="shared" si="7"/>
        <v>833213766.04261661</v>
      </c>
      <c r="L34" s="5">
        <f t="shared" si="7"/>
        <v>755246782.84294021</v>
      </c>
      <c r="M34" s="5">
        <f t="shared" si="7"/>
        <v>680992513.12896264</v>
      </c>
      <c r="N34" s="5">
        <f t="shared" si="7"/>
        <v>1167111579.1979721</v>
      </c>
    </row>
    <row r="35" spans="1:14" x14ac:dyDescent="0.25">
      <c r="A35" s="16" t="s">
        <v>22</v>
      </c>
      <c r="B35" s="38">
        <v>5</v>
      </c>
    </row>
    <row r="39" spans="1:14" ht="39.6" x14ac:dyDescent="0.25">
      <c r="A39" s="9" t="s">
        <v>23</v>
      </c>
      <c r="B39" s="10"/>
    </row>
    <row r="40" spans="1:14" x14ac:dyDescent="0.25">
      <c r="A40" s="11"/>
      <c r="B40" s="10"/>
    </row>
    <row r="41" spans="1:14" x14ac:dyDescent="0.25">
      <c r="A41" s="11" t="s">
        <v>24</v>
      </c>
      <c r="B41" s="12">
        <f>SUM(C8:N8)</f>
        <v>3000000000</v>
      </c>
    </row>
    <row r="42" spans="1:14" x14ac:dyDescent="0.25">
      <c r="A42" s="11" t="s">
        <v>25</v>
      </c>
      <c r="B42" s="12">
        <f>SUM(C13:N14)</f>
        <v>444000000</v>
      </c>
    </row>
    <row r="43" spans="1:14" x14ac:dyDescent="0.25">
      <c r="A43" s="11" t="s">
        <v>26</v>
      </c>
      <c r="B43" s="12">
        <f>B41-B42</f>
        <v>2556000000</v>
      </c>
    </row>
    <row r="44" spans="1:14" ht="26.4" x14ac:dyDescent="0.25">
      <c r="A44" s="11" t="s">
        <v>27</v>
      </c>
      <c r="B44" s="12">
        <f>SUM(C18:N18)</f>
        <v>1080000000</v>
      </c>
    </row>
    <row r="45" spans="1:14" ht="26.4" x14ac:dyDescent="0.25">
      <c r="A45" s="11" t="s">
        <v>28</v>
      </c>
      <c r="B45" s="12">
        <f>B43-B44</f>
        <v>1476000000</v>
      </c>
    </row>
    <row r="46" spans="1:14" x14ac:dyDescent="0.25">
      <c r="A46" s="11" t="s">
        <v>29</v>
      </c>
      <c r="B46" s="12">
        <f>B45*0.19</f>
        <v>280440000</v>
      </c>
    </row>
    <row r="47" spans="1:14" ht="26.4" x14ac:dyDescent="0.25">
      <c r="A47" s="11" t="s">
        <v>30</v>
      </c>
      <c r="B47" s="12">
        <f>B45-B46</f>
        <v>1195560000</v>
      </c>
    </row>
  </sheetData>
  <pageMargins left="0.75" right="0.75" top="1" bottom="1" header="0.3" footer="0.3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C62A6-9B3D-4145-BA8C-6A18ADB4ECAB}">
  <dimension ref="A1:Z47"/>
  <sheetViews>
    <sheetView zoomScaleNormal="100" workbookViewId="0">
      <selection activeCell="C13" sqref="C13"/>
    </sheetView>
  </sheetViews>
  <sheetFormatPr defaultColWidth="11.5546875" defaultRowHeight="13.2" x14ac:dyDescent="0.25"/>
  <cols>
    <col min="1" max="1" width="18.44140625" style="4" customWidth="1"/>
    <col min="2" max="2" width="24.33203125" style="3" customWidth="1"/>
    <col min="3" max="3" width="22.109375" style="3" bestFit="1" customWidth="1"/>
    <col min="4" max="5" width="16.5546875" style="3" bestFit="1" customWidth="1"/>
    <col min="6" max="6" width="21.33203125" style="3" customWidth="1"/>
    <col min="7" max="7" width="18.88671875" style="3" customWidth="1"/>
    <col min="8" max="8" width="24.5546875" style="3" customWidth="1"/>
    <col min="9" max="9" width="19.44140625" style="3" customWidth="1"/>
    <col min="10" max="13" width="16.5546875" style="3" bestFit="1" customWidth="1"/>
    <col min="14" max="14" width="22" style="3" customWidth="1"/>
    <col min="15" max="256" width="11.44140625" style="3"/>
    <col min="257" max="257" width="18.44140625" style="3" customWidth="1"/>
    <col min="258" max="258" width="17.5546875" style="3" bestFit="1" customWidth="1"/>
    <col min="259" max="259" width="22.109375" style="3" bestFit="1" customWidth="1"/>
    <col min="260" max="270" width="16.5546875" style="3" bestFit="1" customWidth="1"/>
    <col min="271" max="512" width="11.44140625" style="3"/>
    <col min="513" max="513" width="18.44140625" style="3" customWidth="1"/>
    <col min="514" max="514" width="17.5546875" style="3" bestFit="1" customWidth="1"/>
    <col min="515" max="515" width="22.109375" style="3" bestFit="1" customWidth="1"/>
    <col min="516" max="526" width="16.5546875" style="3" bestFit="1" customWidth="1"/>
    <col min="527" max="768" width="11.44140625" style="3"/>
    <col min="769" max="769" width="18.44140625" style="3" customWidth="1"/>
    <col min="770" max="770" width="17.5546875" style="3" bestFit="1" customWidth="1"/>
    <col min="771" max="771" width="22.109375" style="3" bestFit="1" customWidth="1"/>
    <col min="772" max="782" width="16.5546875" style="3" bestFit="1" customWidth="1"/>
    <col min="783" max="1024" width="11.44140625" style="3"/>
    <col min="1025" max="1025" width="18.44140625" style="3" customWidth="1"/>
    <col min="1026" max="1026" width="17.5546875" style="3" bestFit="1" customWidth="1"/>
    <col min="1027" max="1027" width="22.109375" style="3" bestFit="1" customWidth="1"/>
    <col min="1028" max="1038" width="16.5546875" style="3" bestFit="1" customWidth="1"/>
    <col min="1039" max="1280" width="11.44140625" style="3"/>
    <col min="1281" max="1281" width="18.44140625" style="3" customWidth="1"/>
    <col min="1282" max="1282" width="17.5546875" style="3" bestFit="1" customWidth="1"/>
    <col min="1283" max="1283" width="22.109375" style="3" bestFit="1" customWidth="1"/>
    <col min="1284" max="1294" width="16.5546875" style="3" bestFit="1" customWidth="1"/>
    <col min="1295" max="1536" width="11.44140625" style="3"/>
    <col min="1537" max="1537" width="18.44140625" style="3" customWidth="1"/>
    <col min="1538" max="1538" width="17.5546875" style="3" bestFit="1" customWidth="1"/>
    <col min="1539" max="1539" width="22.109375" style="3" bestFit="1" customWidth="1"/>
    <col min="1540" max="1550" width="16.5546875" style="3" bestFit="1" customWidth="1"/>
    <col min="1551" max="1792" width="11.44140625" style="3"/>
    <col min="1793" max="1793" width="18.44140625" style="3" customWidth="1"/>
    <col min="1794" max="1794" width="17.5546875" style="3" bestFit="1" customWidth="1"/>
    <col min="1795" max="1795" width="22.109375" style="3" bestFit="1" customWidth="1"/>
    <col min="1796" max="1806" width="16.5546875" style="3" bestFit="1" customWidth="1"/>
    <col min="1807" max="2048" width="11.44140625" style="3"/>
    <col min="2049" max="2049" width="18.44140625" style="3" customWidth="1"/>
    <col min="2050" max="2050" width="17.5546875" style="3" bestFit="1" customWidth="1"/>
    <col min="2051" max="2051" width="22.109375" style="3" bestFit="1" customWidth="1"/>
    <col min="2052" max="2062" width="16.5546875" style="3" bestFit="1" customWidth="1"/>
    <col min="2063" max="2304" width="11.44140625" style="3"/>
    <col min="2305" max="2305" width="18.44140625" style="3" customWidth="1"/>
    <col min="2306" max="2306" width="17.5546875" style="3" bestFit="1" customWidth="1"/>
    <col min="2307" max="2307" width="22.109375" style="3" bestFit="1" customWidth="1"/>
    <col min="2308" max="2318" width="16.5546875" style="3" bestFit="1" customWidth="1"/>
    <col min="2319" max="2560" width="11.44140625" style="3"/>
    <col min="2561" max="2561" width="18.44140625" style="3" customWidth="1"/>
    <col min="2562" max="2562" width="17.5546875" style="3" bestFit="1" customWidth="1"/>
    <col min="2563" max="2563" width="22.109375" style="3" bestFit="1" customWidth="1"/>
    <col min="2564" max="2574" width="16.5546875" style="3" bestFit="1" customWidth="1"/>
    <col min="2575" max="2816" width="11.44140625" style="3"/>
    <col min="2817" max="2817" width="18.44140625" style="3" customWidth="1"/>
    <col min="2818" max="2818" width="17.5546875" style="3" bestFit="1" customWidth="1"/>
    <col min="2819" max="2819" width="22.109375" style="3" bestFit="1" customWidth="1"/>
    <col min="2820" max="2830" width="16.5546875" style="3" bestFit="1" customWidth="1"/>
    <col min="2831" max="3072" width="11.44140625" style="3"/>
    <col min="3073" max="3073" width="18.44140625" style="3" customWidth="1"/>
    <col min="3074" max="3074" width="17.5546875" style="3" bestFit="1" customWidth="1"/>
    <col min="3075" max="3075" width="22.109375" style="3" bestFit="1" customWidth="1"/>
    <col min="3076" max="3086" width="16.5546875" style="3" bestFit="1" customWidth="1"/>
    <col min="3087" max="3328" width="11.44140625" style="3"/>
    <col min="3329" max="3329" width="18.44140625" style="3" customWidth="1"/>
    <col min="3330" max="3330" width="17.5546875" style="3" bestFit="1" customWidth="1"/>
    <col min="3331" max="3331" width="22.109375" style="3" bestFit="1" customWidth="1"/>
    <col min="3332" max="3342" width="16.5546875" style="3" bestFit="1" customWidth="1"/>
    <col min="3343" max="3584" width="11.44140625" style="3"/>
    <col min="3585" max="3585" width="18.44140625" style="3" customWidth="1"/>
    <col min="3586" max="3586" width="17.5546875" style="3" bestFit="1" customWidth="1"/>
    <col min="3587" max="3587" width="22.109375" style="3" bestFit="1" customWidth="1"/>
    <col min="3588" max="3598" width="16.5546875" style="3" bestFit="1" customWidth="1"/>
    <col min="3599" max="3840" width="11.44140625" style="3"/>
    <col min="3841" max="3841" width="18.44140625" style="3" customWidth="1"/>
    <col min="3842" max="3842" width="17.5546875" style="3" bestFit="1" customWidth="1"/>
    <col min="3843" max="3843" width="22.109375" style="3" bestFit="1" customWidth="1"/>
    <col min="3844" max="3854" width="16.5546875" style="3" bestFit="1" customWidth="1"/>
    <col min="3855" max="4096" width="11.44140625" style="3"/>
    <col min="4097" max="4097" width="18.44140625" style="3" customWidth="1"/>
    <col min="4098" max="4098" width="17.5546875" style="3" bestFit="1" customWidth="1"/>
    <col min="4099" max="4099" width="22.109375" style="3" bestFit="1" customWidth="1"/>
    <col min="4100" max="4110" width="16.5546875" style="3" bestFit="1" customWidth="1"/>
    <col min="4111" max="4352" width="11.44140625" style="3"/>
    <col min="4353" max="4353" width="18.44140625" style="3" customWidth="1"/>
    <col min="4354" max="4354" width="17.5546875" style="3" bestFit="1" customWidth="1"/>
    <col min="4355" max="4355" width="22.109375" style="3" bestFit="1" customWidth="1"/>
    <col min="4356" max="4366" width="16.5546875" style="3" bestFit="1" customWidth="1"/>
    <col min="4367" max="4608" width="11.44140625" style="3"/>
    <col min="4609" max="4609" width="18.44140625" style="3" customWidth="1"/>
    <col min="4610" max="4610" width="17.5546875" style="3" bestFit="1" customWidth="1"/>
    <col min="4611" max="4611" width="22.109375" style="3" bestFit="1" customWidth="1"/>
    <col min="4612" max="4622" width="16.5546875" style="3" bestFit="1" customWidth="1"/>
    <col min="4623" max="4864" width="11.44140625" style="3"/>
    <col min="4865" max="4865" width="18.44140625" style="3" customWidth="1"/>
    <col min="4866" max="4866" width="17.5546875" style="3" bestFit="1" customWidth="1"/>
    <col min="4867" max="4867" width="22.109375" style="3" bestFit="1" customWidth="1"/>
    <col min="4868" max="4878" width="16.5546875" style="3" bestFit="1" customWidth="1"/>
    <col min="4879" max="5120" width="11.44140625" style="3"/>
    <col min="5121" max="5121" width="18.44140625" style="3" customWidth="1"/>
    <col min="5122" max="5122" width="17.5546875" style="3" bestFit="1" customWidth="1"/>
    <col min="5123" max="5123" width="22.109375" style="3" bestFit="1" customWidth="1"/>
    <col min="5124" max="5134" width="16.5546875" style="3" bestFit="1" customWidth="1"/>
    <col min="5135" max="5376" width="11.44140625" style="3"/>
    <col min="5377" max="5377" width="18.44140625" style="3" customWidth="1"/>
    <col min="5378" max="5378" width="17.5546875" style="3" bestFit="1" customWidth="1"/>
    <col min="5379" max="5379" width="22.109375" style="3" bestFit="1" customWidth="1"/>
    <col min="5380" max="5390" width="16.5546875" style="3" bestFit="1" customWidth="1"/>
    <col min="5391" max="5632" width="11.44140625" style="3"/>
    <col min="5633" max="5633" width="18.44140625" style="3" customWidth="1"/>
    <col min="5634" max="5634" width="17.5546875" style="3" bestFit="1" customWidth="1"/>
    <col min="5635" max="5635" width="22.109375" style="3" bestFit="1" customWidth="1"/>
    <col min="5636" max="5646" width="16.5546875" style="3" bestFit="1" customWidth="1"/>
    <col min="5647" max="5888" width="11.44140625" style="3"/>
    <col min="5889" max="5889" width="18.44140625" style="3" customWidth="1"/>
    <col min="5890" max="5890" width="17.5546875" style="3" bestFit="1" customWidth="1"/>
    <col min="5891" max="5891" width="22.109375" style="3" bestFit="1" customWidth="1"/>
    <col min="5892" max="5902" width="16.5546875" style="3" bestFit="1" customWidth="1"/>
    <col min="5903" max="6144" width="11.44140625" style="3"/>
    <col min="6145" max="6145" width="18.44140625" style="3" customWidth="1"/>
    <col min="6146" max="6146" width="17.5546875" style="3" bestFit="1" customWidth="1"/>
    <col min="6147" max="6147" width="22.109375" style="3" bestFit="1" customWidth="1"/>
    <col min="6148" max="6158" width="16.5546875" style="3" bestFit="1" customWidth="1"/>
    <col min="6159" max="6400" width="11.44140625" style="3"/>
    <col min="6401" max="6401" width="18.44140625" style="3" customWidth="1"/>
    <col min="6402" max="6402" width="17.5546875" style="3" bestFit="1" customWidth="1"/>
    <col min="6403" max="6403" width="22.109375" style="3" bestFit="1" customWidth="1"/>
    <col min="6404" max="6414" width="16.5546875" style="3" bestFit="1" customWidth="1"/>
    <col min="6415" max="6656" width="11.44140625" style="3"/>
    <col min="6657" max="6657" width="18.44140625" style="3" customWidth="1"/>
    <col min="6658" max="6658" width="17.5546875" style="3" bestFit="1" customWidth="1"/>
    <col min="6659" max="6659" width="22.109375" style="3" bestFit="1" customWidth="1"/>
    <col min="6660" max="6670" width="16.5546875" style="3" bestFit="1" customWidth="1"/>
    <col min="6671" max="6912" width="11.44140625" style="3"/>
    <col min="6913" max="6913" width="18.44140625" style="3" customWidth="1"/>
    <col min="6914" max="6914" width="17.5546875" style="3" bestFit="1" customWidth="1"/>
    <col min="6915" max="6915" width="22.109375" style="3" bestFit="1" customWidth="1"/>
    <col min="6916" max="6926" width="16.5546875" style="3" bestFit="1" customWidth="1"/>
    <col min="6927" max="7168" width="11.44140625" style="3"/>
    <col min="7169" max="7169" width="18.44140625" style="3" customWidth="1"/>
    <col min="7170" max="7170" width="17.5546875" style="3" bestFit="1" customWidth="1"/>
    <col min="7171" max="7171" width="22.109375" style="3" bestFit="1" customWidth="1"/>
    <col min="7172" max="7182" width="16.5546875" style="3" bestFit="1" customWidth="1"/>
    <col min="7183" max="7424" width="11.44140625" style="3"/>
    <col min="7425" max="7425" width="18.44140625" style="3" customWidth="1"/>
    <col min="7426" max="7426" width="17.5546875" style="3" bestFit="1" customWidth="1"/>
    <col min="7427" max="7427" width="22.109375" style="3" bestFit="1" customWidth="1"/>
    <col min="7428" max="7438" width="16.5546875" style="3" bestFit="1" customWidth="1"/>
    <col min="7439" max="7680" width="11.44140625" style="3"/>
    <col min="7681" max="7681" width="18.44140625" style="3" customWidth="1"/>
    <col min="7682" max="7682" width="17.5546875" style="3" bestFit="1" customWidth="1"/>
    <col min="7683" max="7683" width="22.109375" style="3" bestFit="1" customWidth="1"/>
    <col min="7684" max="7694" width="16.5546875" style="3" bestFit="1" customWidth="1"/>
    <col min="7695" max="7936" width="11.44140625" style="3"/>
    <col min="7937" max="7937" width="18.44140625" style="3" customWidth="1"/>
    <col min="7938" max="7938" width="17.5546875" style="3" bestFit="1" customWidth="1"/>
    <col min="7939" max="7939" width="22.109375" style="3" bestFit="1" customWidth="1"/>
    <col min="7940" max="7950" width="16.5546875" style="3" bestFit="1" customWidth="1"/>
    <col min="7951" max="8192" width="11.44140625" style="3"/>
    <col min="8193" max="8193" width="18.44140625" style="3" customWidth="1"/>
    <col min="8194" max="8194" width="17.5546875" style="3" bestFit="1" customWidth="1"/>
    <col min="8195" max="8195" width="22.109375" style="3" bestFit="1" customWidth="1"/>
    <col min="8196" max="8206" width="16.5546875" style="3" bestFit="1" customWidth="1"/>
    <col min="8207" max="8448" width="11.44140625" style="3"/>
    <col min="8449" max="8449" width="18.44140625" style="3" customWidth="1"/>
    <col min="8450" max="8450" width="17.5546875" style="3" bestFit="1" customWidth="1"/>
    <col min="8451" max="8451" width="22.109375" style="3" bestFit="1" customWidth="1"/>
    <col min="8452" max="8462" width="16.5546875" style="3" bestFit="1" customWidth="1"/>
    <col min="8463" max="8704" width="11.44140625" style="3"/>
    <col min="8705" max="8705" width="18.44140625" style="3" customWidth="1"/>
    <col min="8706" max="8706" width="17.5546875" style="3" bestFit="1" customWidth="1"/>
    <col min="8707" max="8707" width="22.109375" style="3" bestFit="1" customWidth="1"/>
    <col min="8708" max="8718" width="16.5546875" style="3" bestFit="1" customWidth="1"/>
    <col min="8719" max="8960" width="11.44140625" style="3"/>
    <col min="8961" max="8961" width="18.44140625" style="3" customWidth="1"/>
    <col min="8962" max="8962" width="17.5546875" style="3" bestFit="1" customWidth="1"/>
    <col min="8963" max="8963" width="22.109375" style="3" bestFit="1" customWidth="1"/>
    <col min="8964" max="8974" width="16.5546875" style="3" bestFit="1" customWidth="1"/>
    <col min="8975" max="9216" width="11.44140625" style="3"/>
    <col min="9217" max="9217" width="18.44140625" style="3" customWidth="1"/>
    <col min="9218" max="9218" width="17.5546875" style="3" bestFit="1" customWidth="1"/>
    <col min="9219" max="9219" width="22.109375" style="3" bestFit="1" customWidth="1"/>
    <col min="9220" max="9230" width="16.5546875" style="3" bestFit="1" customWidth="1"/>
    <col min="9231" max="9472" width="11.44140625" style="3"/>
    <col min="9473" max="9473" width="18.44140625" style="3" customWidth="1"/>
    <col min="9474" max="9474" width="17.5546875" style="3" bestFit="1" customWidth="1"/>
    <col min="9475" max="9475" width="22.109375" style="3" bestFit="1" customWidth="1"/>
    <col min="9476" max="9486" width="16.5546875" style="3" bestFit="1" customWidth="1"/>
    <col min="9487" max="9728" width="11.44140625" style="3"/>
    <col min="9729" max="9729" width="18.44140625" style="3" customWidth="1"/>
    <col min="9730" max="9730" width="17.5546875" style="3" bestFit="1" customWidth="1"/>
    <col min="9731" max="9731" width="22.109375" style="3" bestFit="1" customWidth="1"/>
    <col min="9732" max="9742" width="16.5546875" style="3" bestFit="1" customWidth="1"/>
    <col min="9743" max="9984" width="11.44140625" style="3"/>
    <col min="9985" max="9985" width="18.44140625" style="3" customWidth="1"/>
    <col min="9986" max="9986" width="17.5546875" style="3" bestFit="1" customWidth="1"/>
    <col min="9987" max="9987" width="22.109375" style="3" bestFit="1" customWidth="1"/>
    <col min="9988" max="9998" width="16.5546875" style="3" bestFit="1" customWidth="1"/>
    <col min="9999" max="10240" width="11.44140625" style="3"/>
    <col min="10241" max="10241" width="18.44140625" style="3" customWidth="1"/>
    <col min="10242" max="10242" width="17.5546875" style="3" bestFit="1" customWidth="1"/>
    <col min="10243" max="10243" width="22.109375" style="3" bestFit="1" customWidth="1"/>
    <col min="10244" max="10254" width="16.5546875" style="3" bestFit="1" customWidth="1"/>
    <col min="10255" max="10496" width="11.44140625" style="3"/>
    <col min="10497" max="10497" width="18.44140625" style="3" customWidth="1"/>
    <col min="10498" max="10498" width="17.5546875" style="3" bestFit="1" customWidth="1"/>
    <col min="10499" max="10499" width="22.109375" style="3" bestFit="1" customWidth="1"/>
    <col min="10500" max="10510" width="16.5546875" style="3" bestFit="1" customWidth="1"/>
    <col min="10511" max="10752" width="11.44140625" style="3"/>
    <col min="10753" max="10753" width="18.44140625" style="3" customWidth="1"/>
    <col min="10754" max="10754" width="17.5546875" style="3" bestFit="1" customWidth="1"/>
    <col min="10755" max="10755" width="22.109375" style="3" bestFit="1" customWidth="1"/>
    <col min="10756" max="10766" width="16.5546875" style="3" bestFit="1" customWidth="1"/>
    <col min="10767" max="11008" width="11.44140625" style="3"/>
    <col min="11009" max="11009" width="18.44140625" style="3" customWidth="1"/>
    <col min="11010" max="11010" width="17.5546875" style="3" bestFit="1" customWidth="1"/>
    <col min="11011" max="11011" width="22.109375" style="3" bestFit="1" customWidth="1"/>
    <col min="11012" max="11022" width="16.5546875" style="3" bestFit="1" customWidth="1"/>
    <col min="11023" max="11264" width="11.44140625" style="3"/>
    <col min="11265" max="11265" width="18.44140625" style="3" customWidth="1"/>
    <col min="11266" max="11266" width="17.5546875" style="3" bestFit="1" customWidth="1"/>
    <col min="11267" max="11267" width="22.109375" style="3" bestFit="1" customWidth="1"/>
    <col min="11268" max="11278" width="16.5546875" style="3" bestFit="1" customWidth="1"/>
    <col min="11279" max="11520" width="11.44140625" style="3"/>
    <col min="11521" max="11521" width="18.44140625" style="3" customWidth="1"/>
    <col min="11522" max="11522" width="17.5546875" style="3" bestFit="1" customWidth="1"/>
    <col min="11523" max="11523" width="22.109375" style="3" bestFit="1" customWidth="1"/>
    <col min="11524" max="11534" width="16.5546875" style="3" bestFit="1" customWidth="1"/>
    <col min="11535" max="11776" width="11.44140625" style="3"/>
    <col min="11777" max="11777" width="18.44140625" style="3" customWidth="1"/>
    <col min="11778" max="11778" width="17.5546875" style="3" bestFit="1" customWidth="1"/>
    <col min="11779" max="11779" width="22.109375" style="3" bestFit="1" customWidth="1"/>
    <col min="11780" max="11790" width="16.5546875" style="3" bestFit="1" customWidth="1"/>
    <col min="11791" max="12032" width="11.44140625" style="3"/>
    <col min="12033" max="12033" width="18.44140625" style="3" customWidth="1"/>
    <col min="12034" max="12034" width="17.5546875" style="3" bestFit="1" customWidth="1"/>
    <col min="12035" max="12035" width="22.109375" style="3" bestFit="1" customWidth="1"/>
    <col min="12036" max="12046" width="16.5546875" style="3" bestFit="1" customWidth="1"/>
    <col min="12047" max="12288" width="11.44140625" style="3"/>
    <col min="12289" max="12289" width="18.44140625" style="3" customWidth="1"/>
    <col min="12290" max="12290" width="17.5546875" style="3" bestFit="1" customWidth="1"/>
    <col min="12291" max="12291" width="22.109375" style="3" bestFit="1" customWidth="1"/>
    <col min="12292" max="12302" width="16.5546875" style="3" bestFit="1" customWidth="1"/>
    <col min="12303" max="12544" width="11.44140625" style="3"/>
    <col min="12545" max="12545" width="18.44140625" style="3" customWidth="1"/>
    <col min="12546" max="12546" width="17.5546875" style="3" bestFit="1" customWidth="1"/>
    <col min="12547" max="12547" width="22.109375" style="3" bestFit="1" customWidth="1"/>
    <col min="12548" max="12558" width="16.5546875" style="3" bestFit="1" customWidth="1"/>
    <col min="12559" max="12800" width="11.44140625" style="3"/>
    <col min="12801" max="12801" width="18.44140625" style="3" customWidth="1"/>
    <col min="12802" max="12802" width="17.5546875" style="3" bestFit="1" customWidth="1"/>
    <col min="12803" max="12803" width="22.109375" style="3" bestFit="1" customWidth="1"/>
    <col min="12804" max="12814" width="16.5546875" style="3" bestFit="1" customWidth="1"/>
    <col min="12815" max="13056" width="11.44140625" style="3"/>
    <col min="13057" max="13057" width="18.44140625" style="3" customWidth="1"/>
    <col min="13058" max="13058" width="17.5546875" style="3" bestFit="1" customWidth="1"/>
    <col min="13059" max="13059" width="22.109375" style="3" bestFit="1" customWidth="1"/>
    <col min="13060" max="13070" width="16.5546875" style="3" bestFit="1" customWidth="1"/>
    <col min="13071" max="13312" width="11.44140625" style="3"/>
    <col min="13313" max="13313" width="18.44140625" style="3" customWidth="1"/>
    <col min="13314" max="13314" width="17.5546875" style="3" bestFit="1" customWidth="1"/>
    <col min="13315" max="13315" width="22.109375" style="3" bestFit="1" customWidth="1"/>
    <col min="13316" max="13326" width="16.5546875" style="3" bestFit="1" customWidth="1"/>
    <col min="13327" max="13568" width="11.44140625" style="3"/>
    <col min="13569" max="13569" width="18.44140625" style="3" customWidth="1"/>
    <col min="13570" max="13570" width="17.5546875" style="3" bestFit="1" customWidth="1"/>
    <col min="13571" max="13571" width="22.109375" style="3" bestFit="1" customWidth="1"/>
    <col min="13572" max="13582" width="16.5546875" style="3" bestFit="1" customWidth="1"/>
    <col min="13583" max="13824" width="11.44140625" style="3"/>
    <col min="13825" max="13825" width="18.44140625" style="3" customWidth="1"/>
    <col min="13826" max="13826" width="17.5546875" style="3" bestFit="1" customWidth="1"/>
    <col min="13827" max="13827" width="22.109375" style="3" bestFit="1" customWidth="1"/>
    <col min="13828" max="13838" width="16.5546875" style="3" bestFit="1" customWidth="1"/>
    <col min="13839" max="14080" width="11.44140625" style="3"/>
    <col min="14081" max="14081" width="18.44140625" style="3" customWidth="1"/>
    <col min="14082" max="14082" width="17.5546875" style="3" bestFit="1" customWidth="1"/>
    <col min="14083" max="14083" width="22.109375" style="3" bestFit="1" customWidth="1"/>
    <col min="14084" max="14094" width="16.5546875" style="3" bestFit="1" customWidth="1"/>
    <col min="14095" max="14336" width="11.44140625" style="3"/>
    <col min="14337" max="14337" width="18.44140625" style="3" customWidth="1"/>
    <col min="14338" max="14338" width="17.5546875" style="3" bestFit="1" customWidth="1"/>
    <col min="14339" max="14339" width="22.109375" style="3" bestFit="1" customWidth="1"/>
    <col min="14340" max="14350" width="16.5546875" style="3" bestFit="1" customWidth="1"/>
    <col min="14351" max="14592" width="11.44140625" style="3"/>
    <col min="14593" max="14593" width="18.44140625" style="3" customWidth="1"/>
    <col min="14594" max="14594" width="17.5546875" style="3" bestFit="1" customWidth="1"/>
    <col min="14595" max="14595" width="22.109375" style="3" bestFit="1" customWidth="1"/>
    <col min="14596" max="14606" width="16.5546875" style="3" bestFit="1" customWidth="1"/>
    <col min="14607" max="14848" width="11.44140625" style="3"/>
    <col min="14849" max="14849" width="18.44140625" style="3" customWidth="1"/>
    <col min="14850" max="14850" width="17.5546875" style="3" bestFit="1" customWidth="1"/>
    <col min="14851" max="14851" width="22.109375" style="3" bestFit="1" customWidth="1"/>
    <col min="14852" max="14862" width="16.5546875" style="3" bestFit="1" customWidth="1"/>
    <col min="14863" max="15104" width="11.44140625" style="3"/>
    <col min="15105" max="15105" width="18.44140625" style="3" customWidth="1"/>
    <col min="15106" max="15106" width="17.5546875" style="3" bestFit="1" customWidth="1"/>
    <col min="15107" max="15107" width="22.109375" style="3" bestFit="1" customWidth="1"/>
    <col min="15108" max="15118" width="16.5546875" style="3" bestFit="1" customWidth="1"/>
    <col min="15119" max="15360" width="11.44140625" style="3"/>
    <col min="15361" max="15361" width="18.44140625" style="3" customWidth="1"/>
    <col min="15362" max="15362" width="17.5546875" style="3" bestFit="1" customWidth="1"/>
    <col min="15363" max="15363" width="22.109375" style="3" bestFit="1" customWidth="1"/>
    <col min="15364" max="15374" width="16.5546875" style="3" bestFit="1" customWidth="1"/>
    <col min="15375" max="15616" width="11.44140625" style="3"/>
    <col min="15617" max="15617" width="18.44140625" style="3" customWidth="1"/>
    <col min="15618" max="15618" width="17.5546875" style="3" bestFit="1" customWidth="1"/>
    <col min="15619" max="15619" width="22.109375" style="3" bestFit="1" customWidth="1"/>
    <col min="15620" max="15630" width="16.5546875" style="3" bestFit="1" customWidth="1"/>
    <col min="15631" max="15872" width="11.44140625" style="3"/>
    <col min="15873" max="15873" width="18.44140625" style="3" customWidth="1"/>
    <col min="15874" max="15874" width="17.5546875" style="3" bestFit="1" customWidth="1"/>
    <col min="15875" max="15875" width="22.109375" style="3" bestFit="1" customWidth="1"/>
    <col min="15876" max="15886" width="16.5546875" style="3" bestFit="1" customWidth="1"/>
    <col min="15887" max="16128" width="11.44140625" style="3"/>
    <col min="16129" max="16129" width="18.44140625" style="3" customWidth="1"/>
    <col min="16130" max="16130" width="17.5546875" style="3" bestFit="1" customWidth="1"/>
    <col min="16131" max="16131" width="22.109375" style="3" bestFit="1" customWidth="1"/>
    <col min="16132" max="16142" width="16.5546875" style="3" bestFit="1" customWidth="1"/>
    <col min="16143" max="16384" width="11.44140625" style="3"/>
  </cols>
  <sheetData>
    <row r="1" spans="1:26" ht="39.6" x14ac:dyDescent="0.25">
      <c r="A1" s="1" t="s">
        <v>0</v>
      </c>
      <c r="B1" s="35">
        <v>245.46668052185618</v>
      </c>
      <c r="D1" s="37" t="s">
        <v>42</v>
      </c>
    </row>
    <row r="2" spans="1:26" ht="39.6" x14ac:dyDescent="0.25">
      <c r="A2" s="1" t="s">
        <v>1</v>
      </c>
      <c r="B2" s="35">
        <v>4</v>
      </c>
    </row>
    <row r="3" spans="1:26" ht="26.4" x14ac:dyDescent="0.25">
      <c r="A3" s="1" t="s">
        <v>2</v>
      </c>
      <c r="B3" s="35">
        <v>5</v>
      </c>
    </row>
    <row r="4" spans="1:26" x14ac:dyDescent="0.25">
      <c r="B4" s="5"/>
    </row>
    <row r="5" spans="1:26" s="7" customFormat="1" x14ac:dyDescent="0.25">
      <c r="A5" s="6"/>
      <c r="B5" s="7" t="s">
        <v>3</v>
      </c>
      <c r="C5" s="7" t="s">
        <v>3</v>
      </c>
      <c r="D5" s="7" t="s">
        <v>3</v>
      </c>
      <c r="E5" s="7" t="s">
        <v>3</v>
      </c>
      <c r="F5" s="7" t="s">
        <v>3</v>
      </c>
      <c r="G5" s="7" t="s">
        <v>3</v>
      </c>
      <c r="H5" s="7" t="s">
        <v>3</v>
      </c>
      <c r="I5" s="7" t="s">
        <v>3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 t="s">
        <v>3</v>
      </c>
      <c r="P5" s="7" t="s">
        <v>3</v>
      </c>
      <c r="Q5" s="7" t="s">
        <v>3</v>
      </c>
      <c r="R5" s="7" t="s">
        <v>3</v>
      </c>
      <c r="S5" s="7" t="s">
        <v>3</v>
      </c>
      <c r="T5" s="7" t="s">
        <v>3</v>
      </c>
      <c r="U5" s="7" t="s">
        <v>3</v>
      </c>
      <c r="V5" s="7" t="s">
        <v>3</v>
      </c>
      <c r="W5" s="7" t="s">
        <v>3</v>
      </c>
      <c r="X5" s="7" t="s">
        <v>3</v>
      </c>
      <c r="Y5" s="7" t="s">
        <v>3</v>
      </c>
      <c r="Z5" s="7" t="s">
        <v>3</v>
      </c>
    </row>
    <row r="6" spans="1:26" s="7" customFormat="1" x14ac:dyDescent="0.25">
      <c r="A6" s="6"/>
      <c r="B6" s="7">
        <v>0</v>
      </c>
      <c r="C6" s="7">
        <v>1</v>
      </c>
      <c r="D6" s="7">
        <v>2</v>
      </c>
      <c r="E6" s="7">
        <v>3</v>
      </c>
      <c r="F6" s="7">
        <v>4</v>
      </c>
      <c r="G6" s="7">
        <v>5</v>
      </c>
      <c r="H6" s="7">
        <v>6</v>
      </c>
      <c r="I6" s="7">
        <v>7</v>
      </c>
      <c r="J6" s="7">
        <v>8</v>
      </c>
      <c r="K6" s="7">
        <v>9</v>
      </c>
      <c r="L6" s="7">
        <v>10</v>
      </c>
      <c r="M6" s="7">
        <v>11</v>
      </c>
      <c r="N6" s="7">
        <v>12</v>
      </c>
      <c r="O6" s="7">
        <v>13</v>
      </c>
      <c r="P6" s="7">
        <v>14</v>
      </c>
      <c r="Q6" s="7">
        <v>15</v>
      </c>
      <c r="R6" s="7">
        <v>16</v>
      </c>
      <c r="S6" s="7">
        <v>17</v>
      </c>
      <c r="T6" s="7">
        <v>18</v>
      </c>
      <c r="U6" s="7">
        <v>19</v>
      </c>
      <c r="V6" s="7">
        <v>20</v>
      </c>
      <c r="W6" s="7">
        <v>21</v>
      </c>
      <c r="X6" s="7">
        <v>22</v>
      </c>
      <c r="Y6" s="7">
        <v>23</v>
      </c>
      <c r="Z6" s="7">
        <v>24</v>
      </c>
    </row>
    <row r="7" spans="1:26" x14ac:dyDescent="0.25">
      <c r="A7" s="17" t="s">
        <v>4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26" ht="26.4" x14ac:dyDescent="0.25">
      <c r="A8" s="19" t="s">
        <v>5</v>
      </c>
      <c r="B8" s="18"/>
      <c r="C8" s="18">
        <f>$B$1*1000000</f>
        <v>245466680.52185619</v>
      </c>
      <c r="D8" s="18">
        <f>$B$1*1000000</f>
        <v>245466680.52185619</v>
      </c>
      <c r="E8" s="18">
        <f t="shared" ref="E8:N8" si="0">$B$1*1000000</f>
        <v>245466680.52185619</v>
      </c>
      <c r="F8" s="18">
        <f t="shared" si="0"/>
        <v>245466680.52185619</v>
      </c>
      <c r="G8" s="18">
        <f t="shared" si="0"/>
        <v>245466680.52185619</v>
      </c>
      <c r="H8" s="18">
        <f t="shared" si="0"/>
        <v>245466680.52185619</v>
      </c>
      <c r="I8" s="18">
        <f t="shared" si="0"/>
        <v>245466680.52185619</v>
      </c>
      <c r="J8" s="18">
        <f t="shared" si="0"/>
        <v>245466680.52185619</v>
      </c>
      <c r="K8" s="18">
        <f t="shared" si="0"/>
        <v>245466680.52185619</v>
      </c>
      <c r="L8" s="18">
        <f t="shared" si="0"/>
        <v>245466680.52185619</v>
      </c>
      <c r="M8" s="18">
        <f t="shared" si="0"/>
        <v>245466680.52185619</v>
      </c>
      <c r="N8" s="18">
        <f t="shared" si="0"/>
        <v>245466680.52185619</v>
      </c>
    </row>
    <row r="9" spans="1:26" x14ac:dyDescent="0.25">
      <c r="A9" s="19" t="s">
        <v>6</v>
      </c>
      <c r="B9" s="18"/>
      <c r="C9" s="18">
        <f t="shared" ref="C9:N9" si="1">SUM(C8:C8)</f>
        <v>245466680.52185619</v>
      </c>
      <c r="D9" s="18">
        <f t="shared" si="1"/>
        <v>245466680.52185619</v>
      </c>
      <c r="E9" s="18">
        <f t="shared" si="1"/>
        <v>245466680.52185619</v>
      </c>
      <c r="F9" s="18">
        <f t="shared" si="1"/>
        <v>245466680.52185619</v>
      </c>
      <c r="G9" s="18">
        <f t="shared" si="1"/>
        <v>245466680.52185619</v>
      </c>
      <c r="H9" s="18">
        <f t="shared" si="1"/>
        <v>245466680.52185619</v>
      </c>
      <c r="I9" s="18">
        <f t="shared" si="1"/>
        <v>245466680.52185619</v>
      </c>
      <c r="J9" s="18">
        <f t="shared" si="1"/>
        <v>245466680.52185619</v>
      </c>
      <c r="K9" s="18">
        <f t="shared" si="1"/>
        <v>245466680.52185619</v>
      </c>
      <c r="L9" s="18">
        <f t="shared" si="1"/>
        <v>245466680.52185619</v>
      </c>
      <c r="M9" s="18">
        <f t="shared" si="1"/>
        <v>245466680.52185619</v>
      </c>
      <c r="N9" s="18">
        <f t="shared" si="1"/>
        <v>245466680.52185619</v>
      </c>
    </row>
    <row r="10" spans="1:26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6" x14ac:dyDescent="0.25">
      <c r="A11" s="20" t="s">
        <v>7</v>
      </c>
      <c r="B11" s="21" t="s">
        <v>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26" x14ac:dyDescent="0.25">
      <c r="A12" s="22" t="s">
        <v>9</v>
      </c>
      <c r="B12" s="21">
        <v>1000000000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26" ht="39.6" x14ac:dyDescent="0.25">
      <c r="A13" s="22" t="s">
        <v>10</v>
      </c>
      <c r="B13" s="21"/>
      <c r="C13" s="21">
        <f>$B$3*1000000</f>
        <v>5000000</v>
      </c>
      <c r="D13" s="21">
        <f t="shared" ref="D13:N13" si="2">$B$3*1000000</f>
        <v>5000000</v>
      </c>
      <c r="E13" s="21">
        <f t="shared" si="2"/>
        <v>5000000</v>
      </c>
      <c r="F13" s="21">
        <f t="shared" si="2"/>
        <v>5000000</v>
      </c>
      <c r="G13" s="21">
        <f t="shared" si="2"/>
        <v>5000000</v>
      </c>
      <c r="H13" s="21">
        <f t="shared" si="2"/>
        <v>5000000</v>
      </c>
      <c r="I13" s="21">
        <f t="shared" si="2"/>
        <v>5000000</v>
      </c>
      <c r="J13" s="21">
        <f t="shared" si="2"/>
        <v>5000000</v>
      </c>
      <c r="K13" s="21">
        <f t="shared" si="2"/>
        <v>5000000</v>
      </c>
      <c r="L13" s="21">
        <f t="shared" si="2"/>
        <v>5000000</v>
      </c>
      <c r="M13" s="21">
        <f t="shared" si="2"/>
        <v>5000000</v>
      </c>
      <c r="N13" s="21">
        <f t="shared" si="2"/>
        <v>5000000</v>
      </c>
    </row>
    <row r="14" spans="1:26" ht="26.4" x14ac:dyDescent="0.25">
      <c r="A14" s="22" t="s">
        <v>40</v>
      </c>
      <c r="B14" s="21"/>
      <c r="C14" s="21">
        <f>($B$2*1000000*1.6)*5</f>
        <v>32000000</v>
      </c>
      <c r="D14" s="21">
        <f t="shared" ref="D14:N14" si="3">($B$2*1000000*1.6)*5</f>
        <v>32000000</v>
      </c>
      <c r="E14" s="21">
        <f t="shared" si="3"/>
        <v>32000000</v>
      </c>
      <c r="F14" s="21">
        <f t="shared" si="3"/>
        <v>32000000</v>
      </c>
      <c r="G14" s="21">
        <f t="shared" si="3"/>
        <v>32000000</v>
      </c>
      <c r="H14" s="21">
        <f t="shared" si="3"/>
        <v>32000000</v>
      </c>
      <c r="I14" s="21">
        <f t="shared" si="3"/>
        <v>32000000</v>
      </c>
      <c r="J14" s="21">
        <f t="shared" si="3"/>
        <v>32000000</v>
      </c>
      <c r="K14" s="21">
        <f t="shared" si="3"/>
        <v>32000000</v>
      </c>
      <c r="L14" s="21">
        <f t="shared" si="3"/>
        <v>32000000</v>
      </c>
      <c r="M14" s="21">
        <f t="shared" si="3"/>
        <v>32000000</v>
      </c>
      <c r="N14" s="21">
        <f t="shared" si="3"/>
        <v>32000000</v>
      </c>
    </row>
    <row r="15" spans="1:26" x14ac:dyDescent="0.25">
      <c r="A15" s="22" t="s">
        <v>11</v>
      </c>
      <c r="B15" s="21">
        <f t="shared" ref="B15:N15" si="4">SUM(B12:B14)</f>
        <v>1000000000</v>
      </c>
      <c r="C15" s="21">
        <f t="shared" si="4"/>
        <v>37000000</v>
      </c>
      <c r="D15" s="21">
        <f t="shared" si="4"/>
        <v>37000000</v>
      </c>
      <c r="E15" s="21">
        <f t="shared" si="4"/>
        <v>37000000</v>
      </c>
      <c r="F15" s="21">
        <f t="shared" si="4"/>
        <v>37000000</v>
      </c>
      <c r="G15" s="21">
        <f t="shared" si="4"/>
        <v>37000000</v>
      </c>
      <c r="H15" s="21">
        <f t="shared" si="4"/>
        <v>37000000</v>
      </c>
      <c r="I15" s="21">
        <f t="shared" si="4"/>
        <v>37000000</v>
      </c>
      <c r="J15" s="21">
        <f t="shared" si="4"/>
        <v>37000000</v>
      </c>
      <c r="K15" s="21">
        <f t="shared" si="4"/>
        <v>37000000</v>
      </c>
      <c r="L15" s="21">
        <f t="shared" si="4"/>
        <v>37000000</v>
      </c>
      <c r="M15" s="21">
        <f t="shared" si="4"/>
        <v>37000000</v>
      </c>
      <c r="N15" s="21">
        <f t="shared" si="4"/>
        <v>37000000</v>
      </c>
    </row>
    <row r="16" spans="1:26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s="15" customFormat="1" ht="26.4" x14ac:dyDescent="0.25">
      <c r="A17" s="14" t="s">
        <v>12</v>
      </c>
      <c r="B17" s="13">
        <f>B9-B15</f>
        <v>-1000000000</v>
      </c>
      <c r="C17" s="13">
        <f>C9-C15</f>
        <v>208466680.52185619</v>
      </c>
      <c r="D17" s="13">
        <f t="shared" ref="D17:N17" si="5">D9-D15</f>
        <v>208466680.52185619</v>
      </c>
      <c r="E17" s="13">
        <f t="shared" si="5"/>
        <v>208466680.52185619</v>
      </c>
      <c r="F17" s="13">
        <f t="shared" si="5"/>
        <v>208466680.52185619</v>
      </c>
      <c r="G17" s="13">
        <f t="shared" si="5"/>
        <v>208466680.52185619</v>
      </c>
      <c r="H17" s="13">
        <f t="shared" si="5"/>
        <v>208466680.52185619</v>
      </c>
      <c r="I17" s="13">
        <f t="shared" si="5"/>
        <v>208466680.52185619</v>
      </c>
      <c r="J17" s="13">
        <f t="shared" si="5"/>
        <v>208466680.52185619</v>
      </c>
      <c r="K17" s="13">
        <f t="shared" si="5"/>
        <v>208466680.52185619</v>
      </c>
      <c r="L17" s="13">
        <f t="shared" si="5"/>
        <v>208466680.52185619</v>
      </c>
      <c r="M17" s="13">
        <f t="shared" si="5"/>
        <v>208466680.52185619</v>
      </c>
      <c r="N17" s="13">
        <f t="shared" si="5"/>
        <v>208466680.52185619</v>
      </c>
    </row>
    <row r="18" spans="1:14" x14ac:dyDescent="0.25">
      <c r="A18" s="4" t="s">
        <v>13</v>
      </c>
      <c r="B18" s="13"/>
      <c r="C18" s="5">
        <v>90000000</v>
      </c>
      <c r="D18" s="5">
        <v>90000000</v>
      </c>
      <c r="E18" s="5">
        <v>90000000</v>
      </c>
      <c r="F18" s="5">
        <v>90000000</v>
      </c>
      <c r="G18" s="5">
        <v>90000000</v>
      </c>
      <c r="H18" s="5">
        <v>90000000</v>
      </c>
      <c r="I18" s="5">
        <v>90000000</v>
      </c>
      <c r="J18" s="5">
        <v>90000000</v>
      </c>
      <c r="K18" s="5">
        <v>90000000</v>
      </c>
      <c r="L18" s="5">
        <v>90000000</v>
      </c>
      <c r="M18" s="5">
        <v>90000000</v>
      </c>
      <c r="N18" s="5">
        <v>90000000</v>
      </c>
    </row>
    <row r="19" spans="1:14" ht="26.4" x14ac:dyDescent="0.25">
      <c r="A19" s="23" t="s">
        <v>14</v>
      </c>
      <c r="B19" s="24">
        <f>B17-B18</f>
        <v>-1000000000</v>
      </c>
      <c r="C19" s="24">
        <f t="shared" ref="C19:N19" si="6">C17-C18</f>
        <v>118466680.52185619</v>
      </c>
      <c r="D19" s="24">
        <f t="shared" si="6"/>
        <v>118466680.52185619</v>
      </c>
      <c r="E19" s="24">
        <f t="shared" si="6"/>
        <v>118466680.52185619</v>
      </c>
      <c r="F19" s="24">
        <f t="shared" si="6"/>
        <v>118466680.52185619</v>
      </c>
      <c r="G19" s="24">
        <f t="shared" si="6"/>
        <v>118466680.52185619</v>
      </c>
      <c r="H19" s="24">
        <f t="shared" si="6"/>
        <v>118466680.52185619</v>
      </c>
      <c r="I19" s="24">
        <f t="shared" si="6"/>
        <v>118466680.52185619</v>
      </c>
      <c r="J19" s="24">
        <f t="shared" si="6"/>
        <v>118466680.52185619</v>
      </c>
      <c r="K19" s="24">
        <f t="shared" si="6"/>
        <v>118466680.52185619</v>
      </c>
      <c r="L19" s="24">
        <f t="shared" si="6"/>
        <v>118466680.52185619</v>
      </c>
      <c r="M19" s="24">
        <f t="shared" si="6"/>
        <v>118466680.52185619</v>
      </c>
      <c r="N19" s="24">
        <f t="shared" si="6"/>
        <v>118466680.52185619</v>
      </c>
    </row>
    <row r="22" spans="1:14" ht="52.8" x14ac:dyDescent="0.25">
      <c r="A22" s="33" t="s">
        <v>15</v>
      </c>
      <c r="B22" s="34">
        <v>0.05</v>
      </c>
    </row>
    <row r="24" spans="1:14" x14ac:dyDescent="0.25">
      <c r="A24" s="25" t="s">
        <v>16</v>
      </c>
      <c r="B24" s="26"/>
    </row>
    <row r="25" spans="1:14" x14ac:dyDescent="0.25">
      <c r="A25" s="27" t="s">
        <v>17</v>
      </c>
      <c r="B25" s="28">
        <f>NPV(B22,C19:N19)</f>
        <v>1050000000</v>
      </c>
    </row>
    <row r="26" spans="1:14" x14ac:dyDescent="0.25">
      <c r="A26" s="27" t="s">
        <v>9</v>
      </c>
      <c r="B26" s="28">
        <f>$B$12</f>
        <v>1000000000</v>
      </c>
    </row>
    <row r="27" spans="1:14" x14ac:dyDescent="0.25">
      <c r="A27" s="30" t="s">
        <v>18</v>
      </c>
      <c r="B27" s="31">
        <f>B25-B26</f>
        <v>50000000</v>
      </c>
    </row>
    <row r="28" spans="1:14" x14ac:dyDescent="0.25">
      <c r="A28" s="30" t="s">
        <v>19</v>
      </c>
      <c r="B28" s="32">
        <f>IRR(B19:N19)</f>
        <v>5.8758728590400988E-2</v>
      </c>
    </row>
    <row r="31" spans="1:14" x14ac:dyDescent="0.25">
      <c r="C31" s="7" t="s">
        <v>3</v>
      </c>
      <c r="D31" s="7" t="s">
        <v>3</v>
      </c>
      <c r="E31" s="7" t="s">
        <v>3</v>
      </c>
      <c r="F31" s="7" t="s">
        <v>3</v>
      </c>
      <c r="G31" s="7" t="s">
        <v>3</v>
      </c>
      <c r="H31" s="7" t="s">
        <v>3</v>
      </c>
      <c r="I31" s="7" t="s">
        <v>3</v>
      </c>
      <c r="J31" s="7" t="s">
        <v>3</v>
      </c>
      <c r="K31" s="7" t="s">
        <v>3</v>
      </c>
      <c r="L31" s="7" t="s">
        <v>3</v>
      </c>
      <c r="M31" s="7" t="s">
        <v>3</v>
      </c>
      <c r="N31" s="7" t="s">
        <v>3</v>
      </c>
    </row>
    <row r="32" spans="1:14" x14ac:dyDescent="0.25">
      <c r="C32" s="7">
        <v>1</v>
      </c>
      <c r="D32" s="7">
        <v>2</v>
      </c>
      <c r="E32" s="7">
        <v>3</v>
      </c>
      <c r="F32" s="7">
        <v>4</v>
      </c>
      <c r="G32" s="7">
        <v>5</v>
      </c>
      <c r="H32" s="7">
        <v>6</v>
      </c>
      <c r="I32" s="7">
        <v>7</v>
      </c>
      <c r="J32" s="7">
        <v>8</v>
      </c>
      <c r="K32" s="7">
        <v>9</v>
      </c>
      <c r="L32" s="7">
        <v>10</v>
      </c>
      <c r="M32" s="7">
        <v>11</v>
      </c>
      <c r="N32" s="7">
        <v>12</v>
      </c>
    </row>
    <row r="33" spans="1:14" x14ac:dyDescent="0.25">
      <c r="A33" s="8" t="s">
        <v>20</v>
      </c>
      <c r="C33" s="5">
        <f>C19/POWER(1+$B$22,C32)</f>
        <v>112825410.02081542</v>
      </c>
      <c r="D33" s="5">
        <f>D19/POWER(1+$B$22,D32)</f>
        <v>107452771.44839564</v>
      </c>
      <c r="E33" s="5">
        <f t="shared" ref="E33:N33" si="7">E19/POWER(1+$B$22,E32)</f>
        <v>102335972.80799583</v>
      </c>
      <c r="F33" s="5">
        <f t="shared" si="7"/>
        <v>97462831.245710328</v>
      </c>
      <c r="G33" s="5">
        <f t="shared" si="7"/>
        <v>92821744.043533638</v>
      </c>
      <c r="H33" s="5">
        <f t="shared" si="7"/>
        <v>88401660.993841574</v>
      </c>
      <c r="I33" s="5">
        <f t="shared" si="7"/>
        <v>84192058.089372903</v>
      </c>
      <c r="J33" s="5">
        <f t="shared" si="7"/>
        <v>80182912.466069445</v>
      </c>
      <c r="K33" s="5">
        <f t="shared" si="7"/>
        <v>76364678.53911376</v>
      </c>
      <c r="L33" s="5">
        <f t="shared" si="7"/>
        <v>72728265.275346428</v>
      </c>
      <c r="M33" s="5">
        <f t="shared" si="7"/>
        <v>69265014.547948971</v>
      </c>
      <c r="N33" s="5">
        <f t="shared" si="7"/>
        <v>65966680.521856181</v>
      </c>
    </row>
    <row r="34" spans="1:14" ht="26.4" x14ac:dyDescent="0.25">
      <c r="A34" s="8" t="s">
        <v>21</v>
      </c>
      <c r="C34" s="36">
        <f>C33</f>
        <v>112825410.02081542</v>
      </c>
      <c r="D34" s="36">
        <f>C34+D33</f>
        <v>220278181.46921104</v>
      </c>
      <c r="E34" s="36">
        <f t="shared" ref="E34:N34" si="8">D34+E33</f>
        <v>322614154.2772069</v>
      </c>
      <c r="F34" s="36">
        <f t="shared" si="8"/>
        <v>420076985.52291721</v>
      </c>
      <c r="G34" s="36">
        <f t="shared" si="8"/>
        <v>512898729.56645083</v>
      </c>
      <c r="H34" s="36">
        <f t="shared" si="8"/>
        <v>601300390.56029236</v>
      </c>
      <c r="I34" s="36">
        <f t="shared" si="8"/>
        <v>685492448.64966524</v>
      </c>
      <c r="J34" s="36">
        <f t="shared" si="8"/>
        <v>765675361.1157347</v>
      </c>
      <c r="K34" s="36">
        <f t="shared" si="8"/>
        <v>842040039.65484846</v>
      </c>
      <c r="L34" s="36">
        <f t="shared" si="8"/>
        <v>914768304.93019485</v>
      </c>
      <c r="M34" s="36">
        <f t="shared" si="8"/>
        <v>984033319.47814381</v>
      </c>
      <c r="N34" s="36">
        <f t="shared" si="8"/>
        <v>1050000000</v>
      </c>
    </row>
    <row r="35" spans="1:14" x14ac:dyDescent="0.25">
      <c r="A35" s="16" t="s">
        <v>22</v>
      </c>
      <c r="B35" s="38">
        <v>12</v>
      </c>
    </row>
    <row r="39" spans="1:14" ht="39.6" x14ac:dyDescent="0.25">
      <c r="A39" s="9" t="s">
        <v>23</v>
      </c>
      <c r="B39" s="10"/>
    </row>
    <row r="40" spans="1:14" x14ac:dyDescent="0.25">
      <c r="A40" s="11"/>
      <c r="B40" s="10"/>
    </row>
    <row r="41" spans="1:14" x14ac:dyDescent="0.25">
      <c r="A41" s="11" t="s">
        <v>24</v>
      </c>
      <c r="B41" s="12">
        <f>SUM(C8:N8)</f>
        <v>2945600166.2622752</v>
      </c>
    </row>
    <row r="42" spans="1:14" x14ac:dyDescent="0.25">
      <c r="A42" s="11" t="s">
        <v>25</v>
      </c>
      <c r="B42" s="12">
        <f>SUM(C13:N14)</f>
        <v>444000000</v>
      </c>
    </row>
    <row r="43" spans="1:14" x14ac:dyDescent="0.25">
      <c r="A43" s="11" t="s">
        <v>26</v>
      </c>
      <c r="B43" s="12">
        <f>B41-B42</f>
        <v>2501600166.2622752</v>
      </c>
    </row>
    <row r="44" spans="1:14" ht="26.4" x14ac:dyDescent="0.25">
      <c r="A44" s="11" t="s">
        <v>27</v>
      </c>
      <c r="B44" s="12">
        <f>SUM(C18:N18)</f>
        <v>1080000000</v>
      </c>
    </row>
    <row r="45" spans="1:14" ht="26.4" x14ac:dyDescent="0.25">
      <c r="A45" s="11" t="s">
        <v>28</v>
      </c>
      <c r="B45" s="12">
        <f>B43-B44</f>
        <v>1421600166.2622752</v>
      </c>
    </row>
    <row r="46" spans="1:14" x14ac:dyDescent="0.25">
      <c r="A46" s="11" t="s">
        <v>29</v>
      </c>
      <c r="B46" s="12">
        <f>B45*0.19</f>
        <v>270104031.58983231</v>
      </c>
    </row>
    <row r="47" spans="1:14" ht="26.4" x14ac:dyDescent="0.25">
      <c r="A47" s="11" t="s">
        <v>30</v>
      </c>
      <c r="B47" s="12">
        <f>B45-B46</f>
        <v>1151496134.6724429</v>
      </c>
    </row>
  </sheetData>
  <pageMargins left="0.75" right="0.75" top="1" bottom="1" header="0.3" footer="0.3"/>
  <pageSetup orientation="portrait" verticalDpi="0" r:id="rId1"/>
  <headerFooter alignWithMargins="0"/>
  <ignoredErrors>
    <ignoredError sqref="B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4E06-930F-4524-B246-04747DB2E922}">
  <dimension ref="B4:P26"/>
  <sheetViews>
    <sheetView topLeftCell="A5" workbookViewId="0">
      <selection activeCell="F23" sqref="F23"/>
    </sheetView>
  </sheetViews>
  <sheetFormatPr defaultRowHeight="13.2" x14ac:dyDescent="0.25"/>
  <cols>
    <col min="2" max="2" width="20.44140625" customWidth="1"/>
    <col min="3" max="3" width="28.44140625" customWidth="1"/>
    <col min="4" max="4" width="18.5546875" customWidth="1"/>
    <col min="5" max="5" width="18.33203125" customWidth="1"/>
    <col min="6" max="6" width="18.109375" customWidth="1"/>
    <col min="7" max="16" width="19" customWidth="1"/>
  </cols>
  <sheetData>
    <row r="4" spans="2:16" x14ac:dyDescent="0.25">
      <c r="D4" t="s">
        <v>49</v>
      </c>
      <c r="E4" t="s">
        <v>50</v>
      </c>
      <c r="F4" t="s">
        <v>51</v>
      </c>
      <c r="G4" t="s">
        <v>52</v>
      </c>
      <c r="H4" t="s">
        <v>53</v>
      </c>
      <c r="I4" t="s">
        <v>54</v>
      </c>
      <c r="J4" t="s">
        <v>55</v>
      </c>
      <c r="K4" t="s">
        <v>56</v>
      </c>
      <c r="L4" t="s">
        <v>57</v>
      </c>
      <c r="M4" t="s">
        <v>58</v>
      </c>
      <c r="N4" t="s">
        <v>59</v>
      </c>
      <c r="O4" t="s">
        <v>60</v>
      </c>
      <c r="P4" t="s">
        <v>61</v>
      </c>
    </row>
    <row r="5" spans="2:16" x14ac:dyDescent="0.25">
      <c r="B5" s="40" t="s">
        <v>67</v>
      </c>
      <c r="C5" t="s">
        <v>62</v>
      </c>
      <c r="D5" s="42">
        <v>0</v>
      </c>
      <c r="E5" s="42">
        <f>'COSTOS PRY'!$G$31</f>
        <v>27032349.095999997</v>
      </c>
      <c r="F5" s="42">
        <f>'COSTOS PRY'!$G$31</f>
        <v>27032349.095999997</v>
      </c>
      <c r="G5" s="42">
        <f>'COSTOS PRY'!$G$31</f>
        <v>27032349.095999997</v>
      </c>
      <c r="H5" s="42">
        <f>'COSTOS PRY'!$G$31</f>
        <v>27032349.095999997</v>
      </c>
      <c r="I5" s="42">
        <f>'COSTOS PRY'!$G$31</f>
        <v>27032349.095999997</v>
      </c>
      <c r="J5" s="42">
        <f>'COSTOS PRY'!$G$31</f>
        <v>27032349.095999997</v>
      </c>
      <c r="K5" s="42">
        <f>'COSTOS PRY'!$G$31</f>
        <v>27032349.095999997</v>
      </c>
      <c r="L5" s="42">
        <f>'COSTOS PRY'!$G$31</f>
        <v>27032349.095999997</v>
      </c>
      <c r="M5" s="42">
        <f>'COSTOS PRY'!$G$31</f>
        <v>27032349.095999997</v>
      </c>
      <c r="N5" s="42">
        <f>'COSTOS PRY'!$G$31</f>
        <v>27032349.095999997</v>
      </c>
      <c r="O5" s="42">
        <f>'COSTOS PRY'!$G$31</f>
        <v>27032349.095999997</v>
      </c>
      <c r="P5" s="42">
        <f>'COSTOS PRY'!$G$31</f>
        <v>27032349.095999997</v>
      </c>
    </row>
    <row r="6" spans="2:16" x14ac:dyDescent="0.25">
      <c r="B6" s="40"/>
      <c r="C6" t="s">
        <v>63</v>
      </c>
      <c r="D6" s="42">
        <v>0</v>
      </c>
      <c r="E6" s="42">
        <f>'COSTOS PRY'!$D$33</f>
        <v>25668000</v>
      </c>
      <c r="F6" s="42">
        <f>'COSTOS PRY'!$D$33</f>
        <v>25668000</v>
      </c>
      <c r="G6" s="42">
        <f>'COSTOS PRY'!$D$33</f>
        <v>25668000</v>
      </c>
      <c r="H6" s="42">
        <f>'COSTOS PRY'!$D$33</f>
        <v>25668000</v>
      </c>
      <c r="I6" s="42">
        <f>'COSTOS PRY'!$D$33</f>
        <v>25668000</v>
      </c>
      <c r="J6" s="42">
        <f>'COSTOS PRY'!$D$33</f>
        <v>25668000</v>
      </c>
      <c r="K6" s="42">
        <f>'COSTOS PRY'!$D$33</f>
        <v>25668000</v>
      </c>
      <c r="L6" s="42">
        <f>'COSTOS PRY'!$D$33</f>
        <v>25668000</v>
      </c>
      <c r="M6" s="42">
        <f>'COSTOS PRY'!$D$33</f>
        <v>25668000</v>
      </c>
      <c r="N6" s="42">
        <f>'COSTOS PRY'!$D$33</f>
        <v>25668000</v>
      </c>
      <c r="O6" s="42">
        <f>'COSTOS PRY'!$D$33</f>
        <v>25668000</v>
      </c>
      <c r="P6" s="42">
        <f>'COSTOS PRY'!$D$33</f>
        <v>25668000</v>
      </c>
    </row>
    <row r="7" spans="2:16" x14ac:dyDescent="0.25">
      <c r="B7" s="40"/>
      <c r="C7" t="s">
        <v>64</v>
      </c>
      <c r="D7" s="42">
        <v>0</v>
      </c>
      <c r="E7" s="42">
        <v>3000000</v>
      </c>
      <c r="F7" s="42">
        <v>3000000</v>
      </c>
      <c r="G7" s="42">
        <v>3000000</v>
      </c>
      <c r="H7" s="42">
        <v>3000000</v>
      </c>
      <c r="I7" s="42">
        <v>3000000</v>
      </c>
      <c r="J7" s="42">
        <v>3000000</v>
      </c>
      <c r="K7" s="42">
        <v>3000000</v>
      </c>
      <c r="L7" s="42">
        <v>3000000</v>
      </c>
      <c r="M7" s="42">
        <v>3000000</v>
      </c>
      <c r="N7" s="42">
        <v>3000000</v>
      </c>
      <c r="O7" s="42">
        <v>3000000</v>
      </c>
      <c r="P7" s="42">
        <v>3000000</v>
      </c>
    </row>
    <row r="8" spans="2:16" x14ac:dyDescent="0.25">
      <c r="B8" s="40"/>
      <c r="C8" t="s">
        <v>65</v>
      </c>
      <c r="D8" s="42">
        <v>0</v>
      </c>
      <c r="E8" s="42">
        <f>Datos!$C$2*Datos!$C$4+Datos!$C$3*Datos!$C$5</f>
        <v>2346000000</v>
      </c>
      <c r="F8" s="42">
        <f>Datos!$C$2*Datos!$C$4+Datos!$C$3*Datos!$C$5</f>
        <v>2346000000</v>
      </c>
      <c r="G8" s="42">
        <f>Datos!$C$2*Datos!$C$4+Datos!$C$3*Datos!$C$5</f>
        <v>2346000000</v>
      </c>
      <c r="H8" s="42">
        <f>Datos!$C$2*Datos!$C$4+Datos!$C$3*Datos!$C$5</f>
        <v>2346000000</v>
      </c>
      <c r="I8" s="42">
        <f>Datos!$C$2*Datos!$C$4+Datos!$C$3*Datos!$C$5</f>
        <v>2346000000</v>
      </c>
      <c r="J8" s="42">
        <f>Datos!$C$2*Datos!$C$4+Datos!$C$3*Datos!$C$5</f>
        <v>2346000000</v>
      </c>
      <c r="K8" s="42">
        <f>Datos!$C$2*Datos!$C$4+Datos!$C$3*Datos!$C$5</f>
        <v>2346000000</v>
      </c>
      <c r="L8" s="42">
        <f>Datos!$C$2*Datos!$C$4+Datos!$C$3*Datos!$C$5</f>
        <v>2346000000</v>
      </c>
      <c r="M8" s="42">
        <f>Datos!$C$2*Datos!$C$4+Datos!$C$3*Datos!$C$5</f>
        <v>2346000000</v>
      </c>
      <c r="N8" s="42">
        <f>Datos!$C$2*Datos!$C$4+Datos!$C$3*Datos!$C$5</f>
        <v>2346000000</v>
      </c>
      <c r="O8" s="42">
        <f>Datos!$C$2*Datos!$C$4+Datos!$C$3*Datos!$C$5</f>
        <v>2346000000</v>
      </c>
      <c r="P8" s="42">
        <f>Datos!$C$2*Datos!$C$4+Datos!$C$3*Datos!$C$5</f>
        <v>2346000000</v>
      </c>
    </row>
    <row r="9" spans="2:16" x14ac:dyDescent="0.25">
      <c r="B9" s="40"/>
      <c r="C9" t="s">
        <v>94</v>
      </c>
      <c r="D9" s="42">
        <v>0</v>
      </c>
      <c r="E9" s="42">
        <f>Cotizaciónes!$C$6</f>
        <v>23617760</v>
      </c>
      <c r="F9" s="42">
        <f>Cotizaciónes!$C$6</f>
        <v>23617760</v>
      </c>
      <c r="G9" s="42">
        <f>Cotizaciónes!$C$6</f>
        <v>23617760</v>
      </c>
      <c r="H9" s="42">
        <f>Cotizaciónes!$C$6</f>
        <v>23617760</v>
      </c>
      <c r="I9" s="42">
        <f>Cotizaciónes!$C$6</f>
        <v>23617760</v>
      </c>
      <c r="J9" s="42">
        <f>Cotizaciónes!$C$6</f>
        <v>23617760</v>
      </c>
      <c r="K9" s="42">
        <f>Cotizaciónes!$C$6</f>
        <v>23617760</v>
      </c>
      <c r="L9" s="42">
        <f>Cotizaciónes!$C$6</f>
        <v>23617760</v>
      </c>
      <c r="M9" s="42">
        <f>Cotizaciónes!$C$6</f>
        <v>23617760</v>
      </c>
      <c r="N9" s="42">
        <f>Cotizaciónes!$C$6</f>
        <v>23617760</v>
      </c>
      <c r="O9" s="42">
        <f>Cotizaciónes!$C$6</f>
        <v>23617760</v>
      </c>
      <c r="P9" s="42">
        <f>Cotizaciónes!$C$6</f>
        <v>23617760</v>
      </c>
    </row>
    <row r="10" spans="2:16" x14ac:dyDescent="0.25">
      <c r="B10" s="40"/>
      <c r="C10" t="s">
        <v>66</v>
      </c>
      <c r="D10" s="42">
        <v>0</v>
      </c>
      <c r="E10" s="42">
        <f>Prestamo!H6</f>
        <v>240740666.66300002</v>
      </c>
      <c r="F10" s="42">
        <f>Prestamo!$H7</f>
        <v>245993190.29928368</v>
      </c>
      <c r="G10" s="42">
        <f>Prestamo!$H8</f>
        <v>251405040.48586792</v>
      </c>
      <c r="H10" s="42">
        <f>Prestamo!$H9</f>
        <v>256991819.16333166</v>
      </c>
      <c r="I10" s="42">
        <f>Prestamo!$H10</f>
        <v>262774135.09450665</v>
      </c>
      <c r="J10" s="42">
        <f>Prestamo!$H11</f>
        <v>268780401.03952396</v>
      </c>
      <c r="K10" s="42">
        <f>Prestamo!$H12</f>
        <v>275051943.73044616</v>
      </c>
      <c r="L10" s="42">
        <f>Prestamo!$H13</f>
        <v>281653190.37997687</v>
      </c>
      <c r="M10" s="42">
        <f>Prestamo!$H14</f>
        <v>288694520.1394763</v>
      </c>
      <c r="N10" s="42">
        <f>Prestamo!$H15</f>
        <v>296393040.67652899</v>
      </c>
      <c r="O10" s="42">
        <f>Prestamo!$H16</f>
        <v>305284831.89682496</v>
      </c>
      <c r="P10" s="42">
        <f>Prestamo!$H17</f>
        <v>317496225.17269802</v>
      </c>
    </row>
    <row r="11" spans="2:16" x14ac:dyDescent="0.25">
      <c r="B11" s="40"/>
      <c r="C11" t="s">
        <v>97</v>
      </c>
      <c r="D11" s="42">
        <v>0</v>
      </c>
      <c r="E11" s="42">
        <f>E8*0.19</f>
        <v>445740000</v>
      </c>
      <c r="F11" s="42">
        <f t="shared" ref="F11:P11" si="0">F8*0.19</f>
        <v>445740000</v>
      </c>
      <c r="G11" s="42">
        <f t="shared" si="0"/>
        <v>445740000</v>
      </c>
      <c r="H11" s="42">
        <f t="shared" si="0"/>
        <v>445740000</v>
      </c>
      <c r="I11" s="42">
        <f t="shared" si="0"/>
        <v>445740000</v>
      </c>
      <c r="J11" s="42">
        <f t="shared" si="0"/>
        <v>445740000</v>
      </c>
      <c r="K11" s="42">
        <f t="shared" si="0"/>
        <v>445740000</v>
      </c>
      <c r="L11" s="42">
        <f t="shared" si="0"/>
        <v>445740000</v>
      </c>
      <c r="M11" s="42">
        <f t="shared" si="0"/>
        <v>445740000</v>
      </c>
      <c r="N11" s="42">
        <f t="shared" si="0"/>
        <v>445740000</v>
      </c>
      <c r="O11" s="42">
        <f t="shared" si="0"/>
        <v>445740000</v>
      </c>
      <c r="P11" s="42">
        <f t="shared" si="0"/>
        <v>445740000</v>
      </c>
    </row>
    <row r="12" spans="2:16" x14ac:dyDescent="0.25">
      <c r="B12" s="40"/>
      <c r="C12" t="s">
        <v>101</v>
      </c>
      <c r="D12" s="42">
        <f>Datos!C8</f>
        <v>2888887999.9560003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</row>
    <row r="13" spans="2:16" ht="6" customHeight="1" x14ac:dyDescent="0.25">
      <c r="B13" s="54"/>
      <c r="C13" s="55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2:16" x14ac:dyDescent="0.25">
      <c r="B14" s="40" t="s">
        <v>69</v>
      </c>
      <c r="C14" t="s">
        <v>70</v>
      </c>
      <c r="D14" s="42">
        <v>0</v>
      </c>
      <c r="E14" s="42">
        <f>(Datos!$C$6*Datos!$C$2*0.8)+(Datos!$C$7*Datos!$C$3*0.8)</f>
        <v>3264000000</v>
      </c>
      <c r="F14" s="42">
        <f>(Datos!$C$6*Datos!$C$2*0.8)+(Datos!$C$7*Datos!$C$3*0.8)</f>
        <v>3264000000</v>
      </c>
      <c r="G14" s="42">
        <f>(Datos!$C$6*Datos!$C$2*0.8)+(Datos!$C$7*Datos!$C$3*0.8)</f>
        <v>3264000000</v>
      </c>
      <c r="H14" s="42">
        <f>(Datos!$C$6*Datos!$C$2*0.8)+(Datos!$C$7*Datos!$C$3*0.8)</f>
        <v>3264000000</v>
      </c>
      <c r="I14" s="42">
        <f>(Datos!$C$6*Datos!$C$2*0.8)+(Datos!$C$7*Datos!$C$3*0.8)</f>
        <v>3264000000</v>
      </c>
      <c r="J14" s="42">
        <f>(Datos!$C$6*Datos!$C$2*0.8)+(Datos!$C$7*Datos!$C$3*0.8)</f>
        <v>3264000000</v>
      </c>
      <c r="K14" s="42">
        <f>(Datos!$C$6*Datos!$C$2*0.8)+(Datos!$C$7*Datos!$C$3*0.8)</f>
        <v>3264000000</v>
      </c>
      <c r="L14" s="42">
        <f>(Datos!$C$6*Datos!$C$2*0.8)+(Datos!$C$7*Datos!$C$3*0.8)</f>
        <v>3264000000</v>
      </c>
      <c r="M14" s="42">
        <f>(Datos!$C$6*Datos!$C$2*0.8)+(Datos!$C$7*Datos!$C$3*0.8)</f>
        <v>3264000000</v>
      </c>
      <c r="N14" s="42">
        <f>(Datos!$C$6*Datos!$C$2*0.8)+(Datos!$C$7*Datos!$C$3*0.8)</f>
        <v>3264000000</v>
      </c>
      <c r="O14" s="42">
        <f>(Datos!$C$6*Datos!$C$2*0.8)+(Datos!$C$7*Datos!$C$3*0.8)</f>
        <v>3264000000</v>
      </c>
      <c r="P14" s="42">
        <f>(Datos!$C$6*Datos!$C$2*0.8)+(Datos!$C$7*Datos!$C$3*0.8)</f>
        <v>3264000000</v>
      </c>
    </row>
    <row r="15" spans="2:16" x14ac:dyDescent="0.25">
      <c r="B15" s="40"/>
      <c r="C15" t="s">
        <v>68</v>
      </c>
      <c r="D15" s="42">
        <v>0</v>
      </c>
      <c r="E15" s="42">
        <f>(Datos!$C$4*Datos!$C$2*0.1)+(Datos!$C$5*Datos!$C$3*0.1)</f>
        <v>234600000</v>
      </c>
      <c r="F15" s="42">
        <f>(Datos!$C$4*Datos!$C$2*0.1)+(Datos!$C$5*Datos!$C$3*0.1)</f>
        <v>234600000</v>
      </c>
      <c r="G15" s="42">
        <f>(Datos!$C$4*Datos!$C$2*0.1)+(Datos!$C$5*Datos!$C$3*0.1)</f>
        <v>234600000</v>
      </c>
      <c r="H15" s="42">
        <f>(Datos!$C$4*Datos!$C$2*0.1)+(Datos!$C$5*Datos!$C$3*0.1)</f>
        <v>234600000</v>
      </c>
      <c r="I15" s="42">
        <f>(Datos!$C$4*Datos!$C$2*0.1)+(Datos!$C$5*Datos!$C$3*0.1)</f>
        <v>234600000</v>
      </c>
      <c r="J15" s="42">
        <f>(Datos!$C$4*Datos!$C$2*0.1)+(Datos!$C$5*Datos!$C$3*0.1)</f>
        <v>234600000</v>
      </c>
      <c r="K15" s="42">
        <f>(Datos!$C$4*Datos!$C$2*0.1)+(Datos!$C$5*Datos!$C$3*0.1)</f>
        <v>234600000</v>
      </c>
      <c r="L15" s="42">
        <f>(Datos!$C$4*Datos!$C$2*0.1)+(Datos!$C$5*Datos!$C$3*0.1)</f>
        <v>234600000</v>
      </c>
      <c r="M15" s="42">
        <f>(Datos!$C$4*Datos!$C$2*0.1)+(Datos!$C$5*Datos!$C$3*0.1)</f>
        <v>234600000</v>
      </c>
      <c r="N15" s="42">
        <f>(Datos!$C$4*Datos!$C$2*0.1)+(Datos!$C$5*Datos!$C$3*0.1)</f>
        <v>234600000</v>
      </c>
      <c r="O15" s="42">
        <f>(Datos!$C$4*Datos!$C$2*0.1)+(Datos!$C$5*Datos!$C$3*0.1)</f>
        <v>234600000</v>
      </c>
      <c r="P15" s="42">
        <f>(Datos!$C$4*Datos!$C$2*0.1)+(Datos!$C$5*Datos!$C$3*0.1)</f>
        <v>234600000</v>
      </c>
    </row>
    <row r="16" spans="2:16" x14ac:dyDescent="0.25">
      <c r="B16" t="s">
        <v>96</v>
      </c>
      <c r="D16" s="43">
        <f>SUM(D14:D15)-SUM(D5:D12)</f>
        <v>-2888887999.9560003</v>
      </c>
      <c r="E16" s="43">
        <f>SUM(E14:E15)-SUM(E5:E11)</f>
        <v>386801224.2409997</v>
      </c>
      <c r="F16" s="43">
        <f>SUM(F14:F15)-SUM(F5:F11)</f>
        <v>381548700.6047163</v>
      </c>
      <c r="G16" s="43">
        <f>SUM(G14:G15)-SUM(G5:G11)</f>
        <v>376136850.41813183</v>
      </c>
      <c r="H16" s="43">
        <f>SUM(H14:H15)-SUM(H5:H11)</f>
        <v>370550071.7406683</v>
      </c>
      <c r="I16" s="43">
        <f>SUM(I14:I15)-SUM(I5:I11)</f>
        <v>364767755.80949306</v>
      </c>
      <c r="J16" s="43">
        <f>SUM(J14:J15)-SUM(J5:J11)</f>
        <v>358761489.86447573</v>
      </c>
      <c r="K16" s="43">
        <f>SUM(K14:K15)-SUM(K5:K11)</f>
        <v>352489947.17355347</v>
      </c>
      <c r="L16" s="43">
        <f>SUM(L14:L15)-SUM(L5:L11)</f>
        <v>345888700.52402306</v>
      </c>
      <c r="M16" s="43">
        <f>SUM(M14:M15)-SUM(M5:M11)</f>
        <v>338847370.76452351</v>
      </c>
      <c r="N16" s="43">
        <f>SUM(N14:N15)-SUM(N5:N11)</f>
        <v>331148850.22747087</v>
      </c>
      <c r="O16" s="43">
        <f>SUM(O14:O15)-SUM(O5:O11)</f>
        <v>322257059.00717497</v>
      </c>
      <c r="P16" s="43">
        <f>SUM(P14:P15)-SUM(P5:P11)</f>
        <v>310045665.73130178</v>
      </c>
    </row>
    <row r="19" spans="2:6" ht="54.6" customHeight="1" x14ac:dyDescent="0.25">
      <c r="B19" s="9" t="s">
        <v>23</v>
      </c>
      <c r="C19" s="10"/>
      <c r="E19" s="33" t="s">
        <v>15</v>
      </c>
      <c r="F19" s="34">
        <v>0.05</v>
      </c>
    </row>
    <row r="20" spans="2:6" x14ac:dyDescent="0.25">
      <c r="B20" s="11"/>
      <c r="C20" s="10"/>
      <c r="E20" s="4"/>
      <c r="F20" s="3"/>
    </row>
    <row r="21" spans="2:6" x14ac:dyDescent="0.25">
      <c r="B21" s="11" t="s">
        <v>24</v>
      </c>
      <c r="C21" s="12">
        <f>SUM(E14:P15)</f>
        <v>41983200000</v>
      </c>
      <c r="E21" s="25" t="s">
        <v>16</v>
      </c>
      <c r="F21" s="26"/>
    </row>
    <row r="22" spans="2:6" x14ac:dyDescent="0.25">
      <c r="B22" s="11" t="s">
        <v>25</v>
      </c>
      <c r="C22" s="12">
        <f>SUM(E5:P9)</f>
        <v>29103817309.152</v>
      </c>
      <c r="E22" s="27" t="s">
        <v>17</v>
      </c>
      <c r="F22" s="28">
        <f>NPV(F19,E16:P16)</f>
        <v>3165151953.2762027</v>
      </c>
    </row>
    <row r="23" spans="2:6" x14ac:dyDescent="0.25">
      <c r="B23" s="11" t="s">
        <v>26</v>
      </c>
      <c r="C23" s="12">
        <f>C21-C22</f>
        <v>12879382690.848</v>
      </c>
      <c r="E23" s="27" t="s">
        <v>9</v>
      </c>
      <c r="F23" s="29">
        <f>D12</f>
        <v>2888887999.9560003</v>
      </c>
    </row>
    <row r="24" spans="2:6" ht="26.4" x14ac:dyDescent="0.25">
      <c r="B24" s="11" t="s">
        <v>27</v>
      </c>
      <c r="C24" s="12">
        <f>SUM(E10:P10)</f>
        <v>3291259004.7414651</v>
      </c>
      <c r="E24" s="30" t="s">
        <v>18</v>
      </c>
      <c r="F24" s="31">
        <f>F22-F23</f>
        <v>276263953.32020235</v>
      </c>
    </row>
    <row r="25" spans="2:6" ht="26.4" x14ac:dyDescent="0.25">
      <c r="B25" s="11" t="s">
        <v>28</v>
      </c>
      <c r="C25" s="12">
        <f>C23-C24</f>
        <v>9588123686.106535</v>
      </c>
      <c r="E25" s="30" t="s">
        <v>19</v>
      </c>
      <c r="F25" s="32">
        <f>IRR(D16:P16)</f>
        <v>6.7223971041540098E-2</v>
      </c>
    </row>
    <row r="26" spans="2:6" ht="66" x14ac:dyDescent="0.25">
      <c r="B26" s="11" t="s">
        <v>30</v>
      </c>
      <c r="C26" s="12">
        <f>C25-SUM(E11:P11)</f>
        <v>4239243686.106535</v>
      </c>
    </row>
  </sheetData>
  <mergeCells count="2">
    <mergeCell ref="B14:B15"/>
    <mergeCell ref="B5:B12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15420-8E99-4DFA-A905-BD022E7B42F7}">
  <dimension ref="C3:G35"/>
  <sheetViews>
    <sheetView topLeftCell="A6" workbookViewId="0">
      <selection activeCell="D35" sqref="D35"/>
    </sheetView>
  </sheetViews>
  <sheetFormatPr defaultColWidth="11.5546875" defaultRowHeight="13.2" x14ac:dyDescent="0.25"/>
  <cols>
    <col min="3" max="3" width="17.33203125" customWidth="1"/>
    <col min="4" max="4" width="23.21875" customWidth="1"/>
    <col min="5" max="5" width="12.44140625" customWidth="1"/>
    <col min="6" max="6" width="13.88671875" customWidth="1"/>
    <col min="7" max="7" width="15.77734375" customWidth="1"/>
  </cols>
  <sheetData>
    <row r="3" spans="3:7" x14ac:dyDescent="0.25">
      <c r="C3" t="s">
        <v>31</v>
      </c>
      <c r="D3" t="s">
        <v>80</v>
      </c>
    </row>
    <row r="4" spans="3:7" x14ac:dyDescent="0.25">
      <c r="C4" t="s">
        <v>34</v>
      </c>
      <c r="D4" s="47"/>
    </row>
    <row r="5" spans="3:7" x14ac:dyDescent="0.25">
      <c r="C5" t="s">
        <v>35</v>
      </c>
      <c r="D5" s="42">
        <f>145669000*1.4</f>
        <v>203936600</v>
      </c>
    </row>
    <row r="6" spans="3:7" x14ac:dyDescent="0.25">
      <c r="C6" t="s">
        <v>36</v>
      </c>
      <c r="D6" s="50"/>
    </row>
    <row r="7" spans="3:7" x14ac:dyDescent="0.25">
      <c r="C7" t="s">
        <v>81</v>
      </c>
      <c r="D7" s="46">
        <f>(Cotizaciónes!C3+Cotizaciónes!C4)*4000</f>
        <v>225000000</v>
      </c>
    </row>
    <row r="8" spans="3:7" x14ac:dyDescent="0.25">
      <c r="C8" t="s">
        <v>82</v>
      </c>
      <c r="D8" s="42">
        <f>SUM(D4:D7)</f>
        <v>428936600</v>
      </c>
    </row>
    <row r="10" spans="3:7" x14ac:dyDescent="0.25">
      <c r="C10" t="s">
        <v>32</v>
      </c>
      <c r="D10" t="s">
        <v>80</v>
      </c>
    </row>
    <row r="11" spans="3:7" x14ac:dyDescent="0.25">
      <c r="C11" t="s">
        <v>37</v>
      </c>
      <c r="D11" s="44">
        <v>8376290.8600000003</v>
      </c>
    </row>
    <row r="12" spans="3:7" x14ac:dyDescent="0.25">
      <c r="C12" t="s">
        <v>38</v>
      </c>
      <c r="D12" s="42">
        <v>22320000</v>
      </c>
    </row>
    <row r="13" spans="3:7" x14ac:dyDescent="0.25">
      <c r="C13" t="s">
        <v>39</v>
      </c>
      <c r="D13" s="45">
        <v>3937000</v>
      </c>
    </row>
    <row r="14" spans="3:7" x14ac:dyDescent="0.25">
      <c r="C14" t="s">
        <v>82</v>
      </c>
      <c r="D14" s="42">
        <f>SUM(D11:D13)</f>
        <v>34633290.859999999</v>
      </c>
    </row>
    <row r="16" spans="3:7" x14ac:dyDescent="0.25">
      <c r="C16" t="s">
        <v>33</v>
      </c>
      <c r="D16" t="s">
        <v>77</v>
      </c>
      <c r="E16" t="s">
        <v>78</v>
      </c>
      <c r="F16" t="s">
        <v>79</v>
      </c>
      <c r="G16" t="s">
        <v>82</v>
      </c>
    </row>
    <row r="17" spans="3:7" x14ac:dyDescent="0.25">
      <c r="C17" s="51" t="s">
        <v>89</v>
      </c>
      <c r="D17" s="45">
        <v>908526</v>
      </c>
      <c r="E17" s="42">
        <f>D17*0.0696</f>
        <v>63233.409599999999</v>
      </c>
      <c r="F17" s="42">
        <f>D17*0.25</f>
        <v>227131.5</v>
      </c>
      <c r="G17" s="42">
        <f>SUM(D17:F17)</f>
        <v>1198890.9095999999</v>
      </c>
    </row>
    <row r="18" spans="3:7" x14ac:dyDescent="0.25">
      <c r="C18" s="51" t="s">
        <v>89</v>
      </c>
      <c r="D18" s="45">
        <v>908526</v>
      </c>
      <c r="E18" s="42">
        <f t="shared" ref="E18:E30" si="0">D18*0.0696</f>
        <v>63233.409599999999</v>
      </c>
      <c r="F18" s="42">
        <f t="shared" ref="F18" si="1">D18*0.25</f>
        <v>227131.5</v>
      </c>
      <c r="G18" s="42">
        <f t="shared" ref="G18" si="2">SUM(D18:F18)</f>
        <v>1198890.9095999999</v>
      </c>
    </row>
    <row r="19" spans="3:7" x14ac:dyDescent="0.25">
      <c r="C19" s="51" t="s">
        <v>89</v>
      </c>
      <c r="D19" s="45">
        <v>908526</v>
      </c>
      <c r="E19" s="42">
        <f>D19*0.0696</f>
        <v>63233.409599999999</v>
      </c>
      <c r="F19" s="42">
        <f>D19*0.25</f>
        <v>227131.5</v>
      </c>
      <c r="G19" s="42">
        <f>SUM(D19:F19)</f>
        <v>1198890.9095999999</v>
      </c>
    </row>
    <row r="20" spans="3:7" x14ac:dyDescent="0.25">
      <c r="C20" s="51" t="s">
        <v>89</v>
      </c>
      <c r="D20" s="45">
        <v>908526</v>
      </c>
      <c r="E20" s="42">
        <f t="shared" si="0"/>
        <v>63233.409599999999</v>
      </c>
      <c r="F20" s="42">
        <f t="shared" ref="F20:F30" si="3">D20*0.25</f>
        <v>227131.5</v>
      </c>
      <c r="G20" s="42">
        <f t="shared" ref="G20:G30" si="4">SUM(D20:F20)</f>
        <v>1198890.9095999999</v>
      </c>
    </row>
    <row r="21" spans="3:7" x14ac:dyDescent="0.25">
      <c r="C21" s="51" t="s">
        <v>89</v>
      </c>
      <c r="D21" s="45">
        <v>908526</v>
      </c>
      <c r="E21" s="42">
        <f t="shared" si="0"/>
        <v>63233.409599999999</v>
      </c>
      <c r="F21" s="42">
        <f t="shared" si="3"/>
        <v>227131.5</v>
      </c>
      <c r="G21" s="42">
        <f t="shared" si="4"/>
        <v>1198890.9095999999</v>
      </c>
    </row>
    <row r="22" spans="3:7" x14ac:dyDescent="0.25">
      <c r="C22" s="51" t="s">
        <v>89</v>
      </c>
      <c r="D22" s="45">
        <v>908526</v>
      </c>
      <c r="E22" s="42">
        <f t="shared" si="0"/>
        <v>63233.409599999999</v>
      </c>
      <c r="F22" s="42">
        <f t="shared" si="3"/>
        <v>227131.5</v>
      </c>
      <c r="G22" s="42">
        <f t="shared" si="4"/>
        <v>1198890.9095999999</v>
      </c>
    </row>
    <row r="23" spans="3:7" x14ac:dyDescent="0.25">
      <c r="C23" s="51" t="s">
        <v>89</v>
      </c>
      <c r="D23" s="45">
        <v>908526</v>
      </c>
      <c r="E23" s="42">
        <f t="shared" si="0"/>
        <v>63233.409599999999</v>
      </c>
      <c r="F23" s="42">
        <f t="shared" si="3"/>
        <v>227131.5</v>
      </c>
      <c r="G23" s="42">
        <f t="shared" si="4"/>
        <v>1198890.9095999999</v>
      </c>
    </row>
    <row r="24" spans="3:7" x14ac:dyDescent="0.25">
      <c r="C24" s="51" t="s">
        <v>90</v>
      </c>
      <c r="D24" s="46">
        <v>1400000</v>
      </c>
      <c r="E24" s="42">
        <f t="shared" si="0"/>
        <v>97440</v>
      </c>
      <c r="F24" s="42">
        <f t="shared" si="3"/>
        <v>350000</v>
      </c>
      <c r="G24" s="42">
        <f t="shared" si="4"/>
        <v>1847440</v>
      </c>
    </row>
    <row r="25" spans="3:7" x14ac:dyDescent="0.25">
      <c r="C25" s="51" t="s">
        <v>91</v>
      </c>
      <c r="D25" s="46">
        <v>1500000</v>
      </c>
      <c r="E25" s="42">
        <f t="shared" si="0"/>
        <v>104400</v>
      </c>
      <c r="F25" s="42">
        <f t="shared" si="3"/>
        <v>375000</v>
      </c>
      <c r="G25" s="42">
        <f t="shared" si="4"/>
        <v>1979400</v>
      </c>
    </row>
    <row r="26" spans="3:7" x14ac:dyDescent="0.25">
      <c r="C26" s="51" t="s">
        <v>91</v>
      </c>
      <c r="D26" s="46">
        <v>1500000</v>
      </c>
      <c r="E26" s="42">
        <f t="shared" si="0"/>
        <v>104400</v>
      </c>
      <c r="F26" s="42">
        <f t="shared" si="3"/>
        <v>375000</v>
      </c>
      <c r="G26" s="42">
        <f t="shared" si="4"/>
        <v>1979400</v>
      </c>
    </row>
    <row r="27" spans="3:7" x14ac:dyDescent="0.25">
      <c r="C27" s="51" t="s">
        <v>92</v>
      </c>
      <c r="D27" s="46">
        <v>2000000</v>
      </c>
      <c r="E27" s="42">
        <f t="shared" si="0"/>
        <v>139200</v>
      </c>
      <c r="F27" s="42">
        <f t="shared" si="3"/>
        <v>500000</v>
      </c>
      <c r="G27" s="42">
        <f t="shared" si="4"/>
        <v>2639200</v>
      </c>
    </row>
    <row r="28" spans="3:7" ht="14.4" customHeight="1" x14ac:dyDescent="0.25">
      <c r="C28" s="51" t="s">
        <v>92</v>
      </c>
      <c r="D28" s="46">
        <v>2000000</v>
      </c>
      <c r="E28" s="42">
        <f t="shared" si="0"/>
        <v>139200</v>
      </c>
      <c r="F28" s="42">
        <f t="shared" si="3"/>
        <v>500000</v>
      </c>
      <c r="G28" s="42">
        <f t="shared" si="4"/>
        <v>2639200</v>
      </c>
    </row>
    <row r="29" spans="3:7" ht="14.4" customHeight="1" x14ac:dyDescent="0.25">
      <c r="C29" s="51" t="s">
        <v>100</v>
      </c>
      <c r="D29" s="46">
        <f>3000000</f>
        <v>3000000</v>
      </c>
      <c r="E29" s="42">
        <f t="shared" si="0"/>
        <v>208800</v>
      </c>
      <c r="F29" s="42">
        <f t="shared" si="3"/>
        <v>750000</v>
      </c>
      <c r="G29" s="42">
        <f t="shared" si="4"/>
        <v>3958800</v>
      </c>
    </row>
    <row r="30" spans="3:7" x14ac:dyDescent="0.25">
      <c r="C30" s="51" t="s">
        <v>99</v>
      </c>
      <c r="D30" s="46">
        <f>908526*3</f>
        <v>2725578</v>
      </c>
      <c r="E30" s="42">
        <f t="shared" si="0"/>
        <v>189700.22879999998</v>
      </c>
      <c r="F30" s="42">
        <f t="shared" si="3"/>
        <v>681394.5</v>
      </c>
      <c r="G30" s="42">
        <f t="shared" si="4"/>
        <v>3596672.7288000002</v>
      </c>
    </row>
    <row r="31" spans="3:7" x14ac:dyDescent="0.25">
      <c r="C31" s="39" t="s">
        <v>82</v>
      </c>
      <c r="D31" s="39"/>
      <c r="E31" s="39"/>
      <c r="F31" s="39"/>
      <c r="G31" s="43">
        <f>SUM(G17:G30)</f>
        <v>27032349.095999997</v>
      </c>
    </row>
    <row r="33" spans="3:4" x14ac:dyDescent="0.25">
      <c r="C33" s="51" t="s">
        <v>93</v>
      </c>
      <c r="D33" s="53">
        <v>25668000</v>
      </c>
    </row>
    <row r="35" spans="3:4" x14ac:dyDescent="0.25">
      <c r="C35" t="s">
        <v>98</v>
      </c>
      <c r="D35" s="43">
        <f>SUM('Flujo Opción 1'!E5:E9)</f>
        <v>2425318109.0960002</v>
      </c>
    </row>
  </sheetData>
  <mergeCells count="1">
    <mergeCell ref="C31:F31"/>
  </mergeCells>
  <phoneticPr fontId="3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FA2B-1446-47C8-8D87-281B32239489}">
  <dimension ref="B2:D11"/>
  <sheetViews>
    <sheetView workbookViewId="0">
      <selection activeCell="C5" sqref="C5"/>
    </sheetView>
  </sheetViews>
  <sheetFormatPr defaultRowHeight="13.2" x14ac:dyDescent="0.25"/>
  <cols>
    <col min="2" max="2" width="26.6640625" customWidth="1"/>
    <col min="3" max="3" width="18.88671875" customWidth="1"/>
  </cols>
  <sheetData>
    <row r="2" spans="2:4" x14ac:dyDescent="0.25">
      <c r="B2" t="s">
        <v>43</v>
      </c>
      <c r="C2" s="49">
        <f>17000000*20/100</f>
        <v>3400000</v>
      </c>
    </row>
    <row r="3" spans="2:4" x14ac:dyDescent="0.25">
      <c r="B3" t="s">
        <v>44</v>
      </c>
      <c r="C3" s="49">
        <f>17000000*20/100</f>
        <v>3400000</v>
      </c>
    </row>
    <row r="4" spans="2:4" x14ac:dyDescent="0.25">
      <c r="B4" t="s">
        <v>45</v>
      </c>
      <c r="C4" s="42">
        <v>210</v>
      </c>
      <c r="D4" s="48" t="s">
        <v>85</v>
      </c>
    </row>
    <row r="5" spans="2:4" x14ac:dyDescent="0.25">
      <c r="B5" t="s">
        <v>46</v>
      </c>
      <c r="C5" s="42">
        <v>480</v>
      </c>
      <c r="D5" s="48" t="s">
        <v>85</v>
      </c>
    </row>
    <row r="6" spans="2:4" x14ac:dyDescent="0.25">
      <c r="B6" t="s">
        <v>47</v>
      </c>
      <c r="C6" s="42">
        <v>500</v>
      </c>
    </row>
    <row r="7" spans="2:4" x14ac:dyDescent="0.25">
      <c r="B7" t="s">
        <v>48</v>
      </c>
      <c r="C7" s="42">
        <v>700</v>
      </c>
    </row>
    <row r="8" spans="2:4" x14ac:dyDescent="0.25">
      <c r="B8" t="s">
        <v>71</v>
      </c>
      <c r="C8" s="42">
        <f>'COSTOS PRY'!D8+'COSTOS PRY'!D14+'COSTOS PRY'!D35</f>
        <v>2888887999.9560003</v>
      </c>
    </row>
    <row r="9" spans="2:4" x14ac:dyDescent="0.25">
      <c r="B9" t="s">
        <v>76</v>
      </c>
      <c r="C9" s="52">
        <v>0.02</v>
      </c>
    </row>
    <row r="10" spans="2:4" x14ac:dyDescent="0.25">
      <c r="B10" t="s">
        <v>83</v>
      </c>
      <c r="C10" s="42">
        <f>'COSTOS PRY'!D8</f>
        <v>428936600</v>
      </c>
    </row>
    <row r="11" spans="2:4" x14ac:dyDescent="0.25">
      <c r="B11" t="s">
        <v>84</v>
      </c>
      <c r="C11" s="42">
        <f>'COSTOS PRY'!D14</f>
        <v>34633290.859999999</v>
      </c>
    </row>
  </sheetData>
  <hyperlinks>
    <hyperlink ref="D4" r:id="rId1" display="https://www.dane.gov.co/files/investigaciones/agropecuario/sipsa/Sem_21nov_2020__27nov_2020.pdf" xr:uid="{0DAE0A45-DB21-4862-B0B4-2CA162700A50}"/>
    <hyperlink ref="D5" r:id="rId2" display="https://www.dane.gov.co/files/investigaciones/agropecuario/sipsa/Sem_21nov_2020__27nov_2020.pdf" xr:uid="{A2AA7D94-42EA-4482-AEBF-9449742697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CDE9-0148-490F-AEEB-8B5A304A44AC}">
  <dimension ref="B2:I17"/>
  <sheetViews>
    <sheetView workbookViewId="0">
      <selection activeCell="I17" sqref="I17"/>
    </sheetView>
  </sheetViews>
  <sheetFormatPr defaultRowHeight="13.2" x14ac:dyDescent="0.25"/>
  <cols>
    <col min="2" max="2" width="16.44140625" customWidth="1"/>
    <col min="3" max="3" width="19.6640625" customWidth="1"/>
    <col min="8" max="8" width="20" customWidth="1"/>
    <col min="9" max="9" width="19.21875" customWidth="1"/>
  </cols>
  <sheetData>
    <row r="2" spans="2:9" x14ac:dyDescent="0.25">
      <c r="B2" t="s">
        <v>72</v>
      </c>
      <c r="C2" s="42">
        <f>Datos!C8</f>
        <v>2888887999.9560003</v>
      </c>
    </row>
    <row r="3" spans="2:9" x14ac:dyDescent="0.25">
      <c r="B3" t="s">
        <v>76</v>
      </c>
      <c r="C3" s="41">
        <f>Datos!C9</f>
        <v>0.02</v>
      </c>
    </row>
    <row r="4" spans="2:9" x14ac:dyDescent="0.25">
      <c r="G4" t="s">
        <v>73</v>
      </c>
      <c r="H4" t="s">
        <v>74</v>
      </c>
      <c r="I4" t="s">
        <v>75</v>
      </c>
    </row>
    <row r="5" spans="2:9" x14ac:dyDescent="0.25">
      <c r="G5">
        <v>0</v>
      </c>
      <c r="H5" s="42">
        <f>-C2</f>
        <v>-2888887999.9560003</v>
      </c>
      <c r="I5" s="42">
        <f>H5</f>
        <v>-2888887999.9560003</v>
      </c>
    </row>
    <row r="6" spans="2:9" x14ac:dyDescent="0.25">
      <c r="G6">
        <v>1</v>
      </c>
      <c r="H6" s="42">
        <f>-I5/(13-G6)</f>
        <v>240740666.66300002</v>
      </c>
      <c r="I6" s="42">
        <f>(I5*(1+$C$3)+H6)</f>
        <v>-2705925093.2921205</v>
      </c>
    </row>
    <row r="7" spans="2:9" x14ac:dyDescent="0.25">
      <c r="G7">
        <v>2</v>
      </c>
      <c r="H7" s="42">
        <f>-I6/(13-G7)</f>
        <v>245993190.29928368</v>
      </c>
      <c r="I7" s="42">
        <f t="shared" ref="I7:I17" si="0">(I6*(1+$C$3)+H7)</f>
        <v>-2514050404.8586793</v>
      </c>
    </row>
    <row r="8" spans="2:9" x14ac:dyDescent="0.25">
      <c r="G8">
        <v>3</v>
      </c>
      <c r="H8" s="42">
        <f t="shared" ref="H7:H17" si="1">-I7/(13-G8)</f>
        <v>251405040.48586792</v>
      </c>
      <c r="I8" s="42">
        <f t="shared" si="0"/>
        <v>-2312926372.469985</v>
      </c>
    </row>
    <row r="9" spans="2:9" x14ac:dyDescent="0.25">
      <c r="G9">
        <v>4</v>
      </c>
      <c r="H9" s="42">
        <f t="shared" si="1"/>
        <v>256991819.16333166</v>
      </c>
      <c r="I9" s="42">
        <f t="shared" si="0"/>
        <v>-2102193080.7560532</v>
      </c>
    </row>
    <row r="10" spans="2:9" x14ac:dyDescent="0.25">
      <c r="G10">
        <v>5</v>
      </c>
      <c r="H10" s="42">
        <f t="shared" si="1"/>
        <v>262774135.09450665</v>
      </c>
      <c r="I10" s="42">
        <f t="shared" si="0"/>
        <v>-1881462807.2766676</v>
      </c>
    </row>
    <row r="11" spans="2:9" x14ac:dyDescent="0.25">
      <c r="G11">
        <v>6</v>
      </c>
      <c r="H11" s="42">
        <f t="shared" si="1"/>
        <v>268780401.03952396</v>
      </c>
      <c r="I11" s="42">
        <f t="shared" si="0"/>
        <v>-1650311662.3826771</v>
      </c>
    </row>
    <row r="12" spans="2:9" x14ac:dyDescent="0.25">
      <c r="G12">
        <v>7</v>
      </c>
      <c r="H12" s="42">
        <f t="shared" si="1"/>
        <v>275051943.73044616</v>
      </c>
      <c r="I12" s="42">
        <f t="shared" si="0"/>
        <v>-1408265951.8998845</v>
      </c>
    </row>
    <row r="13" spans="2:9" x14ac:dyDescent="0.25">
      <c r="G13">
        <v>8</v>
      </c>
      <c r="H13" s="42">
        <f t="shared" si="1"/>
        <v>281653190.37997687</v>
      </c>
      <c r="I13" s="42">
        <f t="shared" si="0"/>
        <v>-1154778080.5579052</v>
      </c>
    </row>
    <row r="14" spans="2:9" x14ac:dyDescent="0.25">
      <c r="G14">
        <v>9</v>
      </c>
      <c r="H14" s="42">
        <f t="shared" si="1"/>
        <v>288694520.1394763</v>
      </c>
      <c r="I14" s="42">
        <f t="shared" si="0"/>
        <v>-889179122.02958703</v>
      </c>
    </row>
    <row r="15" spans="2:9" x14ac:dyDescent="0.25">
      <c r="G15">
        <v>10</v>
      </c>
      <c r="H15" s="42">
        <f t="shared" si="1"/>
        <v>296393040.67652899</v>
      </c>
      <c r="I15" s="42">
        <f t="shared" si="0"/>
        <v>-610569663.79364991</v>
      </c>
    </row>
    <row r="16" spans="2:9" x14ac:dyDescent="0.25">
      <c r="G16">
        <v>11</v>
      </c>
      <c r="H16" s="42">
        <f t="shared" si="1"/>
        <v>305284831.89682496</v>
      </c>
      <c r="I16" s="42">
        <f t="shared" si="0"/>
        <v>-317496225.17269802</v>
      </c>
    </row>
    <row r="17" spans="7:9" x14ac:dyDescent="0.25">
      <c r="G17">
        <v>12</v>
      </c>
      <c r="H17" s="42">
        <f>-I16/(13-G17)</f>
        <v>317496225.17269802</v>
      </c>
      <c r="I17" s="42">
        <f>0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F4E5-1DB1-4E12-8A5A-100971F0E12D}">
  <dimension ref="B3:D6"/>
  <sheetViews>
    <sheetView workbookViewId="0">
      <selection activeCell="C6" sqref="C6"/>
    </sheetView>
  </sheetViews>
  <sheetFormatPr defaultRowHeight="13.2" x14ac:dyDescent="0.25"/>
  <cols>
    <col min="2" max="2" width="35.109375" customWidth="1"/>
    <col min="3" max="3" width="15.109375" bestFit="1" customWidth="1"/>
  </cols>
  <sheetData>
    <row r="3" spans="2:4" x14ac:dyDescent="0.25">
      <c r="B3" t="s">
        <v>86</v>
      </c>
      <c r="C3">
        <v>26250</v>
      </c>
      <c r="D3" t="s">
        <v>87</v>
      </c>
    </row>
    <row r="4" spans="2:4" x14ac:dyDescent="0.25">
      <c r="B4" t="s">
        <v>88</v>
      </c>
      <c r="C4">
        <v>30000</v>
      </c>
      <c r="D4" t="s">
        <v>87</v>
      </c>
    </row>
    <row r="6" spans="2:4" x14ac:dyDescent="0.25">
      <c r="B6" t="s">
        <v>95</v>
      </c>
      <c r="C6" s="42">
        <f>(25000+12*811)*34*20</f>
        <v>23617760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EVALUACION PRY OPCION 1</vt:lpstr>
      <vt:lpstr>EVALUACION PRY OPCION 2</vt:lpstr>
      <vt:lpstr>Flujo Opción 1</vt:lpstr>
      <vt:lpstr>COSTOS PRY</vt:lpstr>
      <vt:lpstr>Datos</vt:lpstr>
      <vt:lpstr>Prestamo</vt:lpstr>
      <vt:lpstr>Cotizaciónes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 Barrera G.</dc:creator>
  <cp:lastModifiedBy>Juan David Ramírez Salazar</cp:lastModifiedBy>
  <dcterms:created xsi:type="dcterms:W3CDTF">2020-11-30T17:50:54Z</dcterms:created>
  <dcterms:modified xsi:type="dcterms:W3CDTF">2021-12-03T04:58:17Z</dcterms:modified>
</cp:coreProperties>
</file>