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\15. APM\"/>
    </mc:Choice>
  </mc:AlternateContent>
  <xr:revisionPtr revIDLastSave="0" documentId="13_ncr:1_{6DD48AAA-CAB9-4CC5-B2E0-138616590C8C}" xr6:coauthVersionLast="46" xr6:coauthVersionMax="46" xr10:uidLastSave="{00000000-0000-0000-0000-000000000000}"/>
  <bookViews>
    <workbookView xWindow="-120" yWindow="-120" windowWidth="20730" windowHeight="11160" firstSheet="1" activeTab="6" xr2:uid="{0278DC9B-E1B7-406A-9CE6-CBEA976879B6}"/>
  </bookViews>
  <sheets>
    <sheet name="Flujo de fondos" sheetId="3" r:id="rId1"/>
    <sheet name="Punto de equilibro" sheetId="6" r:id="rId2"/>
    <sheet name="Estado de resultados" sheetId="5" r:id="rId3"/>
    <sheet name="Amortización" sheetId="1" r:id="rId4"/>
    <sheet name="Depreciación" sheetId="2" r:id="rId5"/>
    <sheet name="Ingresos" sheetId="9" r:id="rId6"/>
    <sheet name="Costo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E10" i="3"/>
  <c r="F10" i="3"/>
  <c r="G10" i="3"/>
  <c r="H10" i="3"/>
  <c r="I10" i="3"/>
  <c r="J10" i="3"/>
  <c r="K10" i="3"/>
  <c r="L10" i="3"/>
  <c r="M10" i="3"/>
  <c r="N10" i="3"/>
  <c r="O10" i="3"/>
  <c r="D10" i="3"/>
  <c r="E8" i="3"/>
  <c r="F8" i="3"/>
  <c r="G8" i="3"/>
  <c r="H8" i="3"/>
  <c r="I8" i="3"/>
  <c r="J8" i="3"/>
  <c r="K8" i="3"/>
  <c r="L8" i="3"/>
  <c r="M8" i="3"/>
  <c r="N8" i="3"/>
  <c r="O8" i="3"/>
  <c r="C7" i="3"/>
  <c r="C11" i="3" s="1"/>
  <c r="D8" i="3"/>
  <c r="E6" i="3"/>
  <c r="F6" i="3"/>
  <c r="G6" i="3"/>
  <c r="H6" i="3"/>
  <c r="I6" i="3"/>
  <c r="J6" i="3"/>
  <c r="K6" i="3"/>
  <c r="L6" i="3"/>
  <c r="M6" i="3"/>
  <c r="N6" i="3"/>
  <c r="O6" i="3"/>
  <c r="D6" i="3"/>
  <c r="K26" i="8" l="1"/>
  <c r="N4" i="8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D7" i="9"/>
  <c r="E4" i="2"/>
  <c r="F4" i="2" s="1"/>
  <c r="E5" i="2"/>
  <c r="F5" i="2" s="1"/>
  <c r="D8" i="9"/>
  <c r="D4" i="3" s="1"/>
  <c r="K4" i="8"/>
  <c r="N3" i="8"/>
  <c r="C5" i="6" s="1"/>
  <c r="E20" i="8"/>
  <c r="E22" i="8" s="1"/>
  <c r="C4" i="6" s="1"/>
  <c r="C6" i="1"/>
  <c r="C17" i="5"/>
  <c r="C16" i="5"/>
  <c r="F9" i="1"/>
  <c r="D10" i="1" s="1"/>
  <c r="J5" i="3" l="1"/>
  <c r="K5" i="3"/>
  <c r="L5" i="3"/>
  <c r="H5" i="3"/>
  <c r="D5" i="3"/>
  <c r="I5" i="3"/>
  <c r="E5" i="3"/>
  <c r="M5" i="3"/>
  <c r="F5" i="3"/>
  <c r="N5" i="3"/>
  <c r="G5" i="3"/>
  <c r="O5" i="3"/>
  <c r="N5" i="8"/>
  <c r="F4" i="6"/>
  <c r="J4" i="3"/>
  <c r="I4" i="3"/>
  <c r="H4" i="3"/>
  <c r="G4" i="3"/>
  <c r="O4" i="3"/>
  <c r="N4" i="3"/>
  <c r="F4" i="3"/>
  <c r="M4" i="3"/>
  <c r="E4" i="3"/>
  <c r="K4" i="3"/>
  <c r="L4" i="3"/>
  <c r="C16" i="1"/>
  <c r="C10" i="1"/>
  <c r="E10" i="1" s="1"/>
  <c r="F10" i="1" s="1"/>
  <c r="D11" i="1" s="1"/>
  <c r="C15" i="1"/>
  <c r="C14" i="1"/>
  <c r="C21" i="1"/>
  <c r="C13" i="1"/>
  <c r="C20" i="1"/>
  <c r="C12" i="1"/>
  <c r="C11" i="1"/>
  <c r="C19" i="1"/>
  <c r="C18" i="1"/>
  <c r="C17" i="1"/>
  <c r="E3" i="2"/>
  <c r="F3" i="2" s="1"/>
  <c r="I3" i="2" s="1"/>
  <c r="H7" i="3" l="1"/>
  <c r="H11" i="3"/>
  <c r="I7" i="3"/>
  <c r="I11" i="3"/>
  <c r="G7" i="3"/>
  <c r="G11" i="3" s="1"/>
  <c r="L7" i="3"/>
  <c r="L11" i="3" s="1"/>
  <c r="E7" i="3"/>
  <c r="E11" i="3"/>
  <c r="O7" i="3"/>
  <c r="O11" i="3"/>
  <c r="N7" i="3"/>
  <c r="N11" i="3" s="1"/>
  <c r="K7" i="3"/>
  <c r="K11" i="3"/>
  <c r="M7" i="3"/>
  <c r="M11" i="3" s="1"/>
  <c r="D7" i="3"/>
  <c r="D11" i="3"/>
  <c r="F7" i="3"/>
  <c r="F11" i="3"/>
  <c r="J7" i="3"/>
  <c r="J11" i="3"/>
  <c r="C6" i="6"/>
  <c r="C7" i="6" s="1"/>
  <c r="F7" i="6" s="1"/>
  <c r="G7" i="6" s="1"/>
  <c r="E11" i="1"/>
  <c r="F11" i="1" s="1"/>
  <c r="D12" i="1" s="1"/>
  <c r="E12" i="3" l="1"/>
  <c r="M12" i="3"/>
  <c r="H12" i="3"/>
  <c r="F12" i="3"/>
  <c r="N12" i="3"/>
  <c r="G12" i="3"/>
  <c r="O12" i="3"/>
  <c r="D12" i="3"/>
  <c r="L12" i="3"/>
  <c r="I12" i="3"/>
  <c r="K12" i="3"/>
  <c r="J12" i="3"/>
  <c r="C15" i="3"/>
  <c r="C16" i="3"/>
  <c r="E12" i="1"/>
  <c r="F12" i="1" s="1"/>
  <c r="D13" i="1" s="1"/>
  <c r="E13" i="1" l="1"/>
  <c r="F13" i="1" s="1"/>
  <c r="D14" i="1" s="1"/>
  <c r="E14" i="1" l="1"/>
  <c r="F14" i="1" s="1"/>
  <c r="D15" i="1" s="1"/>
  <c r="E15" i="1" s="1"/>
  <c r="F15" i="1" s="1"/>
  <c r="D16" i="1" l="1"/>
  <c r="E16" i="1" s="1"/>
  <c r="F16" i="1" s="1"/>
  <c r="D17" i="1" l="1"/>
  <c r="E17" i="1" s="1"/>
  <c r="F17" i="1" s="1"/>
  <c r="D18" i="1" s="1"/>
  <c r="E18" i="1" s="1"/>
  <c r="F18" i="1" s="1"/>
  <c r="D19" i="1" l="1"/>
  <c r="E19" i="1" s="1"/>
  <c r="F19" i="1" s="1"/>
  <c r="D20" i="1" l="1"/>
  <c r="E20" i="1" s="1"/>
  <c r="F20" i="1" s="1"/>
  <c r="D21" i="1" l="1"/>
  <c r="E21" i="1" s="1"/>
</calcChain>
</file>

<file path=xl/sharedStrings.xml><?xml version="1.0" encoding="utf-8"?>
<sst xmlns="http://schemas.openxmlformats.org/spreadsheetml/2006/main" count="133" uniqueCount="108">
  <si>
    <t>Robot</t>
  </si>
  <si>
    <t>Depreciación</t>
  </si>
  <si>
    <t>Elemento</t>
  </si>
  <si>
    <t>Depreciación mensual</t>
  </si>
  <si>
    <t>Vida (Meses)</t>
  </si>
  <si>
    <t>Salvamento</t>
  </si>
  <si>
    <t>Valor</t>
  </si>
  <si>
    <t>Ingresos operacionales</t>
  </si>
  <si>
    <t>Costos de producción</t>
  </si>
  <si>
    <t>Ganancias netas</t>
  </si>
  <si>
    <t>Costos de inversión</t>
  </si>
  <si>
    <t>Amortización del crédito</t>
  </si>
  <si>
    <t>Tasa</t>
  </si>
  <si>
    <t>Periodo</t>
  </si>
  <si>
    <t>Capital</t>
  </si>
  <si>
    <t>Pago</t>
  </si>
  <si>
    <t>Interés</t>
  </si>
  <si>
    <t>Abono</t>
  </si>
  <si>
    <t>Saldo</t>
  </si>
  <si>
    <t>VPN</t>
  </si>
  <si>
    <t>Costo de oportunidad</t>
  </si>
  <si>
    <t>TIR</t>
  </si>
  <si>
    <t>ESTADO DE RESULTADOS</t>
  </si>
  <si>
    <t>(+) VENTAS</t>
  </si>
  <si>
    <t>(-) COSTOS DE PRODUCCIÓN</t>
  </si>
  <si>
    <t>(=) UTILIDAD BRUTA</t>
  </si>
  <si>
    <t>GASTOS ADMINISTRATIVOS Y DE VENTAS (GAV)</t>
  </si>
  <si>
    <t>UTILIDAD OPERATIVA</t>
  </si>
  <si>
    <t xml:space="preserve">(+) OTROS INGRESOS </t>
  </si>
  <si>
    <t>(-) OTROS EGRESOS</t>
  </si>
  <si>
    <t>(=) UTILIDAD SOBRE FLUJO (EBITDA)</t>
  </si>
  <si>
    <t>(-) DEPRECIACIONES Y AMORTIZACIONES</t>
  </si>
  <si>
    <t>(=) UTILIDAD OPERATIVA ANTES DE INTERESES E IMPUESTOS</t>
  </si>
  <si>
    <t>(-) GASTOS Y PRODUCTOS FINANCIEROS</t>
  </si>
  <si>
    <t>(-) UTILIDAD ANTES DE IMPUESTOS (EBIT)</t>
  </si>
  <si>
    <t>(-) IMPUESTOS</t>
  </si>
  <si>
    <t>(=) UTILIDAD NETA</t>
  </si>
  <si>
    <t>Costos fijos</t>
  </si>
  <si>
    <t>VR unitario</t>
  </si>
  <si>
    <t>Personal</t>
  </si>
  <si>
    <t>Otros Costos fijos</t>
  </si>
  <si>
    <t>PUNTO DE EQUILIBRIO:</t>
  </si>
  <si>
    <t>Cantidad</t>
  </si>
  <si>
    <t>TOTAL COSTOS FIJOS</t>
  </si>
  <si>
    <t>Gerente</t>
  </si>
  <si>
    <t>Cargo</t>
  </si>
  <si>
    <t>Salario</t>
  </si>
  <si>
    <t>Ingeniero</t>
  </si>
  <si>
    <t>Carga prestacional</t>
  </si>
  <si>
    <t>Nómina mensual</t>
  </si>
  <si>
    <t>Costo carga prestacional</t>
  </si>
  <si>
    <t>Mes</t>
  </si>
  <si>
    <t>Arriendo</t>
  </si>
  <si>
    <t>Operario</t>
  </si>
  <si>
    <t>Nómina</t>
  </si>
  <si>
    <t>Inmobiliario</t>
  </si>
  <si>
    <t>Software</t>
  </si>
  <si>
    <t>Hardware</t>
  </si>
  <si>
    <t>Concepto</t>
  </si>
  <si>
    <t>Periodicidad</t>
  </si>
  <si>
    <t>Mensual</t>
  </si>
  <si>
    <t>300 m2</t>
  </si>
  <si>
    <t>Costos variables</t>
  </si>
  <si>
    <t>Pieza</t>
  </si>
  <si>
    <t>Total</t>
  </si>
  <si>
    <t>Cadena</t>
  </si>
  <si>
    <t>Porcentaje de venta</t>
  </si>
  <si>
    <t>Producción diaria</t>
  </si>
  <si>
    <t>Valor unitario</t>
  </si>
  <si>
    <t>Ventas mensuales</t>
  </si>
  <si>
    <t>Días laborales</t>
  </si>
  <si>
    <t>Referencia</t>
  </si>
  <si>
    <t>Shimano HG54</t>
  </si>
  <si>
    <t>Estrella</t>
  </si>
  <si>
    <t>Biela</t>
  </si>
  <si>
    <t>Eje pedalier</t>
  </si>
  <si>
    <t>Neumático</t>
  </si>
  <si>
    <t>Coraza</t>
  </si>
  <si>
    <t>Manzana</t>
  </si>
  <si>
    <t>Rayos</t>
  </si>
  <si>
    <t>Buje</t>
  </si>
  <si>
    <t>Freno</t>
  </si>
  <si>
    <t>Piñones</t>
  </si>
  <si>
    <t>Espaciadores</t>
  </si>
  <si>
    <t>Potencia</t>
  </si>
  <si>
    <t>Mangos</t>
  </si>
  <si>
    <t>Tapón</t>
  </si>
  <si>
    <t>Sillín</t>
  </si>
  <si>
    <t>Tija</t>
  </si>
  <si>
    <t>Control de cambios</t>
  </si>
  <si>
    <t>Control de frenos</t>
  </si>
  <si>
    <t>Unidades totales</t>
  </si>
  <si>
    <t>Shimano CS6700</t>
  </si>
  <si>
    <t>MTB Doble P</t>
  </si>
  <si>
    <t>Pedales</t>
  </si>
  <si>
    <t>Shimano Claris</t>
  </si>
  <si>
    <t>Shimano integrados</t>
  </si>
  <si>
    <t>Cambios y frenos</t>
  </si>
  <si>
    <t xml:space="preserve">Kit GW </t>
  </si>
  <si>
    <t>Ergonómicos</t>
  </si>
  <si>
    <t>Confort plus</t>
  </si>
  <si>
    <t>Madera</t>
  </si>
  <si>
    <t>Bambú 5-7 cm /metro</t>
  </si>
  <si>
    <t>Flujo neto</t>
  </si>
  <si>
    <t>PAYBACK</t>
  </si>
  <si>
    <t>Servicios</t>
  </si>
  <si>
    <t>RobotStudio</t>
  </si>
  <si>
    <t>Studio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</si>
</sst>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6" fontId="3" fillId="0" borderId="0" xfId="0" applyNumberFormat="1" applyFont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11" xfId="0" applyNumberFormat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9" borderId="15" xfId="0" applyNumberFormat="1" applyFill="1" applyBorder="1" applyAlignment="1">
      <alignment horizontal="center"/>
    </xf>
    <xf numFmtId="6" fontId="0" fillId="9" borderId="9" xfId="0" applyNumberFormat="1" applyFill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6" fontId="0" fillId="0" borderId="16" xfId="0" applyNumberFormat="1" applyBorder="1" applyAlignment="1">
      <alignment horizontal="center"/>
    </xf>
    <xf numFmtId="6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8" fontId="0" fillId="0" borderId="7" xfId="0" applyNumberFormat="1" applyBorder="1"/>
    <xf numFmtId="0" fontId="2" fillId="8" borderId="7" xfId="0" applyFont="1" applyFill="1" applyBorder="1"/>
    <xf numFmtId="6" fontId="4" fillId="0" borderId="1" xfId="0" applyNumberFormat="1" applyFont="1" applyBorder="1" applyAlignment="1">
      <alignment horizontal="center"/>
    </xf>
    <xf numFmtId="6" fontId="4" fillId="0" borderId="6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6" fontId="2" fillId="9" borderId="14" xfId="0" applyNumberFormat="1" applyFont="1" applyFill="1" applyBorder="1" applyAlignment="1">
      <alignment horizontal="center"/>
    </xf>
    <xf numFmtId="6" fontId="2" fillId="9" borderId="7" xfId="0" applyNumberFormat="1" applyFont="1" applyFill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4F7C-C316-4839-AFC2-AEDAC2E9B6FD}">
  <dimension ref="B3:O17"/>
  <sheetViews>
    <sheetView workbookViewId="0">
      <selection activeCell="F17" sqref="F17"/>
    </sheetView>
  </sheetViews>
  <sheetFormatPr baseColWidth="10" defaultRowHeight="15" x14ac:dyDescent="0.25"/>
  <cols>
    <col min="1" max="1" width="11.42578125" style="1"/>
    <col min="2" max="2" width="23" style="1" bestFit="1" customWidth="1"/>
    <col min="3" max="3" width="16.85546875" style="1" bestFit="1" customWidth="1"/>
    <col min="4" max="5" width="13.28515625" style="1" bestFit="1" customWidth="1"/>
    <col min="6" max="15" width="14.140625" style="1" bestFit="1" customWidth="1"/>
    <col min="16" max="16384" width="11.42578125" style="1"/>
  </cols>
  <sheetData>
    <row r="3" spans="2:15" x14ac:dyDescent="0.25">
      <c r="B3" s="20" t="s">
        <v>51</v>
      </c>
      <c r="C3" s="22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</row>
    <row r="4" spans="2:15" x14ac:dyDescent="0.25">
      <c r="B4" s="20" t="s">
        <v>7</v>
      </c>
      <c r="C4" s="23">
        <v>0</v>
      </c>
      <c r="D4" s="23">
        <f>Ingresos!$D$8</f>
        <v>307200000</v>
      </c>
      <c r="E4" s="23">
        <f>Ingresos!$D$8</f>
        <v>307200000</v>
      </c>
      <c r="F4" s="23">
        <f>Ingresos!$D$8</f>
        <v>307200000</v>
      </c>
      <c r="G4" s="23">
        <f>Ingresos!$D$8</f>
        <v>307200000</v>
      </c>
      <c r="H4" s="23">
        <f>Ingresos!$D$8</f>
        <v>307200000</v>
      </c>
      <c r="I4" s="23">
        <f>Ingresos!$D$8</f>
        <v>307200000</v>
      </c>
      <c r="J4" s="23">
        <f>Ingresos!$D$8</f>
        <v>307200000</v>
      </c>
      <c r="K4" s="23">
        <f>Ingresos!$D$8</f>
        <v>307200000</v>
      </c>
      <c r="L4" s="23">
        <f>Ingresos!$D$8</f>
        <v>307200000</v>
      </c>
      <c r="M4" s="23">
        <f>Ingresos!$D$8</f>
        <v>307200000</v>
      </c>
      <c r="N4" s="23">
        <f>Ingresos!$D$8</f>
        <v>307200000</v>
      </c>
      <c r="O4" s="34">
        <f>Ingresos!$D$8</f>
        <v>307200000</v>
      </c>
    </row>
    <row r="5" spans="2:15" x14ac:dyDescent="0.25">
      <c r="B5" s="20" t="s">
        <v>8</v>
      </c>
      <c r="C5" s="23">
        <v>0</v>
      </c>
      <c r="D5" s="23">
        <f>-Costos!$N$3-Costos!$N$5</f>
        <v>-176661440.00000003</v>
      </c>
      <c r="E5" s="23">
        <f>-Costos!$N$3-Costos!$N$5</f>
        <v>-176661440.00000003</v>
      </c>
      <c r="F5" s="23">
        <f>-Costos!$N$3-Costos!$N$5</f>
        <v>-176661440.00000003</v>
      </c>
      <c r="G5" s="23">
        <f>-Costos!$N$3-Costos!$N$5</f>
        <v>-176661440.00000003</v>
      </c>
      <c r="H5" s="23">
        <f>-Costos!$N$3-Costos!$N$5</f>
        <v>-176661440.00000003</v>
      </c>
      <c r="I5" s="23">
        <f>-Costos!$N$3-Costos!$N$5</f>
        <v>-176661440.00000003</v>
      </c>
      <c r="J5" s="23">
        <f>-Costos!$N$3-Costos!$N$5</f>
        <v>-176661440.00000003</v>
      </c>
      <c r="K5" s="23">
        <f>-Costos!$N$3-Costos!$N$5</f>
        <v>-176661440.00000003</v>
      </c>
      <c r="L5" s="23">
        <f>-Costos!$N$3-Costos!$N$5</f>
        <v>-176661440.00000003</v>
      </c>
      <c r="M5" s="23">
        <f>-Costos!$N$3-Costos!$N$5</f>
        <v>-176661440.00000003</v>
      </c>
      <c r="N5" s="23">
        <f>-Costos!$N$3-Costos!$N$5</f>
        <v>-176661440.00000003</v>
      </c>
      <c r="O5" s="24">
        <f>-Costos!$N$3-Costos!$N$5</f>
        <v>-176661440.00000003</v>
      </c>
    </row>
    <row r="6" spans="2:15" x14ac:dyDescent="0.25">
      <c r="B6" s="20" t="s">
        <v>1</v>
      </c>
      <c r="C6" s="23">
        <v>0</v>
      </c>
      <c r="D6" s="23">
        <f>-Depreciación!$I$3</f>
        <v>-2500000</v>
      </c>
      <c r="E6" s="23">
        <f>-Depreciación!$I$3</f>
        <v>-2500000</v>
      </c>
      <c r="F6" s="23">
        <f>-Depreciación!$I$3</f>
        <v>-2500000</v>
      </c>
      <c r="G6" s="23">
        <f>-Depreciación!$I$3</f>
        <v>-2500000</v>
      </c>
      <c r="H6" s="23">
        <f>-Depreciación!$I$3</f>
        <v>-2500000</v>
      </c>
      <c r="I6" s="23">
        <f>-Depreciación!$I$3</f>
        <v>-2500000</v>
      </c>
      <c r="J6" s="23">
        <f>-Depreciación!$I$3</f>
        <v>-2500000</v>
      </c>
      <c r="K6" s="23">
        <f>-Depreciación!$I$3</f>
        <v>-2500000</v>
      </c>
      <c r="L6" s="23">
        <f>-Depreciación!$I$3</f>
        <v>-2500000</v>
      </c>
      <c r="M6" s="23">
        <f>-Depreciación!$I$3</f>
        <v>-2500000</v>
      </c>
      <c r="N6" s="23">
        <f>-Depreciación!$I$3</f>
        <v>-2500000</v>
      </c>
      <c r="O6" s="24">
        <f>-Depreciación!$I$3</f>
        <v>-2500000</v>
      </c>
    </row>
    <row r="7" spans="2:15" x14ac:dyDescent="0.25">
      <c r="B7" s="53" t="s">
        <v>9</v>
      </c>
      <c r="C7" s="27">
        <f>SUM(C4:C6)</f>
        <v>0</v>
      </c>
      <c r="D7" s="27">
        <f>SUM(D4:D6)</f>
        <v>128038559.99999997</v>
      </c>
      <c r="E7" s="27">
        <f t="shared" ref="E7:O7" si="0">SUM(E4:E6)</f>
        <v>128038559.99999997</v>
      </c>
      <c r="F7" s="27">
        <f t="shared" si="0"/>
        <v>128038559.99999997</v>
      </c>
      <c r="G7" s="27">
        <f t="shared" si="0"/>
        <v>128038559.99999997</v>
      </c>
      <c r="H7" s="27">
        <f t="shared" si="0"/>
        <v>128038559.99999997</v>
      </c>
      <c r="I7" s="27">
        <f t="shared" si="0"/>
        <v>128038559.99999997</v>
      </c>
      <c r="J7" s="27">
        <f t="shared" si="0"/>
        <v>128038559.99999997</v>
      </c>
      <c r="K7" s="27">
        <f t="shared" si="0"/>
        <v>128038559.99999997</v>
      </c>
      <c r="L7" s="27">
        <f t="shared" si="0"/>
        <v>128038559.99999997</v>
      </c>
      <c r="M7" s="27">
        <f t="shared" si="0"/>
        <v>128038559.99999997</v>
      </c>
      <c r="N7" s="27">
        <f t="shared" si="0"/>
        <v>128038559.99999997</v>
      </c>
      <c r="O7" s="28">
        <f t="shared" si="0"/>
        <v>128038559.99999997</v>
      </c>
    </row>
    <row r="8" spans="2:15" x14ac:dyDescent="0.25">
      <c r="B8" s="20" t="s">
        <v>1</v>
      </c>
      <c r="C8" s="23">
        <v>0</v>
      </c>
      <c r="D8" s="23">
        <f>Depreciación!$I$3</f>
        <v>2500000</v>
      </c>
      <c r="E8" s="23">
        <f>Depreciación!$I$3</f>
        <v>2500000</v>
      </c>
      <c r="F8" s="23">
        <f>Depreciación!$I$3</f>
        <v>2500000</v>
      </c>
      <c r="G8" s="23">
        <f>Depreciación!$I$3</f>
        <v>2500000</v>
      </c>
      <c r="H8" s="23">
        <f>Depreciación!$I$3</f>
        <v>2500000</v>
      </c>
      <c r="I8" s="23">
        <f>Depreciación!$I$3</f>
        <v>2500000</v>
      </c>
      <c r="J8" s="23">
        <f>Depreciación!$I$3</f>
        <v>2500000</v>
      </c>
      <c r="K8" s="23">
        <f>Depreciación!$I$3</f>
        <v>2500000</v>
      </c>
      <c r="L8" s="23">
        <f>Depreciación!$I$3</f>
        <v>2500000</v>
      </c>
      <c r="M8" s="23">
        <f>Depreciación!$I$3</f>
        <v>2500000</v>
      </c>
      <c r="N8" s="23">
        <f>Depreciación!$I$3</f>
        <v>2500000</v>
      </c>
      <c r="O8" s="24">
        <f>Depreciación!$I$3</f>
        <v>2500000</v>
      </c>
    </row>
    <row r="9" spans="2:15" x14ac:dyDescent="0.25">
      <c r="B9" s="20" t="s">
        <v>10</v>
      </c>
      <c r="C9" s="23">
        <f>-Amortización!C5</f>
        <v>-500000000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</row>
    <row r="10" spans="2:15" x14ac:dyDescent="0.25">
      <c r="B10" s="20" t="s">
        <v>11</v>
      </c>
      <c r="C10" s="25">
        <v>0</v>
      </c>
      <c r="D10" s="25">
        <f>-Amortización!$C$6</f>
        <v>-73381657.550143659</v>
      </c>
      <c r="E10" s="25">
        <f>-Amortización!$C$6</f>
        <v>-73381657.550143659</v>
      </c>
      <c r="F10" s="25">
        <f>-Amortización!$C$6</f>
        <v>-73381657.550143659</v>
      </c>
      <c r="G10" s="25">
        <f>-Amortización!$C$6</f>
        <v>-73381657.550143659</v>
      </c>
      <c r="H10" s="25">
        <f>-Amortización!$C$6</f>
        <v>-73381657.550143659</v>
      </c>
      <c r="I10" s="25">
        <f>-Amortización!$C$6</f>
        <v>-73381657.550143659</v>
      </c>
      <c r="J10" s="25">
        <f>-Amortización!$C$6</f>
        <v>-73381657.550143659</v>
      </c>
      <c r="K10" s="25">
        <f>-Amortización!$C$6</f>
        <v>-73381657.550143659</v>
      </c>
      <c r="L10" s="25">
        <f>-Amortización!$C$6</f>
        <v>-73381657.550143659</v>
      </c>
      <c r="M10" s="25">
        <f>-Amortización!$C$6</f>
        <v>-73381657.550143659</v>
      </c>
      <c r="N10" s="25">
        <f>-Amortización!$C$6</f>
        <v>-73381657.550143659</v>
      </c>
      <c r="O10" s="26">
        <f>-Amortización!$C$6</f>
        <v>-73381657.550143659</v>
      </c>
    </row>
    <row r="11" spans="2:15" x14ac:dyDescent="0.25">
      <c r="B11" s="52" t="s">
        <v>103</v>
      </c>
      <c r="C11" s="52">
        <f>SUM(C4:C10)</f>
        <v>-500000000</v>
      </c>
      <c r="D11" s="52">
        <f t="shared" ref="D11:O11" si="1">SUM(D4:D10)</f>
        <v>185195462.44985628</v>
      </c>
      <c r="E11" s="52">
        <f t="shared" si="1"/>
        <v>185195462.44985628</v>
      </c>
      <c r="F11" s="52">
        <f t="shared" si="1"/>
        <v>185195462.44985628</v>
      </c>
      <c r="G11" s="52">
        <f t="shared" si="1"/>
        <v>185195462.44985628</v>
      </c>
      <c r="H11" s="52">
        <f t="shared" si="1"/>
        <v>185195462.44985628</v>
      </c>
      <c r="I11" s="52">
        <f t="shared" si="1"/>
        <v>185195462.44985628</v>
      </c>
      <c r="J11" s="52">
        <f t="shared" si="1"/>
        <v>185195462.44985628</v>
      </c>
      <c r="K11" s="52">
        <f t="shared" si="1"/>
        <v>185195462.44985628</v>
      </c>
      <c r="L11" s="52">
        <f t="shared" si="1"/>
        <v>185195462.44985628</v>
      </c>
      <c r="M11" s="52">
        <f t="shared" si="1"/>
        <v>185195462.44985628</v>
      </c>
      <c r="N11" s="52">
        <f t="shared" si="1"/>
        <v>185195462.44985628</v>
      </c>
      <c r="O11" s="52">
        <f t="shared" si="1"/>
        <v>185195462.44985628</v>
      </c>
    </row>
    <row r="12" spans="2:15" x14ac:dyDescent="0.25">
      <c r="D12" s="3">
        <f>SUM($C$11:D11)</f>
        <v>-314804537.55014372</v>
      </c>
      <c r="E12" s="3">
        <f>SUM($C$11:E11)</f>
        <v>-129609075.10028744</v>
      </c>
      <c r="F12" s="3">
        <f>SUM($C$11:F11)</f>
        <v>55586387.349568844</v>
      </c>
      <c r="G12" s="3">
        <f>SUM($C$11:G11)</f>
        <v>240781849.79942513</v>
      </c>
      <c r="H12" s="3">
        <f>SUM($C$11:H11)</f>
        <v>425977312.24928141</v>
      </c>
      <c r="I12" s="3">
        <f>SUM($C$11:I11)</f>
        <v>611172774.69913769</v>
      </c>
      <c r="J12" s="3">
        <f>SUM($C$11:J11)</f>
        <v>796368237.14899397</v>
      </c>
      <c r="K12" s="3">
        <f>SUM($C$11:K11)</f>
        <v>981563699.59885025</v>
      </c>
      <c r="L12" s="3">
        <f>SUM($C$11:L11)</f>
        <v>1166759162.0487065</v>
      </c>
      <c r="M12" s="3">
        <f>SUM($C$11:M11)</f>
        <v>1351954624.4985628</v>
      </c>
      <c r="N12" s="3">
        <f>SUM($C$11:N11)</f>
        <v>1537150086.9484191</v>
      </c>
      <c r="O12" s="3">
        <f>SUM($C$11:O11)</f>
        <v>1722345549.3982754</v>
      </c>
    </row>
    <row r="14" spans="2:15" x14ac:dyDescent="0.25">
      <c r="B14" s="51" t="s">
        <v>20</v>
      </c>
      <c r="C14" s="29">
        <v>0.1</v>
      </c>
    </row>
    <row r="15" spans="2:15" x14ac:dyDescent="0.25">
      <c r="B15" s="51" t="s">
        <v>19</v>
      </c>
      <c r="C15" s="54">
        <f>C11+NPV(C14,D11:O11)</f>
        <v>761864808.13210821</v>
      </c>
    </row>
    <row r="16" spans="2:15" x14ac:dyDescent="0.25">
      <c r="B16" s="51" t="s">
        <v>21</v>
      </c>
      <c r="C16" s="29">
        <f>IRR(C11:O11)</f>
        <v>0.36124048317895152</v>
      </c>
    </row>
    <row r="17" spans="2:3" x14ac:dyDescent="0.25">
      <c r="B17" s="51" t="s">
        <v>104</v>
      </c>
      <c r="C17" s="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8174-0154-444D-B4C1-7AD2A9E5D777}">
  <dimension ref="B3:G7"/>
  <sheetViews>
    <sheetView workbookViewId="0">
      <selection activeCell="E18" sqref="E18"/>
    </sheetView>
  </sheetViews>
  <sheetFormatPr baseColWidth="10" defaultRowHeight="15" x14ac:dyDescent="0.25"/>
  <cols>
    <col min="1" max="1" width="11.42578125" style="1"/>
    <col min="2" max="2" width="19.28515625" style="1" bestFit="1" customWidth="1"/>
    <col min="3" max="4" width="11.42578125" style="1"/>
    <col min="5" max="5" width="21.28515625" style="1" bestFit="1" customWidth="1"/>
    <col min="6" max="16384" width="11.42578125" style="1"/>
  </cols>
  <sheetData>
    <row r="3" spans="2:7" x14ac:dyDescent="0.25">
      <c r="B3" s="57" t="s">
        <v>37</v>
      </c>
      <c r="C3" s="58"/>
      <c r="D3" s="10"/>
      <c r="E3" s="48" t="s">
        <v>38</v>
      </c>
      <c r="F3" s="11">
        <v>4000000</v>
      </c>
    </row>
    <row r="4" spans="2:7" x14ac:dyDescent="0.25">
      <c r="B4" s="49" t="s">
        <v>39</v>
      </c>
      <c r="C4" s="11">
        <f>Costos!E22</f>
        <v>26400000</v>
      </c>
      <c r="D4" s="10"/>
      <c r="E4" s="50" t="s">
        <v>62</v>
      </c>
      <c r="F4" s="11">
        <f>Costos!N4</f>
        <v>1713140.0000000002</v>
      </c>
    </row>
    <row r="5" spans="2:7" x14ac:dyDescent="0.25">
      <c r="B5" s="7" t="s">
        <v>40</v>
      </c>
      <c r="C5" s="11">
        <f>Costos!N3</f>
        <v>12200000</v>
      </c>
    </row>
    <row r="6" spans="2:7" x14ac:dyDescent="0.25">
      <c r="B6" s="7" t="s">
        <v>1</v>
      </c>
      <c r="C6" s="11">
        <f>Depreciación!I3</f>
        <v>2500000</v>
      </c>
      <c r="E6" s="55" t="s">
        <v>41</v>
      </c>
      <c r="F6" s="7" t="s">
        <v>42</v>
      </c>
      <c r="G6" s="7" t="s">
        <v>6</v>
      </c>
    </row>
    <row r="7" spans="2:7" x14ac:dyDescent="0.25">
      <c r="B7" s="8" t="s">
        <v>43</v>
      </c>
      <c r="C7" s="6">
        <f>SUM(C4:C6)</f>
        <v>41100000</v>
      </c>
      <c r="E7" s="56"/>
      <c r="F7" s="12">
        <f>ROUNDUP(C7/(F3-F4),0)</f>
        <v>18</v>
      </c>
      <c r="G7" s="6">
        <f>F7*F3</f>
        <v>72000000</v>
      </c>
    </row>
  </sheetData>
  <mergeCells count="2">
    <mergeCell ref="E6:E7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894D-D5EF-41EE-A0F4-95F6489BA048}">
  <dimension ref="B3:C17"/>
  <sheetViews>
    <sheetView workbookViewId="0">
      <selection activeCell="B8" sqref="B8"/>
    </sheetView>
  </sheetViews>
  <sheetFormatPr baseColWidth="10" defaultRowHeight="15" x14ac:dyDescent="0.25"/>
  <cols>
    <col min="1" max="1" width="11.42578125" style="1"/>
    <col min="2" max="2" width="54.5703125" style="1" bestFit="1" customWidth="1"/>
    <col min="3" max="16384" width="11.42578125" style="1"/>
  </cols>
  <sheetData>
    <row r="3" spans="2:3" x14ac:dyDescent="0.25">
      <c r="B3" s="59" t="s">
        <v>22</v>
      </c>
      <c r="C3" s="60"/>
    </row>
    <row r="4" spans="2:3" x14ac:dyDescent="0.25">
      <c r="B4" s="7" t="s">
        <v>23</v>
      </c>
      <c r="C4" s="6"/>
    </row>
    <row r="5" spans="2:3" x14ac:dyDescent="0.25">
      <c r="B5" s="7" t="s">
        <v>24</v>
      </c>
      <c r="C5" s="6"/>
    </row>
    <row r="6" spans="2:3" x14ac:dyDescent="0.25">
      <c r="B6" s="8" t="s">
        <v>25</v>
      </c>
      <c r="C6" s="43"/>
    </row>
    <row r="7" spans="2:3" x14ac:dyDescent="0.25">
      <c r="B7" s="7" t="s">
        <v>26</v>
      </c>
      <c r="C7" s="6"/>
    </row>
    <row r="8" spans="2:3" x14ac:dyDescent="0.25">
      <c r="B8" s="9" t="s">
        <v>27</v>
      </c>
      <c r="C8" s="44"/>
    </row>
    <row r="9" spans="2:3" x14ac:dyDescent="0.25">
      <c r="B9" s="7" t="s">
        <v>28</v>
      </c>
      <c r="C9" s="6"/>
    </row>
    <row r="10" spans="2:3" x14ac:dyDescent="0.25">
      <c r="B10" s="7" t="s">
        <v>29</v>
      </c>
      <c r="C10" s="6"/>
    </row>
    <row r="11" spans="2:3" x14ac:dyDescent="0.25">
      <c r="B11" s="8" t="s">
        <v>30</v>
      </c>
      <c r="C11" s="43"/>
    </row>
    <row r="12" spans="2:3" x14ac:dyDescent="0.25">
      <c r="B12" s="7" t="s">
        <v>31</v>
      </c>
      <c r="C12" s="6"/>
    </row>
    <row r="13" spans="2:3" x14ac:dyDescent="0.25">
      <c r="B13" s="8" t="s">
        <v>32</v>
      </c>
      <c r="C13" s="43"/>
    </row>
    <row r="14" spans="2:3" x14ac:dyDescent="0.25">
      <c r="B14" s="7" t="s">
        <v>33</v>
      </c>
      <c r="C14" s="6"/>
    </row>
    <row r="15" spans="2:3" x14ac:dyDescent="0.25">
      <c r="B15" s="8" t="s">
        <v>34</v>
      </c>
      <c r="C15" s="43"/>
    </row>
    <row r="16" spans="2:3" x14ac:dyDescent="0.25">
      <c r="B16" s="7" t="s">
        <v>35</v>
      </c>
      <c r="C16" s="6">
        <f>IF(C15&gt;0,C15*35%,0)</f>
        <v>0</v>
      </c>
    </row>
    <row r="17" spans="2:3" x14ac:dyDescent="0.25">
      <c r="B17" s="8" t="s">
        <v>36</v>
      </c>
      <c r="C17" s="43">
        <f>C15-C16</f>
        <v>0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6A6-347D-4916-95CD-B3E49F630AF4}">
  <dimension ref="B3:F21"/>
  <sheetViews>
    <sheetView workbookViewId="0">
      <selection activeCell="F22" sqref="F22"/>
    </sheetView>
  </sheetViews>
  <sheetFormatPr baseColWidth="10" defaultRowHeight="15" x14ac:dyDescent="0.25"/>
  <cols>
    <col min="1" max="2" width="11.42578125" style="1"/>
    <col min="3" max="3" width="14.140625" style="1" bestFit="1" customWidth="1"/>
    <col min="4" max="4" width="12.5703125" style="1" bestFit="1" customWidth="1"/>
    <col min="5" max="5" width="14.140625" style="1" bestFit="1" customWidth="1"/>
    <col min="6" max="6" width="12.5703125" style="1" bestFit="1" customWidth="1"/>
    <col min="7" max="16384" width="11.42578125" style="1"/>
  </cols>
  <sheetData>
    <row r="3" spans="2:6" x14ac:dyDescent="0.25">
      <c r="B3" s="45" t="s">
        <v>12</v>
      </c>
      <c r="C3" s="46">
        <v>0.1</v>
      </c>
    </row>
    <row r="4" spans="2:6" x14ac:dyDescent="0.25">
      <c r="B4" s="45" t="s">
        <v>13</v>
      </c>
      <c r="C4" s="7">
        <v>12</v>
      </c>
    </row>
    <row r="5" spans="2:6" x14ac:dyDescent="0.25">
      <c r="B5" s="45" t="s">
        <v>14</v>
      </c>
      <c r="C5" s="6">
        <v>500000000</v>
      </c>
    </row>
    <row r="6" spans="2:6" x14ac:dyDescent="0.25">
      <c r="B6" s="45" t="s">
        <v>15</v>
      </c>
      <c r="C6" s="6">
        <f>-PMT(C3,C4,C5,,0)</f>
        <v>73381657.550143659</v>
      </c>
    </row>
    <row r="8" spans="2:6" x14ac:dyDescent="0.25">
      <c r="B8" s="4" t="s">
        <v>13</v>
      </c>
      <c r="C8" s="4" t="s">
        <v>15</v>
      </c>
      <c r="D8" s="4" t="s">
        <v>16</v>
      </c>
      <c r="E8" s="4" t="s">
        <v>17</v>
      </c>
      <c r="F8" s="4" t="s">
        <v>18</v>
      </c>
    </row>
    <row r="9" spans="2:6" x14ac:dyDescent="0.25">
      <c r="B9" s="47">
        <v>0</v>
      </c>
      <c r="C9" s="6">
        <v>0</v>
      </c>
      <c r="D9" s="6">
        <v>0</v>
      </c>
      <c r="E9" s="6">
        <v>0</v>
      </c>
      <c r="F9" s="6">
        <f>C5</f>
        <v>500000000</v>
      </c>
    </row>
    <row r="10" spans="2:6" x14ac:dyDescent="0.25">
      <c r="B10" s="5">
        <v>1</v>
      </c>
      <c r="C10" s="6">
        <f>$C$6</f>
        <v>73381657.550143659</v>
      </c>
      <c r="D10" s="6">
        <f>F9*$C$3</f>
        <v>50000000</v>
      </c>
      <c r="E10" s="6">
        <f>C10-D10</f>
        <v>23381657.550143659</v>
      </c>
      <c r="F10" s="6">
        <f>F9-E10</f>
        <v>476618342.44985634</v>
      </c>
    </row>
    <row r="11" spans="2:6" x14ac:dyDescent="0.25">
      <c r="B11" s="5">
        <v>2</v>
      </c>
      <c r="C11" s="6">
        <f t="shared" ref="C11:C21" si="0">$C$6</f>
        <v>73381657.550143659</v>
      </c>
      <c r="D11" s="6">
        <f>F10*$C$3</f>
        <v>47661834.24498564</v>
      </c>
      <c r="E11" s="6">
        <f t="shared" ref="E11:E14" si="1">C11-D11</f>
        <v>25719823.305158019</v>
      </c>
      <c r="F11" s="6">
        <f t="shared" ref="F11:F14" si="2">F10-E11</f>
        <v>450898519.14469832</v>
      </c>
    </row>
    <row r="12" spans="2:6" x14ac:dyDescent="0.25">
      <c r="B12" s="5">
        <v>3</v>
      </c>
      <c r="C12" s="6">
        <f t="shared" si="0"/>
        <v>73381657.550143659</v>
      </c>
      <c r="D12" s="6">
        <f t="shared" ref="D12:D14" si="3">F11*$C$3</f>
        <v>45089851.914469838</v>
      </c>
      <c r="E12" s="6">
        <f t="shared" si="1"/>
        <v>28291805.635673821</v>
      </c>
      <c r="F12" s="6">
        <f t="shared" si="2"/>
        <v>422606713.5090245</v>
      </c>
    </row>
    <row r="13" spans="2:6" x14ac:dyDescent="0.25">
      <c r="B13" s="5">
        <v>4</v>
      </c>
      <c r="C13" s="6">
        <f t="shared" si="0"/>
        <v>73381657.550143659</v>
      </c>
      <c r="D13" s="6">
        <f t="shared" si="3"/>
        <v>42260671.350902453</v>
      </c>
      <c r="E13" s="6">
        <f t="shared" si="1"/>
        <v>31120986.199241206</v>
      </c>
      <c r="F13" s="6">
        <f t="shared" si="2"/>
        <v>391485727.30978328</v>
      </c>
    </row>
    <row r="14" spans="2:6" x14ac:dyDescent="0.25">
      <c r="B14" s="5">
        <v>5</v>
      </c>
      <c r="C14" s="6">
        <f t="shared" si="0"/>
        <v>73381657.550143659</v>
      </c>
      <c r="D14" s="6">
        <f t="shared" si="3"/>
        <v>39148572.730978332</v>
      </c>
      <c r="E14" s="6">
        <f t="shared" si="1"/>
        <v>34233084.819165327</v>
      </c>
      <c r="F14" s="6">
        <f t="shared" si="2"/>
        <v>357252642.49061793</v>
      </c>
    </row>
    <row r="15" spans="2:6" x14ac:dyDescent="0.25">
      <c r="B15" s="5">
        <v>6</v>
      </c>
      <c r="C15" s="6">
        <f t="shared" si="0"/>
        <v>73381657.550143659</v>
      </c>
      <c r="D15" s="6">
        <f t="shared" ref="D15:D21" si="4">F14*$C$3</f>
        <v>35725264.249061793</v>
      </c>
      <c r="E15" s="6">
        <f t="shared" ref="E15:E21" si="5">C15-D15</f>
        <v>37656393.301081866</v>
      </c>
      <c r="F15" s="6">
        <f t="shared" ref="F15:F20" si="6">F14-E15</f>
        <v>319596249.18953609</v>
      </c>
    </row>
    <row r="16" spans="2:6" x14ac:dyDescent="0.25">
      <c r="B16" s="5">
        <v>7</v>
      </c>
      <c r="C16" s="6">
        <f t="shared" si="0"/>
        <v>73381657.550143659</v>
      </c>
      <c r="D16" s="6">
        <f t="shared" si="4"/>
        <v>31959624.918953612</v>
      </c>
      <c r="E16" s="6">
        <f t="shared" si="5"/>
        <v>41422032.631190047</v>
      </c>
      <c r="F16" s="6">
        <f t="shared" si="6"/>
        <v>278174216.55834603</v>
      </c>
    </row>
    <row r="17" spans="2:6" x14ac:dyDescent="0.25">
      <c r="B17" s="5">
        <v>8</v>
      </c>
      <c r="C17" s="6">
        <f t="shared" si="0"/>
        <v>73381657.550143659</v>
      </c>
      <c r="D17" s="6">
        <f t="shared" si="4"/>
        <v>27817421.655834604</v>
      </c>
      <c r="E17" s="6">
        <f t="shared" si="5"/>
        <v>45564235.894309059</v>
      </c>
      <c r="F17" s="6">
        <f t="shared" si="6"/>
        <v>232609980.66403699</v>
      </c>
    </row>
    <row r="18" spans="2:6" x14ac:dyDescent="0.25">
      <c r="B18" s="5">
        <v>9</v>
      </c>
      <c r="C18" s="6">
        <f t="shared" si="0"/>
        <v>73381657.550143659</v>
      </c>
      <c r="D18" s="6">
        <f t="shared" si="4"/>
        <v>23260998.066403702</v>
      </c>
      <c r="E18" s="6">
        <f t="shared" si="5"/>
        <v>50120659.483739957</v>
      </c>
      <c r="F18" s="6">
        <f t="shared" si="6"/>
        <v>182489321.18029702</v>
      </c>
    </row>
    <row r="19" spans="2:6" x14ac:dyDescent="0.25">
      <c r="B19" s="5">
        <v>10</v>
      </c>
      <c r="C19" s="6">
        <f t="shared" si="0"/>
        <v>73381657.550143659</v>
      </c>
      <c r="D19" s="6">
        <f t="shared" si="4"/>
        <v>18248932.118029702</v>
      </c>
      <c r="E19" s="6">
        <f t="shared" si="5"/>
        <v>55132725.43211396</v>
      </c>
      <c r="F19" s="6">
        <f t="shared" si="6"/>
        <v>127356595.74818306</v>
      </c>
    </row>
    <row r="20" spans="2:6" x14ac:dyDescent="0.25">
      <c r="B20" s="5">
        <v>11</v>
      </c>
      <c r="C20" s="6">
        <f t="shared" si="0"/>
        <v>73381657.550143659</v>
      </c>
      <c r="D20" s="6">
        <f t="shared" si="4"/>
        <v>12735659.574818306</v>
      </c>
      <c r="E20" s="6">
        <f t="shared" si="5"/>
        <v>60645997.975325353</v>
      </c>
      <c r="F20" s="6">
        <f t="shared" si="6"/>
        <v>66710597.772857703</v>
      </c>
    </row>
    <row r="21" spans="2:6" x14ac:dyDescent="0.25">
      <c r="B21" s="5">
        <v>12</v>
      </c>
      <c r="C21" s="6">
        <f t="shared" si="0"/>
        <v>73381657.550143659</v>
      </c>
      <c r="D21" s="6">
        <f t="shared" si="4"/>
        <v>6671059.7772857705</v>
      </c>
      <c r="E21" s="6">
        <f t="shared" si="5"/>
        <v>66710597.77285789</v>
      </c>
      <c r="F21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388E-11B5-455A-8CAC-B05512D4BEE3}">
  <dimension ref="B2:I5"/>
  <sheetViews>
    <sheetView workbookViewId="0">
      <selection activeCell="J5" sqref="J5"/>
    </sheetView>
  </sheetViews>
  <sheetFormatPr baseColWidth="10" defaultRowHeight="15" x14ac:dyDescent="0.25"/>
  <cols>
    <col min="2" max="2" width="11.42578125" style="1"/>
    <col min="3" max="3" width="12.5703125" style="1" bestFit="1" customWidth="1"/>
    <col min="4" max="4" width="11.42578125" style="1"/>
    <col min="5" max="5" width="12.5703125" style="1" bestFit="1" customWidth="1"/>
    <col min="6" max="6" width="20.7109375" style="1" bestFit="1" customWidth="1"/>
    <col min="8" max="8" width="12.5703125" bestFit="1" customWidth="1"/>
    <col min="9" max="9" width="13.140625" bestFit="1" customWidth="1"/>
  </cols>
  <sheetData>
    <row r="2" spans="2:9" x14ac:dyDescent="0.25">
      <c r="B2" s="20" t="s">
        <v>2</v>
      </c>
      <c r="C2" s="20" t="s">
        <v>6</v>
      </c>
      <c r="D2" s="20" t="s">
        <v>5</v>
      </c>
      <c r="E2" s="20" t="s">
        <v>4</v>
      </c>
      <c r="F2" s="20" t="s">
        <v>3</v>
      </c>
    </row>
    <row r="3" spans="2:9" x14ac:dyDescent="0.25">
      <c r="B3" s="1" t="s">
        <v>0</v>
      </c>
      <c r="C3" s="3">
        <v>100000000</v>
      </c>
      <c r="D3" s="1">
        <v>0</v>
      </c>
      <c r="E3" s="1">
        <f>12*10</f>
        <v>120</v>
      </c>
      <c r="F3" s="2">
        <f>SLN(C3,D3,E3)</f>
        <v>833333.33333333337</v>
      </c>
      <c r="H3" s="42" t="s">
        <v>1</v>
      </c>
      <c r="I3" s="41">
        <f>SUM(F3:F12)</f>
        <v>2500000</v>
      </c>
    </row>
    <row r="4" spans="2:9" x14ac:dyDescent="0.25">
      <c r="B4" s="1" t="s">
        <v>0</v>
      </c>
      <c r="C4" s="3">
        <v>100000000</v>
      </c>
      <c r="D4" s="1">
        <v>0</v>
      </c>
      <c r="E4" s="1">
        <f t="shared" ref="E4:E5" si="0">12*10</f>
        <v>120</v>
      </c>
      <c r="F4" s="2">
        <f t="shared" ref="F4:F5" si="1">SLN(C4,D4,E4)</f>
        <v>833333.33333333337</v>
      </c>
    </row>
    <row r="5" spans="2:9" x14ac:dyDescent="0.25">
      <c r="B5" s="1" t="s">
        <v>0</v>
      </c>
      <c r="C5" s="3">
        <v>100000000</v>
      </c>
      <c r="D5" s="1">
        <v>0</v>
      </c>
      <c r="E5" s="1">
        <f t="shared" si="0"/>
        <v>120</v>
      </c>
      <c r="F5" s="2">
        <f t="shared" si="1"/>
        <v>833333.33333333337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BE37-981E-4626-AA2E-8385719DCC35}">
  <dimension ref="C3:D8"/>
  <sheetViews>
    <sheetView workbookViewId="0">
      <selection activeCell="E8" sqref="E8"/>
    </sheetView>
  </sheetViews>
  <sheetFormatPr baseColWidth="10" defaultRowHeight="15" x14ac:dyDescent="0.25"/>
  <cols>
    <col min="3" max="3" width="18.85546875" bestFit="1" customWidth="1"/>
    <col min="4" max="4" width="12.5703125" bestFit="1" customWidth="1"/>
  </cols>
  <sheetData>
    <row r="3" spans="3:4" x14ac:dyDescent="0.25">
      <c r="C3" s="20" t="s">
        <v>66</v>
      </c>
      <c r="D3" s="29">
        <v>0.8</v>
      </c>
    </row>
    <row r="4" spans="3:4" x14ac:dyDescent="0.25">
      <c r="C4" s="20" t="s">
        <v>67</v>
      </c>
      <c r="D4" s="17">
        <v>4</v>
      </c>
    </row>
    <row r="5" spans="3:4" x14ac:dyDescent="0.25">
      <c r="C5" s="20" t="s">
        <v>68</v>
      </c>
      <c r="D5" s="30">
        <v>4000000</v>
      </c>
    </row>
    <row r="6" spans="3:4" x14ac:dyDescent="0.25">
      <c r="C6" s="20" t="s">
        <v>70</v>
      </c>
      <c r="D6" s="17">
        <v>24</v>
      </c>
    </row>
    <row r="7" spans="3:4" x14ac:dyDescent="0.25">
      <c r="C7" s="20" t="s">
        <v>91</v>
      </c>
      <c r="D7" s="17">
        <f>D6*D4</f>
        <v>96</v>
      </c>
    </row>
    <row r="8" spans="3:4" x14ac:dyDescent="0.25">
      <c r="C8" s="20" t="s">
        <v>69</v>
      </c>
      <c r="D8" s="30">
        <f>D3*D4*D5*D6</f>
        <v>307200000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A5B1-8DBD-4802-A968-6F15DB984F47}">
  <dimension ref="B2:N31"/>
  <sheetViews>
    <sheetView tabSelected="1" workbookViewId="0">
      <selection activeCell="B11" sqref="B11"/>
    </sheetView>
  </sheetViews>
  <sheetFormatPr baseColWidth="10" defaultRowHeight="15" x14ac:dyDescent="0.25"/>
  <cols>
    <col min="2" max="2" width="12" style="1" bestFit="1" customWidth="1"/>
    <col min="3" max="3" width="13.140625" style="1" bestFit="1" customWidth="1"/>
    <col min="4" max="4" width="22.5703125" style="1" bestFit="1" customWidth="1"/>
    <col min="5" max="6" width="13" style="1" bestFit="1" customWidth="1"/>
    <col min="7" max="7" width="18.140625" style="1" bestFit="1" customWidth="1"/>
    <col min="8" max="8" width="20.140625" style="1" bestFit="1" customWidth="1"/>
    <col min="9" max="9" width="10.42578125" style="1" bestFit="1" customWidth="1"/>
    <col min="10" max="11" width="11.42578125" style="1"/>
    <col min="13" max="13" width="20" bestFit="1" customWidth="1"/>
    <col min="14" max="14" width="12.5703125" bestFit="1" customWidth="1"/>
  </cols>
  <sheetData>
    <row r="2" spans="2:14" x14ac:dyDescent="0.25">
      <c r="B2" s="61" t="s">
        <v>55</v>
      </c>
      <c r="C2" s="61"/>
      <c r="D2" s="61"/>
      <c r="G2" s="61" t="s">
        <v>62</v>
      </c>
      <c r="H2" s="61"/>
      <c r="I2" s="61"/>
      <c r="J2" s="61"/>
      <c r="K2" s="61"/>
    </row>
    <row r="3" spans="2:14" x14ac:dyDescent="0.25">
      <c r="B3" s="20" t="s">
        <v>58</v>
      </c>
      <c r="C3" s="20" t="s">
        <v>59</v>
      </c>
      <c r="D3" s="20" t="s">
        <v>6</v>
      </c>
      <c r="G3" s="20" t="s">
        <v>63</v>
      </c>
      <c r="H3" s="20" t="s">
        <v>71</v>
      </c>
      <c r="I3" s="20" t="s">
        <v>6</v>
      </c>
      <c r="J3" s="20" t="s">
        <v>42</v>
      </c>
      <c r="K3" s="20" t="s">
        <v>64</v>
      </c>
      <c r="M3" s="20" t="s">
        <v>37</v>
      </c>
      <c r="N3" s="30">
        <f>SUM(D4:D6)+SUM(D10:D11)+SUM(D15:D16)</f>
        <v>12200000</v>
      </c>
    </row>
    <row r="4" spans="2:14" x14ac:dyDescent="0.25">
      <c r="B4" s="1" t="s">
        <v>52</v>
      </c>
      <c r="C4" s="3" t="s">
        <v>60</v>
      </c>
      <c r="D4" s="3">
        <v>7200000</v>
      </c>
      <c r="E4" s="1" t="s">
        <v>61</v>
      </c>
      <c r="G4" s="31" t="s">
        <v>65</v>
      </c>
      <c r="H4" s="32" t="s">
        <v>72</v>
      </c>
      <c r="I4" s="33">
        <v>77000</v>
      </c>
      <c r="J4" s="32">
        <v>1</v>
      </c>
      <c r="K4" s="34">
        <f>I4*J4</f>
        <v>77000</v>
      </c>
      <c r="M4" s="20" t="s">
        <v>62</v>
      </c>
      <c r="N4" s="30">
        <f>SUM(K4:K35)*(1.1)</f>
        <v>1713140.0000000002</v>
      </c>
    </row>
    <row r="5" spans="2:14" x14ac:dyDescent="0.25">
      <c r="B5" s="1" t="s">
        <v>105</v>
      </c>
      <c r="C5" s="3" t="s">
        <v>60</v>
      </c>
      <c r="D5" s="3">
        <v>5000000</v>
      </c>
      <c r="G5" s="35" t="s">
        <v>73</v>
      </c>
      <c r="H5" s="36" t="s">
        <v>92</v>
      </c>
      <c r="I5" s="23">
        <v>432000</v>
      </c>
      <c r="J5" s="36">
        <v>1</v>
      </c>
      <c r="K5" s="24">
        <f t="shared" ref="K5:K26" si="0">I5*J5</f>
        <v>432000</v>
      </c>
      <c r="M5" s="20" t="s">
        <v>8</v>
      </c>
      <c r="N5" s="30">
        <f>N4*Ingresos!D7</f>
        <v>164461440.00000003</v>
      </c>
    </row>
    <row r="6" spans="2:14" x14ac:dyDescent="0.25">
      <c r="C6" s="3"/>
      <c r="D6" s="3"/>
      <c r="G6" s="35" t="s">
        <v>94</v>
      </c>
      <c r="H6" s="36" t="s">
        <v>93</v>
      </c>
      <c r="I6" s="23">
        <v>130000</v>
      </c>
      <c r="J6" s="36">
        <v>1</v>
      </c>
      <c r="K6" s="24">
        <f t="shared" si="0"/>
        <v>130000</v>
      </c>
    </row>
    <row r="7" spans="2:14" x14ac:dyDescent="0.25">
      <c r="C7" s="3"/>
      <c r="D7" s="3"/>
      <c r="G7" s="35" t="s">
        <v>74</v>
      </c>
      <c r="H7" s="36" t="s">
        <v>95</v>
      </c>
      <c r="I7" s="23">
        <v>312000</v>
      </c>
      <c r="J7" s="36">
        <v>1</v>
      </c>
      <c r="K7" s="24">
        <f t="shared" si="0"/>
        <v>312000</v>
      </c>
    </row>
    <row r="8" spans="2:14" x14ac:dyDescent="0.25">
      <c r="B8" s="61" t="s">
        <v>56</v>
      </c>
      <c r="C8" s="61"/>
      <c r="D8" s="61"/>
      <c r="G8" s="35" t="s">
        <v>97</v>
      </c>
      <c r="H8" s="36" t="s">
        <v>96</v>
      </c>
      <c r="I8" s="23">
        <v>112000</v>
      </c>
      <c r="J8" s="36">
        <v>1</v>
      </c>
      <c r="K8" s="24">
        <f t="shared" si="0"/>
        <v>112000</v>
      </c>
    </row>
    <row r="9" spans="2:14" x14ac:dyDescent="0.25">
      <c r="B9" s="20" t="s">
        <v>58</v>
      </c>
      <c r="C9" s="20" t="s">
        <v>59</v>
      </c>
      <c r="D9" s="20" t="s">
        <v>6</v>
      </c>
      <c r="G9" s="35" t="s">
        <v>75</v>
      </c>
      <c r="H9" s="36"/>
      <c r="I9" s="37"/>
      <c r="J9" s="36"/>
      <c r="K9" s="24">
        <f t="shared" si="0"/>
        <v>0</v>
      </c>
    </row>
    <row r="10" spans="2:14" x14ac:dyDescent="0.25">
      <c r="B10" s="62" t="s">
        <v>106</v>
      </c>
      <c r="C10" s="21"/>
      <c r="D10" s="21"/>
      <c r="G10" s="35" t="s">
        <v>76</v>
      </c>
      <c r="H10" s="36"/>
      <c r="I10" s="37">
        <v>15000</v>
      </c>
      <c r="J10" s="36">
        <v>2</v>
      </c>
      <c r="K10" s="24">
        <f t="shared" si="0"/>
        <v>30000</v>
      </c>
    </row>
    <row r="11" spans="2:14" x14ac:dyDescent="0.25">
      <c r="B11" s="62" t="s">
        <v>107</v>
      </c>
      <c r="C11" s="21"/>
      <c r="D11" s="21"/>
      <c r="G11" s="35" t="s">
        <v>77</v>
      </c>
      <c r="H11" s="36"/>
      <c r="I11" s="37">
        <v>60800</v>
      </c>
      <c r="J11" s="36">
        <v>2</v>
      </c>
      <c r="K11" s="24">
        <f t="shared" si="0"/>
        <v>121600</v>
      </c>
    </row>
    <row r="12" spans="2:14" x14ac:dyDescent="0.25">
      <c r="G12" s="35" t="s">
        <v>78</v>
      </c>
      <c r="H12" s="36"/>
      <c r="I12" s="37">
        <v>30000</v>
      </c>
      <c r="J12" s="36">
        <v>2</v>
      </c>
      <c r="K12" s="24">
        <f t="shared" si="0"/>
        <v>60000</v>
      </c>
    </row>
    <row r="13" spans="2:14" x14ac:dyDescent="0.25">
      <c r="B13" s="61" t="s">
        <v>57</v>
      </c>
      <c r="C13" s="61"/>
      <c r="D13" s="61"/>
      <c r="G13" s="35" t="s">
        <v>79</v>
      </c>
      <c r="H13" s="36"/>
      <c r="I13" s="37">
        <v>10000</v>
      </c>
      <c r="J13" s="36">
        <v>1</v>
      </c>
      <c r="K13" s="24">
        <f t="shared" si="0"/>
        <v>10000</v>
      </c>
    </row>
    <row r="14" spans="2:14" x14ac:dyDescent="0.25">
      <c r="B14" s="20" t="s">
        <v>58</v>
      </c>
      <c r="C14" s="20" t="s">
        <v>59</v>
      </c>
      <c r="D14" s="20" t="s">
        <v>6</v>
      </c>
      <c r="G14" s="35" t="s">
        <v>80</v>
      </c>
      <c r="H14" s="36"/>
      <c r="I14" s="37">
        <v>10800</v>
      </c>
      <c r="J14" s="36">
        <v>1</v>
      </c>
      <c r="K14" s="24">
        <f t="shared" si="0"/>
        <v>10800</v>
      </c>
    </row>
    <row r="15" spans="2:14" x14ac:dyDescent="0.25">
      <c r="B15" s="21"/>
      <c r="C15" s="21"/>
      <c r="D15" s="21"/>
      <c r="G15" s="35" t="s">
        <v>81</v>
      </c>
      <c r="H15" s="36" t="s">
        <v>98</v>
      </c>
      <c r="I15" s="37">
        <v>70000</v>
      </c>
      <c r="J15" s="36">
        <v>1</v>
      </c>
      <c r="K15" s="24">
        <f t="shared" si="0"/>
        <v>70000</v>
      </c>
    </row>
    <row r="16" spans="2:14" x14ac:dyDescent="0.25">
      <c r="G16" s="35" t="s">
        <v>82</v>
      </c>
      <c r="H16" s="36"/>
      <c r="I16" s="37"/>
      <c r="J16" s="36"/>
      <c r="K16" s="24">
        <f t="shared" si="0"/>
        <v>0</v>
      </c>
    </row>
    <row r="17" spans="2:11" x14ac:dyDescent="0.25">
      <c r="G17" s="35" t="s">
        <v>83</v>
      </c>
      <c r="H17" s="36"/>
      <c r="I17" s="37"/>
      <c r="J17" s="36"/>
      <c r="K17" s="24">
        <f t="shared" si="0"/>
        <v>0</v>
      </c>
    </row>
    <row r="18" spans="2:11" x14ac:dyDescent="0.25">
      <c r="B18" s="61" t="s">
        <v>54</v>
      </c>
      <c r="C18" s="61"/>
      <c r="D18" s="61"/>
      <c r="E18" s="61"/>
      <c r="G18" s="35" t="s">
        <v>84</v>
      </c>
      <c r="H18" s="36"/>
      <c r="I18" s="37"/>
      <c r="J18" s="36"/>
      <c r="K18" s="24">
        <f t="shared" si="0"/>
        <v>0</v>
      </c>
    </row>
    <row r="19" spans="2:11" x14ac:dyDescent="0.25">
      <c r="B19" s="19" t="s">
        <v>45</v>
      </c>
      <c r="C19" s="19" t="s">
        <v>46</v>
      </c>
      <c r="D19" s="20" t="s">
        <v>48</v>
      </c>
      <c r="E19" s="17">
        <v>0.6</v>
      </c>
      <c r="G19" s="35" t="s">
        <v>85</v>
      </c>
      <c r="H19" s="36" t="s">
        <v>99</v>
      </c>
      <c r="I19" s="37">
        <v>27000</v>
      </c>
      <c r="J19" s="36">
        <v>1</v>
      </c>
      <c r="K19" s="24">
        <f t="shared" si="0"/>
        <v>27000</v>
      </c>
    </row>
    <row r="20" spans="2:11" x14ac:dyDescent="0.25">
      <c r="B20" s="20" t="s">
        <v>44</v>
      </c>
      <c r="C20" s="16">
        <v>3500000</v>
      </c>
      <c r="D20" s="15" t="s">
        <v>50</v>
      </c>
      <c r="E20" s="18">
        <f>SUM(C20:C25)*E19</f>
        <v>9900000</v>
      </c>
      <c r="G20" s="35" t="s">
        <v>86</v>
      </c>
      <c r="H20" s="36"/>
      <c r="I20" s="37"/>
      <c r="J20" s="36"/>
      <c r="K20" s="24">
        <f t="shared" si="0"/>
        <v>0</v>
      </c>
    </row>
    <row r="21" spans="2:11" x14ac:dyDescent="0.25">
      <c r="B21" s="20" t="s">
        <v>47</v>
      </c>
      <c r="C21" s="16">
        <v>3000000</v>
      </c>
      <c r="D21" s="14"/>
      <c r="G21" s="35" t="s">
        <v>87</v>
      </c>
      <c r="H21" s="36" t="s">
        <v>100</v>
      </c>
      <c r="I21" s="37">
        <v>53000</v>
      </c>
      <c r="J21" s="36">
        <v>1</v>
      </c>
      <c r="K21" s="24">
        <f t="shared" si="0"/>
        <v>53000</v>
      </c>
    </row>
    <row r="22" spans="2:11" x14ac:dyDescent="0.25">
      <c r="B22" s="20" t="s">
        <v>47</v>
      </c>
      <c r="C22" s="16">
        <v>3000000</v>
      </c>
      <c r="D22" s="15" t="s">
        <v>49</v>
      </c>
      <c r="E22" s="18">
        <f>SUM(C20:C25)+E20</f>
        <v>26400000</v>
      </c>
      <c r="G22" s="35" t="s">
        <v>88</v>
      </c>
      <c r="H22" s="36"/>
      <c r="I22" s="37">
        <v>35000</v>
      </c>
      <c r="J22" s="36">
        <v>1</v>
      </c>
      <c r="K22" s="24">
        <f t="shared" si="0"/>
        <v>35000</v>
      </c>
    </row>
    <row r="23" spans="2:11" x14ac:dyDescent="0.25">
      <c r="B23" s="20" t="s">
        <v>47</v>
      </c>
      <c r="C23" s="16">
        <v>3000000</v>
      </c>
      <c r="G23" s="35" t="s">
        <v>89</v>
      </c>
      <c r="H23" s="36"/>
      <c r="I23" s="37"/>
      <c r="J23" s="36"/>
      <c r="K23" s="24">
        <f t="shared" si="0"/>
        <v>0</v>
      </c>
    </row>
    <row r="24" spans="2:11" x14ac:dyDescent="0.25">
      <c r="B24" s="20" t="s">
        <v>47</v>
      </c>
      <c r="C24" s="16">
        <v>3000000</v>
      </c>
      <c r="G24" s="35" t="s">
        <v>90</v>
      </c>
      <c r="H24" s="36"/>
      <c r="I24" s="37"/>
      <c r="J24" s="36"/>
      <c r="K24" s="24">
        <f t="shared" si="0"/>
        <v>0</v>
      </c>
    </row>
    <row r="25" spans="2:11" x14ac:dyDescent="0.25">
      <c r="B25" s="20" t="s">
        <v>53</v>
      </c>
      <c r="C25" s="16">
        <v>1000000</v>
      </c>
      <c r="G25" s="35"/>
      <c r="H25" s="36"/>
      <c r="I25" s="37"/>
      <c r="J25" s="36"/>
      <c r="K25" s="24"/>
    </row>
    <row r="26" spans="2:11" x14ac:dyDescent="0.25">
      <c r="G26" s="38" t="s">
        <v>101</v>
      </c>
      <c r="H26" s="39" t="s">
        <v>102</v>
      </c>
      <c r="I26" s="40">
        <v>7700</v>
      </c>
      <c r="J26" s="39">
        <v>10</v>
      </c>
      <c r="K26" s="26">
        <f t="shared" si="0"/>
        <v>77000</v>
      </c>
    </row>
    <row r="27" spans="2:11" x14ac:dyDescent="0.25">
      <c r="I27" s="13"/>
      <c r="K27" s="3"/>
    </row>
    <row r="28" spans="2:11" x14ac:dyDescent="0.25">
      <c r="I28" s="13"/>
      <c r="K28" s="3"/>
    </row>
    <row r="29" spans="2:11" x14ac:dyDescent="0.25">
      <c r="I29" s="13"/>
      <c r="K29" s="3"/>
    </row>
    <row r="30" spans="2:11" x14ac:dyDescent="0.25">
      <c r="I30" s="13"/>
      <c r="K30" s="3"/>
    </row>
    <row r="31" spans="2:11" x14ac:dyDescent="0.25">
      <c r="I31" s="13"/>
      <c r="K31" s="3"/>
    </row>
  </sheetData>
  <mergeCells count="5">
    <mergeCell ref="G2:K2"/>
    <mergeCell ref="B18:E18"/>
    <mergeCell ref="B2:D2"/>
    <mergeCell ref="B8:D8"/>
    <mergeCell ref="B13:D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Flujo de fondos</vt:lpstr>
      <vt:lpstr>Punto de equilibro</vt:lpstr>
      <vt:lpstr>Estado de resultados</vt:lpstr>
      <vt:lpstr>Amortización</vt:lpstr>
      <vt:lpstr>Depreciación</vt:lpstr>
      <vt:lpstr>Ingresos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Chaves Ladino</dc:creator>
  <cp:lastModifiedBy>Alvaro Chaves Ladino</cp:lastModifiedBy>
  <dcterms:created xsi:type="dcterms:W3CDTF">2021-04-25T18:49:42Z</dcterms:created>
  <dcterms:modified xsi:type="dcterms:W3CDTF">2021-04-26T22:24:38Z</dcterms:modified>
</cp:coreProperties>
</file>