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sers\Usuario\Desktop\"/>
    </mc:Choice>
  </mc:AlternateContent>
  <xr:revisionPtr revIDLastSave="0" documentId="13_ncr:1_{F8459DA3-8AFF-41AB-8D44-A177C1392B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lance General" sheetId="1" r:id="rId1"/>
    <sheet name="VPN, TIR y Payback" sheetId="4" r:id="rId2"/>
    <sheet name="Software y Hardware" sheetId="7" r:id="rId3"/>
    <sheet name="Cálculo Importaciones" sheetId="3" r:id="rId4"/>
    <sheet name="Acondicionamiento del Lugar" sheetId="5" r:id="rId5"/>
    <sheet name="Cálculo Servicio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K4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5" i="4"/>
  <c r="C19" i="7"/>
  <c r="H114" i="1"/>
  <c r="H115" i="1"/>
  <c r="H113" i="1"/>
  <c r="C107" i="1"/>
  <c r="C108" i="1"/>
  <c r="C106" i="1"/>
  <c r="I72" i="1"/>
  <c r="I71" i="1"/>
  <c r="H100" i="1"/>
  <c r="H101" i="1"/>
  <c r="H91" i="1"/>
  <c r="C18" i="7"/>
  <c r="E20" i="7" s="1"/>
  <c r="H21" i="1" s="1"/>
  <c r="E26" i="7"/>
  <c r="E27" i="7"/>
  <c r="E28" i="7"/>
  <c r="E29" i="7"/>
  <c r="E25" i="7"/>
  <c r="C96" i="1"/>
  <c r="I60" i="1"/>
  <c r="J60" i="1" s="1"/>
  <c r="D56" i="1"/>
  <c r="I59" i="1"/>
  <c r="J59" i="1" s="1"/>
  <c r="D55" i="1"/>
  <c r="E55" i="1" s="1"/>
  <c r="I58" i="1"/>
  <c r="D54" i="1"/>
  <c r="E54" i="1" s="1"/>
  <c r="D4" i="3"/>
  <c r="E92" i="1"/>
  <c r="E91" i="1"/>
  <c r="I65" i="1"/>
  <c r="J65" i="1" s="1"/>
  <c r="I64" i="1"/>
  <c r="J64" i="1" s="1"/>
  <c r="D60" i="1"/>
  <c r="E60" i="1" s="1"/>
  <c r="I67" i="1"/>
  <c r="I66" i="1"/>
  <c r="D23" i="3"/>
  <c r="H33" i="1" s="1"/>
  <c r="D26" i="3"/>
  <c r="H34" i="1" s="1"/>
  <c r="G10" i="3"/>
  <c r="D5" i="3"/>
  <c r="C28" i="1"/>
  <c r="D88" i="1"/>
  <c r="I101" i="1"/>
  <c r="C23" i="1"/>
  <c r="H23" i="1"/>
  <c r="E12" i="5"/>
  <c r="E4" i="5"/>
  <c r="E6" i="5"/>
  <c r="H22" i="1"/>
  <c r="H86" i="1"/>
  <c r="J86" i="1" s="1"/>
  <c r="E82" i="1"/>
  <c r="E11" i="5"/>
  <c r="E8" i="5"/>
  <c r="E9" i="5"/>
  <c r="E7" i="5"/>
  <c r="E5" i="5"/>
  <c r="E14" i="7"/>
  <c r="E13" i="7"/>
  <c r="I92" i="1"/>
  <c r="H92" i="1"/>
  <c r="I91" i="1"/>
  <c r="I93" i="1" s="1"/>
  <c r="D87" i="1"/>
  <c r="D89" i="1" s="1"/>
  <c r="H45" i="1"/>
  <c r="D20" i="3"/>
  <c r="D19" i="3"/>
  <c r="D17" i="3"/>
  <c r="D14" i="3"/>
  <c r="D11" i="3"/>
  <c r="D8" i="3"/>
  <c r="D30" i="2"/>
  <c r="D29" i="2"/>
  <c r="D28" i="2"/>
  <c r="H27" i="2"/>
  <c r="C27" i="2" s="1"/>
  <c r="D27" i="2" s="1"/>
  <c r="C26" i="2"/>
  <c r="D26" i="2" s="1"/>
  <c r="C31" i="2" s="1"/>
  <c r="C33" i="2" s="1"/>
  <c r="C11" i="1" s="1"/>
  <c r="D25" i="2"/>
  <c r="D24" i="2"/>
  <c r="D23" i="2"/>
  <c r="D22" i="2"/>
  <c r="D21" i="2"/>
  <c r="D20" i="2"/>
  <c r="D15" i="2"/>
  <c r="D8" i="2"/>
  <c r="D7" i="2"/>
  <c r="C7" i="2"/>
  <c r="C8" i="2" s="1"/>
  <c r="C10" i="1" s="1"/>
  <c r="J85" i="1"/>
  <c r="J84" i="1"/>
  <c r="E81" i="1"/>
  <c r="E80" i="1"/>
  <c r="D73" i="1"/>
  <c r="E73" i="1" s="1"/>
  <c r="D72" i="1"/>
  <c r="E72" i="1" s="1"/>
  <c r="D71" i="1"/>
  <c r="E71" i="1" s="1"/>
  <c r="H70" i="1"/>
  <c r="I76" i="1" s="1"/>
  <c r="J76" i="1" s="1"/>
  <c r="D70" i="1"/>
  <c r="E70" i="1" s="1"/>
  <c r="D69" i="1"/>
  <c r="E69" i="1" s="1"/>
  <c r="D68" i="1"/>
  <c r="E68" i="1" s="1"/>
  <c r="D67" i="1"/>
  <c r="E67" i="1" s="1"/>
  <c r="C66" i="1"/>
  <c r="D98" i="1" s="1"/>
  <c r="H63" i="1"/>
  <c r="D61" i="1"/>
  <c r="E61" i="1" s="1"/>
  <c r="C59" i="1"/>
  <c r="D97" i="1" s="1"/>
  <c r="J58" i="1"/>
  <c r="I57" i="1"/>
  <c r="J57" i="1" s="1"/>
  <c r="E56" i="1"/>
  <c r="H55" i="1"/>
  <c r="I100" i="1" s="1"/>
  <c r="D53" i="1"/>
  <c r="E53" i="1" s="1"/>
  <c r="C51" i="1"/>
  <c r="D96" i="1" s="1"/>
  <c r="J44" i="1"/>
  <c r="J43" i="1"/>
  <c r="J41" i="1"/>
  <c r="J40" i="1"/>
  <c r="E40" i="1"/>
  <c r="J38" i="1"/>
  <c r="E38" i="1"/>
  <c r="H36" i="1"/>
  <c r="E36" i="1"/>
  <c r="E35" i="1"/>
  <c r="E34" i="1"/>
  <c r="C32" i="1"/>
  <c r="H31" i="1"/>
  <c r="H29" i="1"/>
  <c r="H28" i="1"/>
  <c r="C27" i="1"/>
  <c r="C26" i="1"/>
  <c r="H20" i="1"/>
  <c r="H12" i="1"/>
  <c r="C12" i="1"/>
  <c r="H10" i="1"/>
  <c r="C32" i="2" l="1"/>
  <c r="C34" i="2" s="1"/>
  <c r="H11" i="1" s="1"/>
  <c r="I102" i="1"/>
  <c r="E45" i="1"/>
  <c r="J50" i="1"/>
  <c r="J87" i="1"/>
  <c r="E83" i="1"/>
  <c r="J92" i="1"/>
  <c r="D90" i="1"/>
  <c r="E90" i="1" s="1"/>
  <c r="E89" i="1"/>
  <c r="E87" i="1"/>
  <c r="E88" i="1"/>
  <c r="J93" i="1"/>
  <c r="I94" i="1"/>
  <c r="J94" i="1" s="1"/>
  <c r="J91" i="1"/>
  <c r="I77" i="1"/>
  <c r="J77" i="1" s="1"/>
  <c r="D62" i="1"/>
  <c r="E62" i="1" s="1"/>
  <c r="I75" i="1"/>
  <c r="J75" i="1" s="1"/>
  <c r="J61" i="1"/>
  <c r="D63" i="1"/>
  <c r="E63" i="1" s="1"/>
  <c r="I74" i="1"/>
  <c r="J74" i="1" s="1"/>
  <c r="E44" i="1"/>
  <c r="H30" i="1"/>
  <c r="J49" i="1" s="1"/>
  <c r="E74" i="1"/>
  <c r="E75" i="1" s="1"/>
  <c r="E57" i="1"/>
  <c r="J66" i="1"/>
  <c r="J67" i="1"/>
  <c r="J71" i="1"/>
  <c r="J72" i="1"/>
  <c r="I73" i="1"/>
  <c r="J73" i="1" s="1"/>
  <c r="J95" i="1" l="1"/>
  <c r="J96" i="1" s="1"/>
  <c r="J107" i="1" s="1"/>
  <c r="J62" i="1"/>
  <c r="J100" i="1" s="1"/>
  <c r="C98" i="1"/>
  <c r="E98" i="1" s="1"/>
  <c r="E64" i="1"/>
  <c r="E65" i="1" s="1"/>
  <c r="J68" i="1"/>
  <c r="J78" i="1"/>
  <c r="E58" i="1"/>
  <c r="E76" i="1" l="1"/>
  <c r="E100" i="1" s="1"/>
  <c r="J79" i="1"/>
  <c r="J69" i="1"/>
  <c r="E96" i="1"/>
  <c r="E103" i="1"/>
  <c r="C97" i="1"/>
  <c r="E97" i="1" s="1"/>
  <c r="J80" i="1"/>
  <c r="J104" i="1" s="1"/>
  <c r="H102" i="1" l="1"/>
  <c r="J102" i="1" s="1"/>
  <c r="J101" i="1"/>
  <c r="E99" i="1"/>
  <c r="C18" i="1" s="1"/>
  <c r="J109" i="1"/>
  <c r="C4" i="4" s="1"/>
  <c r="D4" i="4" s="1"/>
  <c r="E4" i="4" s="1"/>
  <c r="K4" i="4" l="1"/>
  <c r="J103" i="1"/>
  <c r="H18" i="1" s="1"/>
  <c r="C14" i="1"/>
  <c r="E43" i="1" s="1"/>
  <c r="E101" i="1" s="1"/>
  <c r="H14" i="1"/>
  <c r="J48" i="1" s="1"/>
  <c r="J105" i="1" s="1"/>
  <c r="J5" i="4" l="1"/>
  <c r="K5" i="4" s="1"/>
  <c r="I6" i="4" s="1"/>
  <c r="J6" i="4" s="1"/>
  <c r="K6" i="4" s="1"/>
  <c r="J51" i="1"/>
  <c r="E46" i="1"/>
  <c r="I7" i="4" l="1"/>
  <c r="C5" i="4"/>
  <c r="J7" i="4" l="1"/>
  <c r="K7" i="4" s="1"/>
  <c r="D5" i="4"/>
  <c r="E5" i="4" s="1"/>
  <c r="C6" i="4"/>
  <c r="I8" i="4" l="1"/>
  <c r="C7" i="4"/>
  <c r="D7" i="4" s="1"/>
  <c r="D6" i="4"/>
  <c r="C12" i="4" s="1"/>
  <c r="J8" i="4" l="1"/>
  <c r="K8" i="4" s="1"/>
  <c r="D17" i="4"/>
  <c r="E6" i="4"/>
  <c r="E7" i="4" s="1"/>
  <c r="I9" i="4" l="1"/>
  <c r="J9" i="4" l="1"/>
  <c r="K9" i="4" s="1"/>
  <c r="I10" i="4" l="1"/>
  <c r="J10" i="4" l="1"/>
  <c r="K10" i="4" s="1"/>
  <c r="I11" i="4" l="1"/>
  <c r="J11" i="4" l="1"/>
  <c r="K11" i="4" s="1"/>
  <c r="I12" i="4" l="1"/>
  <c r="J12" i="4" l="1"/>
  <c r="K12" i="4" s="1"/>
  <c r="I13" i="4" l="1"/>
  <c r="J13" i="4" l="1"/>
  <c r="K13" i="4" s="1"/>
  <c r="I14" i="4" l="1"/>
  <c r="J14" i="4" l="1"/>
  <c r="K14" i="4" s="1"/>
  <c r="I15" i="4" l="1"/>
  <c r="J15" i="4" s="1"/>
  <c r="K15" i="4" s="1"/>
  <c r="I16" i="4" l="1"/>
  <c r="J16" i="4" s="1"/>
  <c r="K16" i="4" s="1"/>
  <c r="I17" i="4" l="1"/>
  <c r="J17" i="4" l="1"/>
  <c r="K17" i="4" s="1"/>
  <c r="I18" i="4" l="1"/>
  <c r="J18" i="4" l="1"/>
  <c r="K18" i="4" s="1"/>
  <c r="I19" i="4" l="1"/>
  <c r="J19" i="4" l="1"/>
  <c r="K19" i="4" s="1"/>
  <c r="I20" i="4" l="1"/>
  <c r="J20" i="4" s="1"/>
  <c r="K20" i="4" s="1"/>
  <c r="I21" i="4" l="1"/>
  <c r="J21" i="4" s="1"/>
  <c r="K21" i="4" s="1"/>
  <c r="I22" i="4" l="1"/>
  <c r="J22" i="4" l="1"/>
  <c r="K22" i="4" s="1"/>
  <c r="I23" i="4" l="1"/>
  <c r="J23" i="4" l="1"/>
  <c r="K23" i="4" s="1"/>
  <c r="I24" i="4" l="1"/>
  <c r="J24" i="4" s="1"/>
  <c r="K24" i="4" s="1"/>
  <c r="I25" i="4" l="1"/>
  <c r="J25" i="4" s="1"/>
  <c r="K25" i="4" s="1"/>
  <c r="I26" i="4" l="1"/>
  <c r="J26" i="4" l="1"/>
  <c r="K26" i="4" s="1"/>
  <c r="I27" i="4" l="1"/>
  <c r="J27" i="4" l="1"/>
  <c r="K27" i="4" s="1"/>
  <c r="I28" i="4" l="1"/>
  <c r="J28" i="4" s="1"/>
  <c r="K28" i="4" s="1"/>
  <c r="I29" i="4" l="1"/>
  <c r="J29" i="4" s="1"/>
  <c r="K29" i="4" s="1"/>
  <c r="I30" i="4" l="1"/>
  <c r="J30" i="4" l="1"/>
  <c r="K30" i="4" s="1"/>
  <c r="I31" i="4" l="1"/>
  <c r="J31" i="4" l="1"/>
  <c r="K31" i="4" s="1"/>
  <c r="I32" i="4" l="1"/>
  <c r="J32" i="4" l="1"/>
  <c r="K32" i="4" s="1"/>
  <c r="I33" i="4" l="1"/>
  <c r="J33" i="4" s="1"/>
  <c r="K33" i="4" s="1"/>
  <c r="I34" i="4" l="1"/>
  <c r="J34" i="4" s="1"/>
  <c r="K34" i="4" s="1"/>
  <c r="I35" i="4" l="1"/>
  <c r="J35" i="4" s="1"/>
  <c r="K35" i="4" s="1"/>
  <c r="I36" i="4" l="1"/>
  <c r="J36" i="4" l="1"/>
  <c r="K36" i="4" s="1"/>
  <c r="I37" i="4" l="1"/>
  <c r="J37" i="4" l="1"/>
  <c r="K37" i="4" s="1"/>
  <c r="I38" i="4" l="1"/>
  <c r="J38" i="4" s="1"/>
  <c r="K38" i="4" s="1"/>
  <c r="I39" i="4" l="1"/>
  <c r="J39" i="4" l="1"/>
  <c r="K39" i="4" s="1"/>
  <c r="I40" i="4" l="1"/>
  <c r="J40" i="4" l="1"/>
  <c r="K40" i="4" s="1"/>
  <c r="I41" i="4" l="1"/>
  <c r="J41" i="4" s="1"/>
  <c r="K41" i="4" s="1"/>
  <c r="I42" i="4" l="1"/>
  <c r="J42" i="4" s="1"/>
  <c r="K42" i="4" s="1"/>
  <c r="I43" i="4" l="1"/>
  <c r="J43" i="4" l="1"/>
  <c r="K43" i="4" s="1"/>
  <c r="I44" i="4" l="1"/>
  <c r="J44" i="4" l="1"/>
  <c r="K44" i="4" s="1"/>
  <c r="I45" i="4" l="1"/>
  <c r="J45" i="4" l="1"/>
  <c r="K45" i="4" s="1"/>
  <c r="I46" i="4" l="1"/>
  <c r="J46" i="4" s="1"/>
  <c r="K46" i="4" s="1"/>
  <c r="I47" i="4" l="1"/>
  <c r="J47" i="4" l="1"/>
  <c r="K47" i="4" s="1"/>
  <c r="I48" i="4" l="1"/>
  <c r="J48" i="4" l="1"/>
</calcChain>
</file>

<file path=xl/sharedStrings.xml><?xml version="1.0" encoding="utf-8"?>
<sst xmlns="http://schemas.openxmlformats.org/spreadsheetml/2006/main" count="410" uniqueCount="236">
  <si>
    <t>*Vida Útil (Anual = 1, Mensual = 12, Etc.)</t>
  </si>
  <si>
    <t>Proceso (Sin Automatización)</t>
  </si>
  <si>
    <t>Proceso (Automatización)</t>
  </si>
  <si>
    <t>Costos Fijos</t>
  </si>
  <si>
    <t>Descripción</t>
  </si>
  <si>
    <t>Precio</t>
  </si>
  <si>
    <t>Cantidad</t>
  </si>
  <si>
    <t>Periodos</t>
  </si>
  <si>
    <t>Arriendo</t>
  </si>
  <si>
    <t>700 m²</t>
  </si>
  <si>
    <t>Internet</t>
  </si>
  <si>
    <t>Agua</t>
  </si>
  <si>
    <t>Luz</t>
  </si>
  <si>
    <t>Gas</t>
  </si>
  <si>
    <t>Personal</t>
  </si>
  <si>
    <t>Impuestos</t>
  </si>
  <si>
    <t>Seguros</t>
  </si>
  <si>
    <t>Publicidad</t>
  </si>
  <si>
    <t>Costos del Proceso</t>
  </si>
  <si>
    <t>Contenedores de Almacenamiento</t>
  </si>
  <si>
    <t>Presupuesto 
Inicial</t>
  </si>
  <si>
    <t>Herramientas mecánicas básicas</t>
  </si>
  <si>
    <t>Esmeril de banco</t>
  </si>
  <si>
    <t>Máquina Dobladora Tubos</t>
  </si>
  <si>
    <t>Máquina de Corte</t>
  </si>
  <si>
    <t>Máquina Dobladora Lamina</t>
  </si>
  <si>
    <t>Robot (Pick &amp; Place)</t>
  </si>
  <si>
    <t>Máquina Corte de Lámina</t>
  </si>
  <si>
    <t>Taladro</t>
  </si>
  <si>
    <t xml:space="preserve">Equipo soldadura </t>
  </si>
  <si>
    <t>Equipo de Pintura</t>
  </si>
  <si>
    <t>Máquina de CNC</t>
  </si>
  <si>
    <t>Horno de Secado</t>
  </si>
  <si>
    <t>Moldes</t>
  </si>
  <si>
    <t>Costos Variables</t>
  </si>
  <si>
    <t>Discos de Corte (Esmeril)</t>
  </si>
  <si>
    <t>Robot Soldador</t>
  </si>
  <si>
    <t>Discos de Corte (Máquina)</t>
  </si>
  <si>
    <t>Brocas</t>
  </si>
  <si>
    <t>Rollo de soldadura</t>
  </si>
  <si>
    <t>Pintura</t>
  </si>
  <si>
    <t>Cinta Embalaje</t>
  </si>
  <si>
    <t>Aceite</t>
  </si>
  <si>
    <t>Considerados en Mantenimiento</t>
  </si>
  <si>
    <t>Grasa</t>
  </si>
  <si>
    <t>Gastos Fijos Anuales</t>
  </si>
  <si>
    <t>Costos Variables Anuales</t>
  </si>
  <si>
    <t>Herramientas Robot (Grippers)</t>
  </si>
  <si>
    <t>Costos Totales</t>
  </si>
  <si>
    <t xml:space="preserve">Materias Primas </t>
  </si>
  <si>
    <t>Cantidad Mensual</t>
  </si>
  <si>
    <t>Días de trabajo</t>
  </si>
  <si>
    <t>Cantidad Diaria</t>
  </si>
  <si>
    <t>Locker (Diaria)</t>
  </si>
  <si>
    <t>Valor (Unitario)</t>
  </si>
  <si>
    <t>Cantidad (Mensual)</t>
  </si>
  <si>
    <t>Valor total (Mensual)</t>
  </si>
  <si>
    <t>Lámina</t>
  </si>
  <si>
    <t>Visagras</t>
  </si>
  <si>
    <t>Tuberia</t>
  </si>
  <si>
    <t>Gancho</t>
  </si>
  <si>
    <t>Total Producto (Mensual)</t>
  </si>
  <si>
    <t>Costo Unitario (Sólo Materia Prima)</t>
  </si>
  <si>
    <t>Sillas (Diaria)</t>
  </si>
  <si>
    <t>Tuberia (Cuadrada)</t>
  </si>
  <si>
    <t>Tuberia (Redonda)</t>
  </si>
  <si>
    <t>Lámina de Aluminio</t>
  </si>
  <si>
    <t xml:space="preserve">Tapones </t>
  </si>
  <si>
    <t>Escaleras (Diaria)</t>
  </si>
  <si>
    <t>Tubería (1'')</t>
  </si>
  <si>
    <t>Tubería (3/4'')</t>
  </si>
  <si>
    <t>Madera</t>
  </si>
  <si>
    <t>Piso Antideslizante</t>
  </si>
  <si>
    <t>Pegante</t>
  </si>
  <si>
    <t>Tornillos Autorroscantes</t>
  </si>
  <si>
    <t>Lámina Poliestireno</t>
  </si>
  <si>
    <t>Costo Total Anual</t>
  </si>
  <si>
    <t>Mantenimiento Máquinas</t>
  </si>
  <si>
    <t>Regularidad (Al año)</t>
  </si>
  <si>
    <t>Total Anual</t>
  </si>
  <si>
    <t>Máquinas</t>
  </si>
  <si>
    <t>Inspección Servicios</t>
  </si>
  <si>
    <t>Costo Mantenimiento Total (Anual)</t>
  </si>
  <si>
    <t>Utilidad</t>
  </si>
  <si>
    <t>Precio Venta</t>
  </si>
  <si>
    <t>Cantidad (Anual)</t>
  </si>
  <si>
    <t>Ganancia</t>
  </si>
  <si>
    <t>Locker</t>
  </si>
  <si>
    <t>Sillas</t>
  </si>
  <si>
    <t>Escalera</t>
  </si>
  <si>
    <t>Utilidad Neta</t>
  </si>
  <si>
    <t>Inversión Inicial</t>
  </si>
  <si>
    <t>Inversión Extra</t>
  </si>
  <si>
    <t>AGUA</t>
  </si>
  <si>
    <t>Sin Automatización</t>
  </si>
  <si>
    <t>Con Automatización</t>
  </si>
  <si>
    <t>Costo Agua</t>
  </si>
  <si>
    <t>A partir de excel del Acueducto</t>
  </si>
  <si>
    <t>Consumo m3 por persona</t>
  </si>
  <si>
    <t>Cargo Fijo</t>
  </si>
  <si>
    <t>Empleados</t>
  </si>
  <si>
    <t>Consumo</t>
  </si>
  <si>
    <t>Total m3</t>
  </si>
  <si>
    <t>Alcantarillado</t>
  </si>
  <si>
    <t>GAS</t>
  </si>
  <si>
    <t>GOV.CO Datos Abiertos</t>
  </si>
  <si>
    <t>Cargo por Consumo (Industrias (Promedio))</t>
  </si>
  <si>
    <t>Total</t>
  </si>
  <si>
    <t>LUZ</t>
  </si>
  <si>
    <t>Máquina</t>
  </si>
  <si>
    <t>Energía (kW)</t>
  </si>
  <si>
    <t>Mensual (kWh)</t>
  </si>
  <si>
    <t xml:space="preserve">COSTO </t>
  </si>
  <si>
    <t>$/kWh</t>
  </si>
  <si>
    <t>Cosas del diario</t>
  </si>
  <si>
    <t>157 kW (mes * persona)</t>
  </si>
  <si>
    <t>Esmeril</t>
  </si>
  <si>
    <t>Cortadora</t>
  </si>
  <si>
    <t>Corte lámina</t>
  </si>
  <si>
    <t>Enfria con Agua</t>
  </si>
  <si>
    <t>Dobladora tubos</t>
  </si>
  <si>
    <t>CNC</t>
  </si>
  <si>
    <t>Taladrado</t>
  </si>
  <si>
    <t>Carga 2 veces diarias</t>
  </si>
  <si>
    <t>12V - 2A</t>
  </si>
  <si>
    <t>24W</t>
  </si>
  <si>
    <t>Soldadura</t>
  </si>
  <si>
    <t>110V - 40A</t>
  </si>
  <si>
    <t>Robots</t>
  </si>
  <si>
    <t>Banda</t>
  </si>
  <si>
    <t>Horno</t>
  </si>
  <si>
    <t>Consumo Sin Automatizar</t>
  </si>
  <si>
    <t>Consumo Automatizando</t>
  </si>
  <si>
    <t>Costo Sin Automatizar</t>
  </si>
  <si>
    <t>Costo Automatizado</t>
  </si>
  <si>
    <t>Maquina Corte Lámina</t>
  </si>
  <si>
    <t>Carga al contenedor</t>
  </si>
  <si>
    <t>Precio Completo</t>
  </si>
  <si>
    <t>Flete</t>
  </si>
  <si>
    <t>Contenedor 20ft</t>
  </si>
  <si>
    <t>Hong Kong - Buenaventura</t>
  </si>
  <si>
    <t>IVA</t>
  </si>
  <si>
    <t>Maquina Dobladora Manual</t>
  </si>
  <si>
    <t>Aranceles</t>
  </si>
  <si>
    <t>Traslado a Bogotá</t>
  </si>
  <si>
    <t>Maquina Dobladora Automatica</t>
  </si>
  <si>
    <t>Planta automatizada</t>
  </si>
  <si>
    <t>Año</t>
  </si>
  <si>
    <t>Flujo de caja</t>
  </si>
  <si>
    <t>VPN</t>
  </si>
  <si>
    <t>Tasa Actual</t>
  </si>
  <si>
    <t>TIR</t>
  </si>
  <si>
    <t>TIR &gt; Tasa Actual</t>
  </si>
  <si>
    <t>Proyecto Aprovado</t>
  </si>
  <si>
    <t>Característica</t>
  </si>
  <si>
    <t>Diseño (5)</t>
  </si>
  <si>
    <t>Instalación (10)</t>
  </si>
  <si>
    <t>Días</t>
  </si>
  <si>
    <t>Salario Diario</t>
  </si>
  <si>
    <t>Acondicionamiento del Lugar</t>
  </si>
  <si>
    <t>500 m²</t>
  </si>
  <si>
    <t>Instalación Trifásica</t>
  </si>
  <si>
    <t>Señalización</t>
  </si>
  <si>
    <t>Delimitación de áreas</t>
  </si>
  <si>
    <t>Espacio de trabajo</t>
  </si>
  <si>
    <t>Mesas de trabajo</t>
  </si>
  <si>
    <t>Aseo</t>
  </si>
  <si>
    <t>Costos de Personal de Ingeniería (Inicial)</t>
  </si>
  <si>
    <t>Supervisión</t>
  </si>
  <si>
    <t>Prueba de errores</t>
  </si>
  <si>
    <t>Riesgo</t>
  </si>
  <si>
    <t>Personal (Trabajadores)</t>
  </si>
  <si>
    <t>Software</t>
  </si>
  <si>
    <t>Hardware</t>
  </si>
  <si>
    <t>Personal (Aseo)</t>
  </si>
  <si>
    <t>Seguridad (Contrato)</t>
  </si>
  <si>
    <t>Ignition</t>
  </si>
  <si>
    <t>Duración</t>
  </si>
  <si>
    <t>Por Vida</t>
  </si>
  <si>
    <t>Anual</t>
  </si>
  <si>
    <t>Mensual</t>
  </si>
  <si>
    <t>https://element8.co.za/sepasoft/</t>
  </si>
  <si>
    <t>https://azure.microsoft.com/en-us/pricing/details/cloud-services/</t>
  </si>
  <si>
    <t>Azure</t>
  </si>
  <si>
    <t>RS Linx Classic</t>
  </si>
  <si>
    <t>RS Linx Classic (Actualizaciones)</t>
  </si>
  <si>
    <t>RobotStudio</t>
  </si>
  <si>
    <t>https://new.abb.com/products/robotics/robotstudio</t>
  </si>
  <si>
    <t>Siemens NX</t>
  </si>
  <si>
    <t>Siemens NX (Mantenimiento)</t>
  </si>
  <si>
    <t>SEPASOFT (OEE)</t>
  </si>
  <si>
    <t>Total Inicial (Año 0)</t>
  </si>
  <si>
    <t>Cableado UTP 5E</t>
  </si>
  <si>
    <t>Cableado Encauchetado</t>
  </si>
  <si>
    <t>50mts</t>
  </si>
  <si>
    <t>100mts</t>
  </si>
  <si>
    <t>Canaletas 40x40</t>
  </si>
  <si>
    <t>3mts</t>
  </si>
  <si>
    <t>*Una en cada lugar de trabajo</t>
  </si>
  <si>
    <t>2m</t>
  </si>
  <si>
    <t>-</t>
  </si>
  <si>
    <t>PLC</t>
  </si>
  <si>
    <t xml:space="preserve">Total </t>
  </si>
  <si>
    <t>Total Transporte</t>
  </si>
  <si>
    <t>Robot</t>
  </si>
  <si>
    <t>Riesgo y Perdidas (Sobre Fallos y Materia Prima)</t>
  </si>
  <si>
    <t>Tipo</t>
  </si>
  <si>
    <t>Precio USD</t>
  </si>
  <si>
    <t>Referencia</t>
  </si>
  <si>
    <t>1769-AENTRK/A</t>
  </si>
  <si>
    <t>https://www.plchardware.com/Products/RA-1769-AENTRK-A-NSP.aspx</t>
  </si>
  <si>
    <t>1769-L30ER/A</t>
  </si>
  <si>
    <t>https://www.plchardware.com/Products/84/5398806/5398808/RA-1769-L30ER-A-NSP.aspx</t>
  </si>
  <si>
    <t>1769-IQ16/A</t>
  </si>
  <si>
    <t>https://www.plchardware.com/Products/RA-1769-IQ16-A-NSO.aspx</t>
  </si>
  <si>
    <t>1769-OW16/A</t>
  </si>
  <si>
    <t>https://www.plchardware.com/Products/RA-1769-OW16-A-NSP.aspx</t>
  </si>
  <si>
    <t>1769-PA4</t>
  </si>
  <si>
    <t>https://www.plchardware.com/Products/RA-1769-PA4.aspx</t>
  </si>
  <si>
    <t>Comunicaciones</t>
  </si>
  <si>
    <t>CPU</t>
  </si>
  <si>
    <t>Entradas digitales 16</t>
  </si>
  <si>
    <t>Salidas digitales 16</t>
  </si>
  <si>
    <t>Fuente de poder</t>
  </si>
  <si>
    <t>Precio Sin IVA</t>
  </si>
  <si>
    <t>HMI (Harmony ST6)</t>
  </si>
  <si>
    <t>Saldo</t>
  </si>
  <si>
    <t>Payback</t>
  </si>
  <si>
    <t>Mes</t>
  </si>
  <si>
    <t>Prestamo</t>
  </si>
  <si>
    <t>Pago</t>
  </si>
  <si>
    <t>Interés</t>
  </si>
  <si>
    <t>Abono</t>
  </si>
  <si>
    <t>Tasa</t>
  </si>
  <si>
    <t>Banda Transportadora y Rejas Celda</t>
  </si>
  <si>
    <t>Banda Transportadora y Rejas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</si>
</sst>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_-;\-&quot;$&quot;* #,##0_-;_-&quot;$&quot;* &quot;-&quot;??_-;_-@"/>
    <numFmt numFmtId="165" formatCode="_-&quot;$&quot;* #,##0.00_-;\-&quot;$&quot;* #,##0.00_-;_-&quot;$&quot;* &quot;-&quot;??_-;_-@"/>
    <numFmt numFmtId="166" formatCode="[$ $]#,##0"/>
    <numFmt numFmtId="167" formatCode="_-&quot;$&quot;* #,##0_-;\-&quot;$&quot;* #,##0_-;_-&quot;$&quot;* &quot;-&quot;??_-;_-@_-"/>
    <numFmt numFmtId="168" formatCode="0.0%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name val="Calibri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255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7" xfId="0" applyFont="1" applyBorder="1"/>
    <xf numFmtId="164" fontId="4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9" xfId="0" applyNumberFormat="1" applyFont="1" applyBorder="1"/>
    <xf numFmtId="164" fontId="4" fillId="0" borderId="26" xfId="0" applyNumberFormat="1" applyFont="1" applyBorder="1"/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165" fontId="4" fillId="0" borderId="8" xfId="0" applyNumberFormat="1" applyFont="1" applyBorder="1"/>
    <xf numFmtId="164" fontId="4" fillId="0" borderId="8" xfId="0" applyNumberFormat="1" applyFont="1" applyBorder="1"/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0" borderId="41" xfId="0" applyFont="1" applyBorder="1"/>
    <xf numFmtId="164" fontId="4" fillId="0" borderId="42" xfId="0" applyNumberFormat="1" applyFont="1" applyBorder="1"/>
    <xf numFmtId="0" fontId="4" fillId="0" borderId="42" xfId="0" applyFont="1" applyBorder="1" applyAlignment="1">
      <alignment horizontal="center"/>
    </xf>
    <xf numFmtId="164" fontId="4" fillId="0" borderId="15" xfId="0" applyNumberFormat="1" applyFont="1" applyBorder="1"/>
    <xf numFmtId="1" fontId="4" fillId="3" borderId="34" xfId="0" applyNumberFormat="1" applyFont="1" applyFill="1" applyBorder="1" applyAlignment="1">
      <alignment horizontal="center"/>
    </xf>
    <xf numFmtId="1" fontId="4" fillId="3" borderId="35" xfId="0" applyNumberFormat="1" applyFont="1" applyFill="1" applyBorder="1" applyAlignment="1">
      <alignment horizontal="center"/>
    </xf>
    <xf numFmtId="164" fontId="4" fillId="0" borderId="13" xfId="0" applyNumberFormat="1" applyFont="1" applyBorder="1"/>
    <xf numFmtId="164" fontId="4" fillId="0" borderId="42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43" xfId="0" applyFont="1" applyBorder="1"/>
    <xf numFmtId="164" fontId="4" fillId="0" borderId="44" xfId="0" applyNumberFormat="1" applyFont="1" applyBorder="1"/>
    <xf numFmtId="0" fontId="4" fillId="0" borderId="44" xfId="0" applyFont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35" xfId="0" applyNumberFormat="1" applyFont="1" applyBorder="1"/>
    <xf numFmtId="9" fontId="3" fillId="0" borderId="0" xfId="0" applyNumberFormat="1" applyFont="1"/>
    <xf numFmtId="0" fontId="4" fillId="0" borderId="49" xfId="0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4" fontId="4" fillId="0" borderId="0" xfId="0" applyNumberFormat="1" applyFont="1"/>
    <xf numFmtId="9" fontId="4" fillId="0" borderId="8" xfId="0" applyNumberFormat="1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8" borderId="8" xfId="0" applyNumberFormat="1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44" fontId="0" fillId="0" borderId="0" xfId="1" applyFont="1"/>
    <xf numFmtId="0" fontId="0" fillId="0" borderId="51" xfId="0" applyBorder="1" applyAlignment="1">
      <alignment horizontal="center" vertical="center"/>
    </xf>
    <xf numFmtId="167" fontId="0" fillId="0" borderId="51" xfId="1" applyNumberFormat="1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167" fontId="0" fillId="0" borderId="51" xfId="0" applyNumberFormat="1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/>
    </xf>
    <xf numFmtId="167" fontId="0" fillId="0" borderId="60" xfId="0" applyNumberFormat="1" applyBorder="1"/>
    <xf numFmtId="0" fontId="0" fillId="0" borderId="55" xfId="0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164" fontId="4" fillId="13" borderId="9" xfId="0" applyNumberFormat="1" applyFont="1" applyFill="1" applyBorder="1"/>
    <xf numFmtId="167" fontId="0" fillId="0" borderId="51" xfId="1" applyNumberFormat="1" applyFont="1" applyBorder="1"/>
    <xf numFmtId="0" fontId="0" fillId="0" borderId="55" xfId="0" applyBorder="1"/>
    <xf numFmtId="0" fontId="2" fillId="0" borderId="55" xfId="0" applyFont="1" applyBorder="1"/>
    <xf numFmtId="167" fontId="0" fillId="0" borderId="56" xfId="0" applyNumberFormat="1" applyBorder="1"/>
    <xf numFmtId="0" fontId="0" fillId="0" borderId="56" xfId="0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44" fontId="0" fillId="0" borderId="56" xfId="1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44" fontId="0" fillId="0" borderId="60" xfId="1" applyFont="1" applyBorder="1"/>
    <xf numFmtId="0" fontId="3" fillId="11" borderId="0" xfId="0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6" fontId="3" fillId="11" borderId="0" xfId="0" applyNumberFormat="1" applyFont="1" applyFill="1"/>
    <xf numFmtId="0" fontId="3" fillId="0" borderId="51" xfId="0" applyFont="1" applyBorder="1" applyAlignment="1">
      <alignment horizontal="center"/>
    </xf>
    <xf numFmtId="164" fontId="3" fillId="0" borderId="51" xfId="0" applyNumberFormat="1" applyFont="1" applyBorder="1" applyAlignment="1">
      <alignment horizontal="center"/>
    </xf>
    <xf numFmtId="164" fontId="3" fillId="0" borderId="51" xfId="0" applyNumberFormat="1" applyFont="1" applyBorder="1"/>
    <xf numFmtId="164" fontId="3" fillId="11" borderId="51" xfId="0" applyNumberFormat="1" applyFont="1" applyFill="1" applyBorder="1" applyAlignment="1">
      <alignment horizontal="center"/>
    </xf>
    <xf numFmtId="166" fontId="3" fillId="11" borderId="51" xfId="0" applyNumberFormat="1" applyFont="1" applyFill="1" applyBorder="1"/>
    <xf numFmtId="166" fontId="3" fillId="10" borderId="51" xfId="0" applyNumberFormat="1" applyFont="1" applyFill="1" applyBorder="1"/>
    <xf numFmtId="0" fontId="1" fillId="0" borderId="55" xfId="0" applyFont="1" applyBorder="1"/>
    <xf numFmtId="164" fontId="4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164" fontId="4" fillId="0" borderId="51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68" xfId="0" applyFont="1" applyBorder="1" applyAlignment="1">
      <alignment horizontal="left"/>
    </xf>
    <xf numFmtId="164" fontId="4" fillId="0" borderId="69" xfId="0" applyNumberFormat="1" applyFont="1" applyBorder="1" applyAlignment="1">
      <alignment horizontal="center"/>
    </xf>
    <xf numFmtId="0" fontId="4" fillId="0" borderId="70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164" fontId="4" fillId="0" borderId="71" xfId="0" applyNumberFormat="1" applyFont="1" applyBorder="1" applyAlignment="1">
      <alignment horizontal="center"/>
    </xf>
    <xf numFmtId="164" fontId="4" fillId="0" borderId="72" xfId="0" applyNumberFormat="1" applyFont="1" applyBorder="1"/>
    <xf numFmtId="167" fontId="0" fillId="0" borderId="73" xfId="0" applyNumberFormat="1" applyBorder="1"/>
    <xf numFmtId="164" fontId="4" fillId="0" borderId="74" xfId="0" applyNumberFormat="1" applyFont="1" applyBorder="1"/>
    <xf numFmtId="44" fontId="0" fillId="0" borderId="0" xfId="0" applyNumberFormat="1"/>
    <xf numFmtId="44" fontId="0" fillId="0" borderId="51" xfId="0" applyNumberFormat="1" applyBorder="1" applyAlignment="1">
      <alignment horizontal="center"/>
    </xf>
    <xf numFmtId="167" fontId="0" fillId="0" borderId="63" xfId="0" applyNumberFormat="1" applyBorder="1" applyAlignment="1">
      <alignment horizontal="center"/>
    </xf>
    <xf numFmtId="10" fontId="3" fillId="8" borderId="22" xfId="0" applyNumberFormat="1" applyFont="1" applyFill="1" applyBorder="1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 applyAlignment="1">
      <alignment vertical="center"/>
    </xf>
    <xf numFmtId="0" fontId="1" fillId="0" borderId="51" xfId="2" applyBorder="1" applyAlignment="1">
      <alignment horizontal="center" vertical="center"/>
    </xf>
    <xf numFmtId="0" fontId="1" fillId="0" borderId="55" xfId="2" applyBorder="1" applyAlignment="1">
      <alignment horizontal="center" vertical="center"/>
    </xf>
    <xf numFmtId="0" fontId="1" fillId="0" borderId="56" xfId="2" applyBorder="1" applyAlignment="1">
      <alignment horizontal="center" vertical="center"/>
    </xf>
    <xf numFmtId="167" fontId="0" fillId="0" borderId="56" xfId="1" applyNumberFormat="1" applyFont="1" applyBorder="1" applyAlignment="1">
      <alignment horizontal="center"/>
    </xf>
    <xf numFmtId="0" fontId="1" fillId="0" borderId="61" xfId="2" applyBorder="1" applyAlignment="1">
      <alignment horizontal="center" vertical="center"/>
    </xf>
    <xf numFmtId="0" fontId="1" fillId="0" borderId="62" xfId="2" applyBorder="1" applyAlignment="1">
      <alignment horizontal="center" vertical="center"/>
    </xf>
    <xf numFmtId="0" fontId="7" fillId="0" borderId="62" xfId="2" applyFont="1" applyBorder="1" applyAlignment="1">
      <alignment horizontal="center" vertical="center"/>
    </xf>
    <xf numFmtId="167" fontId="0" fillId="0" borderId="60" xfId="1" applyNumberFormat="1" applyFont="1" applyBorder="1" applyAlignment="1">
      <alignment horizontal="center"/>
    </xf>
    <xf numFmtId="164" fontId="4" fillId="0" borderId="81" xfId="0" applyNumberFormat="1" applyFont="1" applyBorder="1"/>
    <xf numFmtId="164" fontId="4" fillId="0" borderId="85" xfId="0" applyNumberFormat="1" applyFont="1" applyBorder="1" applyAlignment="1">
      <alignment horizontal="center"/>
    </xf>
    <xf numFmtId="0" fontId="4" fillId="15" borderId="82" xfId="0" applyFont="1" applyFill="1" applyBorder="1" applyAlignment="1">
      <alignment horizontal="center"/>
    </xf>
    <xf numFmtId="0" fontId="4" fillId="15" borderId="83" xfId="0" applyFont="1" applyFill="1" applyBorder="1" applyAlignment="1">
      <alignment horizontal="center"/>
    </xf>
    <xf numFmtId="0" fontId="4" fillId="0" borderId="84" xfId="0" applyFont="1" applyBorder="1" applyAlignment="1">
      <alignment horizontal="center"/>
    </xf>
    <xf numFmtId="164" fontId="4" fillId="15" borderId="81" xfId="0" applyNumberFormat="1" applyFont="1" applyFill="1" applyBorder="1"/>
    <xf numFmtId="0" fontId="3" fillId="0" borderId="55" xfId="0" applyFont="1" applyBorder="1" applyAlignment="1">
      <alignment horizontal="center"/>
    </xf>
    <xf numFmtId="0" fontId="3" fillId="11" borderId="55" xfId="0" applyFont="1" applyFill="1" applyBorder="1" applyAlignment="1">
      <alignment horizontal="center"/>
    </xf>
    <xf numFmtId="0" fontId="3" fillId="11" borderId="61" xfId="0" applyFont="1" applyFill="1" applyBorder="1" applyAlignment="1">
      <alignment horizontal="center"/>
    </xf>
    <xf numFmtId="164" fontId="3" fillId="11" borderId="62" xfId="0" applyNumberFormat="1" applyFont="1" applyFill="1" applyBorder="1" applyAlignment="1">
      <alignment horizontal="center"/>
    </xf>
    <xf numFmtId="166" fontId="3" fillId="11" borderId="62" xfId="0" applyNumberFormat="1" applyFont="1" applyFill="1" applyBorder="1"/>
    <xf numFmtId="164" fontId="0" fillId="0" borderId="56" xfId="0" applyNumberFormat="1" applyBorder="1"/>
    <xf numFmtId="166" fontId="3" fillId="15" borderId="56" xfId="0" applyNumberFormat="1" applyFont="1" applyFill="1" applyBorder="1" applyAlignment="1">
      <alignment horizontal="center"/>
    </xf>
    <xf numFmtId="166" fontId="0" fillId="0" borderId="60" xfId="0" applyNumberFormat="1" applyBorder="1"/>
    <xf numFmtId="0" fontId="0" fillId="15" borderId="52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4" xfId="0" applyFill="1" applyBorder="1" applyAlignment="1">
      <alignment horizontal="center"/>
    </xf>
    <xf numFmtId="0" fontId="0" fillId="15" borderId="61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3" fillId="10" borderId="55" xfId="0" applyFont="1" applyFill="1" applyBorder="1" applyAlignment="1">
      <alignment horizontal="center"/>
    </xf>
    <xf numFmtId="8" fontId="0" fillId="0" borderId="0" xfId="0" applyNumberFormat="1"/>
    <xf numFmtId="164" fontId="0" fillId="0" borderId="56" xfId="0" applyNumberForma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15" borderId="55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6" xfId="0" applyFill="1" applyBorder="1" applyAlignment="1">
      <alignment horizontal="center"/>
    </xf>
    <xf numFmtId="168" fontId="0" fillId="0" borderId="87" xfId="3" applyNumberFormat="1" applyFont="1" applyBorder="1" applyAlignment="1">
      <alignment horizontal="center"/>
    </xf>
    <xf numFmtId="6" fontId="0" fillId="0" borderId="51" xfId="0" applyNumberFormat="1" applyBorder="1" applyAlignment="1">
      <alignment horizontal="center"/>
    </xf>
    <xf numFmtId="6" fontId="0" fillId="0" borderId="62" xfId="0" applyNumberFormat="1" applyBorder="1" applyAlignment="1">
      <alignment horizontal="center"/>
    </xf>
    <xf numFmtId="167" fontId="0" fillId="0" borderId="62" xfId="0" applyNumberFormat="1" applyBorder="1" applyAlignment="1">
      <alignment horizontal="center"/>
    </xf>
    <xf numFmtId="167" fontId="0" fillId="0" borderId="60" xfId="0" applyNumberFormat="1" applyBorder="1" applyAlignment="1">
      <alignment horizontal="center"/>
    </xf>
    <xf numFmtId="0" fontId="0" fillId="12" borderId="52" xfId="0" applyFill="1" applyBorder="1" applyAlignment="1">
      <alignment horizontal="center" vertical="center"/>
    </xf>
    <xf numFmtId="0" fontId="0" fillId="12" borderId="53" xfId="0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5" fillId="0" borderId="62" xfId="0" applyFont="1" applyBorder="1"/>
    <xf numFmtId="0" fontId="4" fillId="5" borderId="4" xfId="0" applyFont="1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4" fillId="0" borderId="23" xfId="0" applyFont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4" fillId="5" borderId="65" xfId="0" applyFont="1" applyFill="1" applyBorder="1" applyAlignment="1">
      <alignment horizontal="center"/>
    </xf>
    <xf numFmtId="0" fontId="5" fillId="0" borderId="66" xfId="0" applyFont="1" applyBorder="1"/>
    <xf numFmtId="0" fontId="5" fillId="0" borderId="67" xfId="0" applyFont="1" applyBorder="1"/>
    <xf numFmtId="0" fontId="4" fillId="0" borderId="55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11" xfId="0" applyFont="1" applyBorder="1"/>
    <xf numFmtId="0" fontId="5" fillId="0" borderId="22" xfId="0" applyFont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5" fillId="0" borderId="17" xfId="0" applyFont="1" applyBorder="1"/>
    <xf numFmtId="0" fontId="5" fillId="0" borderId="40" xfId="0" applyFont="1" applyBorder="1"/>
    <xf numFmtId="0" fontId="4" fillId="3" borderId="10" xfId="0" applyFont="1" applyFill="1" applyBorder="1" applyAlignment="1">
      <alignment horizontal="center"/>
    </xf>
    <xf numFmtId="0" fontId="5" fillId="0" borderId="12" xfId="0" applyFont="1" applyBorder="1"/>
    <xf numFmtId="164" fontId="4" fillId="0" borderId="16" xfId="0" applyNumberFormat="1" applyFont="1" applyBorder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4" fillId="4" borderId="27" xfId="0" applyFont="1" applyFill="1" applyBorder="1" applyAlignment="1">
      <alignment horizontal="center"/>
    </xf>
    <xf numFmtId="0" fontId="5" fillId="0" borderId="28" xfId="0" applyFont="1" applyBorder="1"/>
    <xf numFmtId="0" fontId="5" fillId="0" borderId="29" xfId="0" applyFont="1" applyBorder="1"/>
    <xf numFmtId="0" fontId="4" fillId="13" borderId="1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22" xfId="0" applyFont="1" applyFill="1" applyBorder="1"/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0" fontId="4" fillId="0" borderId="80" xfId="0" applyFont="1" applyBorder="1" applyAlignment="1">
      <alignment horizontal="center"/>
    </xf>
    <xf numFmtId="0" fontId="4" fillId="15" borderId="77" xfId="0" applyFont="1" applyFill="1" applyBorder="1" applyAlignment="1">
      <alignment horizontal="center"/>
    </xf>
    <xf numFmtId="0" fontId="4" fillId="15" borderId="78" xfId="0" applyFont="1" applyFill="1" applyBorder="1" applyAlignment="1">
      <alignment horizontal="center"/>
    </xf>
    <xf numFmtId="0" fontId="4" fillId="15" borderId="8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4" fillId="3" borderId="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15" xfId="0" applyFont="1" applyBorder="1"/>
    <xf numFmtId="0" fontId="5" fillId="0" borderId="51" xfId="0" applyFont="1" applyBorder="1" applyAlignment="1">
      <alignment horizontal="center"/>
    </xf>
    <xf numFmtId="0" fontId="3" fillId="7" borderId="52" xfId="0" applyFont="1" applyFill="1" applyBorder="1" applyAlignment="1">
      <alignment horizontal="center"/>
    </xf>
    <xf numFmtId="0" fontId="3" fillId="7" borderId="53" xfId="0" applyFont="1" applyFill="1" applyBorder="1" applyAlignment="1">
      <alignment horizontal="center"/>
    </xf>
    <xf numFmtId="0" fontId="3" fillId="7" borderId="54" xfId="0" applyFont="1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4" xfId="0" applyFill="1" applyBorder="1" applyAlignment="1">
      <alignment horizontal="center"/>
    </xf>
    <xf numFmtId="0" fontId="1" fillId="16" borderId="52" xfId="2" applyFill="1" applyBorder="1" applyAlignment="1">
      <alignment horizontal="center" vertical="center"/>
    </xf>
    <xf numFmtId="0" fontId="1" fillId="16" borderId="53" xfId="2" applyFill="1" applyBorder="1" applyAlignment="1">
      <alignment horizontal="center" vertical="center"/>
    </xf>
    <xf numFmtId="0" fontId="1" fillId="16" borderId="54" xfId="2" applyFill="1" applyBorder="1" applyAlignment="1">
      <alignment horizontal="center" vertical="center"/>
    </xf>
    <xf numFmtId="0" fontId="0" fillId="14" borderId="52" xfId="0" applyFill="1" applyBorder="1" applyAlignment="1">
      <alignment horizontal="center"/>
    </xf>
    <xf numFmtId="0" fontId="0" fillId="14" borderId="53" xfId="0" applyFill="1" applyBorder="1" applyAlignment="1">
      <alignment horizontal="center"/>
    </xf>
    <xf numFmtId="0" fontId="0" fillId="14" borderId="54" xfId="0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15" borderId="86" xfId="0" applyFill="1" applyBorder="1" applyAlignment="1">
      <alignment horizontal="center"/>
    </xf>
  </cellXfs>
  <cellStyles count="4">
    <cellStyle name="Moneda" xfId="1" builtinId="4"/>
    <cellStyle name="Normal" xfId="0" builtinId="0"/>
    <cellStyle name="Normal 2" xfId="2" xr:uid="{6BEE588E-B06F-4331-8104-FD2FF17C4F5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9"/>
  <sheetViews>
    <sheetView showGridLines="0" tabSelected="1" topLeftCell="A96" zoomScale="90" zoomScaleNormal="90" workbookViewId="0">
      <selection activeCell="H26" sqref="H26"/>
    </sheetView>
  </sheetViews>
  <sheetFormatPr baseColWidth="10" defaultColWidth="14.42578125" defaultRowHeight="15" customHeight="1"/>
  <cols>
    <col min="1" max="1" width="10.7109375" customWidth="1"/>
    <col min="2" max="2" width="33.85546875" customWidth="1"/>
    <col min="3" max="3" width="21.140625" customWidth="1"/>
    <col min="4" max="4" width="21" customWidth="1"/>
    <col min="5" max="5" width="21.140625" customWidth="1"/>
    <col min="6" max="6" width="3.85546875" customWidth="1"/>
    <col min="7" max="7" width="34" customWidth="1"/>
    <col min="8" max="8" width="18.5703125" customWidth="1"/>
    <col min="9" max="9" width="20.42578125" customWidth="1"/>
    <col min="10" max="10" width="21.42578125" customWidth="1"/>
    <col min="11" max="26" width="10.7109375" customWidth="1"/>
  </cols>
  <sheetData>
    <row r="1" spans="2:11" ht="15" customHeight="1" thickBot="1"/>
    <row r="2" spans="2:11" ht="18.75" customHeight="1" thickBot="1">
      <c r="B2" s="202" t="s">
        <v>0</v>
      </c>
      <c r="C2" s="203"/>
      <c r="D2" s="203"/>
      <c r="E2" s="203"/>
      <c r="F2" s="203"/>
      <c r="G2" s="203"/>
      <c r="H2" s="203"/>
      <c r="I2" s="203"/>
      <c r="J2" s="204"/>
    </row>
    <row r="3" spans="2:11" ht="15" customHeight="1" thickBot="1"/>
    <row r="4" spans="2:11">
      <c r="B4" s="211" t="s">
        <v>1</v>
      </c>
      <c r="C4" s="217"/>
      <c r="D4" s="217"/>
      <c r="E4" s="218"/>
      <c r="G4" s="211" t="s">
        <v>2</v>
      </c>
      <c r="H4" s="217"/>
      <c r="I4" s="217"/>
      <c r="J4" s="218"/>
      <c r="K4" s="2"/>
    </row>
    <row r="6" spans="2:11">
      <c r="B6" s="185" t="s">
        <v>3</v>
      </c>
      <c r="C6" s="165"/>
      <c r="D6" s="165"/>
      <c r="E6" s="166"/>
      <c r="G6" s="219" t="s">
        <v>3</v>
      </c>
      <c r="H6" s="165"/>
      <c r="I6" s="165"/>
      <c r="J6" s="166"/>
    </row>
    <row r="7" spans="2:11">
      <c r="B7" s="3" t="s">
        <v>4</v>
      </c>
      <c r="C7" s="4" t="s">
        <v>5</v>
      </c>
      <c r="D7" s="4" t="s">
        <v>6</v>
      </c>
      <c r="E7" s="5" t="s">
        <v>7</v>
      </c>
      <c r="G7" s="6" t="s">
        <v>4</v>
      </c>
      <c r="H7" s="7" t="s">
        <v>5</v>
      </c>
      <c r="I7" s="7" t="s">
        <v>6</v>
      </c>
      <c r="J7" s="8" t="s">
        <v>7</v>
      </c>
    </row>
    <row r="8" spans="2:11">
      <c r="B8" s="9" t="s">
        <v>8</v>
      </c>
      <c r="C8" s="10">
        <v>7000000</v>
      </c>
      <c r="D8" s="11" t="s">
        <v>160</v>
      </c>
      <c r="E8" s="12">
        <v>12</v>
      </c>
      <c r="G8" s="9" t="s">
        <v>8</v>
      </c>
      <c r="H8" s="10">
        <v>15000000</v>
      </c>
      <c r="I8" s="11" t="s">
        <v>9</v>
      </c>
      <c r="J8" s="12">
        <v>12</v>
      </c>
    </row>
    <row r="9" spans="2:11">
      <c r="B9" s="9" t="s">
        <v>10</v>
      </c>
      <c r="C9" s="10">
        <v>107990</v>
      </c>
      <c r="D9" s="13">
        <v>1</v>
      </c>
      <c r="E9" s="12">
        <v>12</v>
      </c>
      <c r="G9" s="9" t="s">
        <v>10</v>
      </c>
      <c r="H9" s="10">
        <v>107990</v>
      </c>
      <c r="I9" s="13">
        <v>1</v>
      </c>
      <c r="J9" s="12">
        <v>12</v>
      </c>
    </row>
    <row r="10" spans="2:11">
      <c r="B10" s="9" t="s">
        <v>11</v>
      </c>
      <c r="C10" s="10">
        <f>'Cálculo Servicios'!C8</f>
        <v>784945.17999999993</v>
      </c>
      <c r="D10" s="13">
        <v>1</v>
      </c>
      <c r="E10" s="12">
        <v>6</v>
      </c>
      <c r="G10" s="9" t="s">
        <v>11</v>
      </c>
      <c r="H10" s="10">
        <f>'Cálculo Servicios'!D8</f>
        <v>672182.26</v>
      </c>
      <c r="I10" s="13">
        <v>1</v>
      </c>
      <c r="J10" s="12">
        <v>6</v>
      </c>
    </row>
    <row r="11" spans="2:11">
      <c r="B11" s="9" t="s">
        <v>12</v>
      </c>
      <c r="C11" s="10">
        <f>'Cálculo Servicios'!C33</f>
        <v>6486171.1015830403</v>
      </c>
      <c r="D11" s="13">
        <v>1</v>
      </c>
      <c r="E11" s="12">
        <v>12</v>
      </c>
      <c r="G11" s="9" t="s">
        <v>12</v>
      </c>
      <c r="H11" s="10">
        <f>'Cálculo Servicios'!C34</f>
        <v>8548653.6446000002</v>
      </c>
      <c r="I11" s="13">
        <v>1</v>
      </c>
      <c r="J11" s="12">
        <v>12</v>
      </c>
    </row>
    <row r="12" spans="2:11">
      <c r="B12" s="9" t="s">
        <v>13</v>
      </c>
      <c r="C12" s="10">
        <f>'Cálculo Servicios'!D15</f>
        <v>5215</v>
      </c>
      <c r="D12" s="13">
        <v>1</v>
      </c>
      <c r="E12" s="12">
        <v>12</v>
      </c>
      <c r="G12" s="9" t="s">
        <v>13</v>
      </c>
      <c r="H12" s="10">
        <f>'Cálculo Servicios'!D15</f>
        <v>5215</v>
      </c>
      <c r="I12" s="13">
        <v>1</v>
      </c>
      <c r="J12" s="12">
        <v>12</v>
      </c>
    </row>
    <row r="13" spans="2:11">
      <c r="B13" s="9" t="s">
        <v>171</v>
      </c>
      <c r="C13" s="10">
        <v>2000000</v>
      </c>
      <c r="D13" s="13">
        <v>10</v>
      </c>
      <c r="E13" s="12">
        <v>12</v>
      </c>
      <c r="G13" s="9" t="s">
        <v>14</v>
      </c>
      <c r="H13" s="10">
        <v>2000000</v>
      </c>
      <c r="I13" s="13">
        <v>6</v>
      </c>
      <c r="J13" s="12">
        <v>12</v>
      </c>
    </row>
    <row r="14" spans="2:11">
      <c r="B14" s="9" t="s">
        <v>15</v>
      </c>
      <c r="C14" s="10">
        <f>0.35*E99</f>
        <v>390219286.79999995</v>
      </c>
      <c r="D14" s="13">
        <v>1</v>
      </c>
      <c r="E14" s="12">
        <v>1</v>
      </c>
      <c r="G14" s="9" t="s">
        <v>15</v>
      </c>
      <c r="H14" s="10">
        <f>0.35*J103</f>
        <v>649218930.3599999</v>
      </c>
      <c r="I14" s="13">
        <v>1</v>
      </c>
      <c r="J14" s="12">
        <v>1</v>
      </c>
    </row>
    <row r="15" spans="2:11">
      <c r="B15" s="9" t="s">
        <v>16</v>
      </c>
      <c r="C15" s="10">
        <v>6738209</v>
      </c>
      <c r="D15" s="13">
        <v>1</v>
      </c>
      <c r="E15" s="12">
        <v>1</v>
      </c>
      <c r="G15" s="9" t="s">
        <v>16</v>
      </c>
      <c r="H15" s="10">
        <v>6738209</v>
      </c>
      <c r="I15" s="13">
        <v>1</v>
      </c>
      <c r="J15" s="12">
        <v>1</v>
      </c>
    </row>
    <row r="16" spans="2:11">
      <c r="B16" s="9" t="s">
        <v>174</v>
      </c>
      <c r="C16" s="10">
        <v>1500000</v>
      </c>
      <c r="D16" s="13">
        <v>3</v>
      </c>
      <c r="E16" s="12">
        <v>12</v>
      </c>
      <c r="G16" s="9" t="s">
        <v>174</v>
      </c>
      <c r="H16" s="10">
        <v>1500000</v>
      </c>
      <c r="I16" s="13">
        <v>3</v>
      </c>
      <c r="J16" s="12">
        <v>12</v>
      </c>
    </row>
    <row r="17" spans="2:10">
      <c r="B17" s="9" t="s">
        <v>175</v>
      </c>
      <c r="C17" s="10">
        <v>4550000</v>
      </c>
      <c r="D17" s="13">
        <v>1</v>
      </c>
      <c r="E17" s="12">
        <v>12</v>
      </c>
      <c r="G17" s="9" t="s">
        <v>175</v>
      </c>
      <c r="H17" s="10">
        <v>10550000</v>
      </c>
      <c r="I17" s="13">
        <v>1</v>
      </c>
      <c r="J17" s="12">
        <v>12</v>
      </c>
    </row>
    <row r="18" spans="2:10">
      <c r="B18" s="9" t="s">
        <v>17</v>
      </c>
      <c r="C18" s="10">
        <f>0.02*E99</f>
        <v>22298244.960000001</v>
      </c>
      <c r="D18" s="13">
        <v>1</v>
      </c>
      <c r="E18" s="12">
        <v>1</v>
      </c>
      <c r="G18" s="9" t="s">
        <v>17</v>
      </c>
      <c r="H18" s="10">
        <f>0.02*J103</f>
        <v>37098224.592</v>
      </c>
      <c r="I18" s="13">
        <v>1</v>
      </c>
      <c r="J18" s="12">
        <v>1</v>
      </c>
    </row>
    <row r="19" spans="2:10">
      <c r="B19" s="220" t="s">
        <v>18</v>
      </c>
      <c r="C19" s="180"/>
      <c r="D19" s="180"/>
      <c r="E19" s="190"/>
      <c r="G19" s="189" t="s">
        <v>18</v>
      </c>
      <c r="H19" s="180"/>
      <c r="I19" s="180"/>
      <c r="J19" s="190"/>
    </row>
    <row r="20" spans="2:10" ht="15" customHeight="1">
      <c r="B20" s="9" t="s">
        <v>19</v>
      </c>
      <c r="C20" s="10">
        <v>180000</v>
      </c>
      <c r="D20" s="13">
        <v>5</v>
      </c>
      <c r="E20" s="221" t="s">
        <v>20</v>
      </c>
      <c r="G20" s="9" t="s">
        <v>234</v>
      </c>
      <c r="H20" s="10">
        <f>'Cálculo Importaciones'!D20</f>
        <v>32169713.149999999</v>
      </c>
      <c r="I20" s="13">
        <v>1</v>
      </c>
      <c r="J20" s="221" t="s">
        <v>20</v>
      </c>
    </row>
    <row r="21" spans="2:10" ht="15" customHeight="1">
      <c r="B21" s="9" t="s">
        <v>173</v>
      </c>
      <c r="C21" s="10" t="s">
        <v>200</v>
      </c>
      <c r="D21" s="13">
        <v>0</v>
      </c>
      <c r="E21" s="222"/>
      <c r="G21" s="9" t="s">
        <v>173</v>
      </c>
      <c r="H21" s="10">
        <f>'Software y Hardware'!E20</f>
        <v>19341634</v>
      </c>
      <c r="I21" s="13">
        <v>1</v>
      </c>
      <c r="J21" s="222"/>
    </row>
    <row r="22" spans="2:10" ht="15" customHeight="1">
      <c r="B22" s="9" t="s">
        <v>172</v>
      </c>
      <c r="C22" s="10" t="s">
        <v>200</v>
      </c>
      <c r="D22" s="13">
        <v>0</v>
      </c>
      <c r="E22" s="222"/>
      <c r="G22" s="9" t="s">
        <v>172</v>
      </c>
      <c r="H22" s="10">
        <f>'Software y Hardware'!E13</f>
        <v>153743930</v>
      </c>
      <c r="I22" s="13">
        <v>1</v>
      </c>
      <c r="J22" s="222"/>
    </row>
    <row r="23" spans="2:10" ht="15" customHeight="1">
      <c r="B23" s="9" t="s">
        <v>159</v>
      </c>
      <c r="C23" s="10">
        <f>'Acondicionamiento del Lugar'!E12</f>
        <v>17729200</v>
      </c>
      <c r="D23" s="13">
        <v>1</v>
      </c>
      <c r="E23" s="222"/>
      <c r="G23" s="9" t="s">
        <v>159</v>
      </c>
      <c r="H23" s="10">
        <f>'Acondicionamiento del Lugar'!E12</f>
        <v>17729200</v>
      </c>
      <c r="I23" s="13">
        <v>1</v>
      </c>
      <c r="J23" s="222"/>
    </row>
    <row r="24" spans="2:10">
      <c r="B24" s="9" t="s">
        <v>21</v>
      </c>
      <c r="C24" s="10">
        <v>210000</v>
      </c>
      <c r="D24" s="13">
        <v>1</v>
      </c>
      <c r="E24" s="223"/>
      <c r="G24" s="9" t="s">
        <v>19</v>
      </c>
      <c r="H24" s="10">
        <v>180000</v>
      </c>
      <c r="I24" s="13">
        <v>5</v>
      </c>
      <c r="J24" s="223"/>
    </row>
    <row r="25" spans="2:10">
      <c r="B25" s="9" t="s">
        <v>22</v>
      </c>
      <c r="C25" s="10">
        <v>461600</v>
      </c>
      <c r="D25" s="13">
        <v>1</v>
      </c>
      <c r="E25" s="223"/>
      <c r="G25" s="9" t="s">
        <v>21</v>
      </c>
      <c r="H25" s="10">
        <v>210000</v>
      </c>
      <c r="I25" s="13">
        <v>1</v>
      </c>
      <c r="J25" s="223"/>
    </row>
    <row r="26" spans="2:10" ht="15.75" customHeight="1">
      <c r="B26" s="9" t="s">
        <v>23</v>
      </c>
      <c r="C26" s="10">
        <f>'Cálculo Importaciones'!D7</f>
        <v>3629528</v>
      </c>
      <c r="D26" s="13">
        <v>1</v>
      </c>
      <c r="E26" s="223"/>
      <c r="G26" s="9" t="s">
        <v>24</v>
      </c>
      <c r="H26" s="10">
        <v>7523686</v>
      </c>
      <c r="I26" s="13">
        <v>1</v>
      </c>
      <c r="J26" s="223"/>
    </row>
    <row r="27" spans="2:10" ht="15.75" customHeight="1">
      <c r="B27" s="9" t="s">
        <v>25</v>
      </c>
      <c r="C27" s="10">
        <f>1464207+940983</f>
        <v>2405190</v>
      </c>
      <c r="D27" s="13">
        <v>1</v>
      </c>
      <c r="E27" s="223"/>
      <c r="G27" s="9" t="s">
        <v>26</v>
      </c>
      <c r="H27" s="10">
        <v>58000000</v>
      </c>
      <c r="I27" s="13">
        <v>1</v>
      </c>
      <c r="J27" s="223"/>
    </row>
    <row r="28" spans="2:10" ht="15.75" customHeight="1">
      <c r="B28" s="9" t="s">
        <v>27</v>
      </c>
      <c r="C28" s="10">
        <f>'Cálculo Importaciones'!D5</f>
        <v>86112870.099999994</v>
      </c>
      <c r="D28" s="13">
        <v>1</v>
      </c>
      <c r="E28" s="223"/>
      <c r="G28" s="9" t="s">
        <v>25</v>
      </c>
      <c r="H28" s="10">
        <f>1464207+940983</f>
        <v>2405190</v>
      </c>
      <c r="I28" s="13">
        <v>1</v>
      </c>
      <c r="J28" s="223"/>
    </row>
    <row r="29" spans="2:10" ht="15.75" customHeight="1">
      <c r="B29" s="9" t="s">
        <v>28</v>
      </c>
      <c r="C29" s="10">
        <v>179900</v>
      </c>
      <c r="D29" s="13">
        <v>1</v>
      </c>
      <c r="E29" s="223"/>
      <c r="G29" s="9" t="s">
        <v>23</v>
      </c>
      <c r="H29" s="10">
        <f>'Cálculo Importaciones'!D10</f>
        <v>34160272</v>
      </c>
      <c r="I29" s="13">
        <v>1</v>
      </c>
      <c r="J29" s="223"/>
    </row>
    <row r="30" spans="2:10" ht="15.75" customHeight="1">
      <c r="B30" s="9" t="s">
        <v>29</v>
      </c>
      <c r="C30" s="10">
        <v>1092990</v>
      </c>
      <c r="D30" s="13">
        <v>1</v>
      </c>
      <c r="E30" s="223"/>
      <c r="G30" s="9" t="s">
        <v>27</v>
      </c>
      <c r="H30" s="10">
        <f>'Cálculo Importaciones'!D5</f>
        <v>86112870.099999994</v>
      </c>
      <c r="I30" s="13">
        <v>1</v>
      </c>
      <c r="J30" s="223"/>
    </row>
    <row r="31" spans="2:10" ht="15.75" customHeight="1">
      <c r="B31" s="9" t="s">
        <v>30</v>
      </c>
      <c r="C31" s="10">
        <v>657900</v>
      </c>
      <c r="D31" s="13">
        <v>1</v>
      </c>
      <c r="E31" s="223"/>
      <c r="G31" s="9" t="s">
        <v>31</v>
      </c>
      <c r="H31" s="10">
        <f>'Cálculo Importaciones'!D14</f>
        <v>2579099</v>
      </c>
      <c r="I31" s="13">
        <v>1</v>
      </c>
      <c r="J31" s="223"/>
    </row>
    <row r="32" spans="2:10" ht="15.75" customHeight="1">
      <c r="B32" s="9" t="s">
        <v>32</v>
      </c>
      <c r="C32" s="10">
        <f>'Cálculo Importaciones'!D17</f>
        <v>50932671.149999999</v>
      </c>
      <c r="D32" s="13">
        <v>1</v>
      </c>
      <c r="E32" s="224"/>
      <c r="G32" s="9" t="s">
        <v>33</v>
      </c>
      <c r="H32" s="10">
        <v>500000</v>
      </c>
      <c r="I32" s="13">
        <v>2</v>
      </c>
      <c r="J32" s="223"/>
    </row>
    <row r="33" spans="2:10" ht="15.75" customHeight="1">
      <c r="B33" s="220" t="s">
        <v>34</v>
      </c>
      <c r="C33" s="180"/>
      <c r="D33" s="180"/>
      <c r="E33" s="190"/>
      <c r="G33" s="9" t="s">
        <v>26</v>
      </c>
      <c r="H33" s="10">
        <f>'Cálculo Importaciones'!D23</f>
        <v>140396600</v>
      </c>
      <c r="I33" s="13">
        <v>1</v>
      </c>
      <c r="J33" s="223"/>
    </row>
    <row r="34" spans="2:10" ht="15.75" customHeight="1">
      <c r="B34" s="9" t="s">
        <v>35</v>
      </c>
      <c r="C34" s="10">
        <v>29900</v>
      </c>
      <c r="D34" s="13">
        <v>1</v>
      </c>
      <c r="E34" s="12">
        <f t="shared" ref="E34:E35" si="0">D34*12*4</f>
        <v>48</v>
      </c>
      <c r="G34" s="9" t="s">
        <v>36</v>
      </c>
      <c r="H34" s="61">
        <f>'Cálculo Importaciones'!D26</f>
        <v>107176600</v>
      </c>
      <c r="I34" s="13">
        <v>1</v>
      </c>
      <c r="J34" s="223"/>
    </row>
    <row r="35" spans="2:10" ht="15.75" customHeight="1">
      <c r="B35" s="9" t="s">
        <v>37</v>
      </c>
      <c r="C35" s="10">
        <v>35900</v>
      </c>
      <c r="D35" s="13">
        <v>1</v>
      </c>
      <c r="E35" s="12">
        <f t="shared" si="0"/>
        <v>48</v>
      </c>
      <c r="G35" s="9" t="s">
        <v>30</v>
      </c>
      <c r="H35" s="10">
        <v>657900</v>
      </c>
      <c r="I35" s="13">
        <v>1</v>
      </c>
      <c r="J35" s="223"/>
    </row>
    <row r="36" spans="2:10" ht="15.75" customHeight="1">
      <c r="B36" s="9" t="s">
        <v>38</v>
      </c>
      <c r="C36" s="10">
        <v>18900</v>
      </c>
      <c r="D36" s="13">
        <v>2</v>
      </c>
      <c r="E36" s="12">
        <f>D36*12*2</f>
        <v>48</v>
      </c>
      <c r="G36" s="9" t="s">
        <v>32</v>
      </c>
      <c r="H36" s="10">
        <f>'Cálculo Importaciones'!D17</f>
        <v>50932671.149999999</v>
      </c>
      <c r="I36" s="13">
        <v>1</v>
      </c>
      <c r="J36" s="224"/>
    </row>
    <row r="37" spans="2:10" ht="15.75" customHeight="1">
      <c r="B37" s="9" t="s">
        <v>39</v>
      </c>
      <c r="C37" s="10">
        <v>159920</v>
      </c>
      <c r="D37" s="13">
        <v>1</v>
      </c>
      <c r="E37" s="12">
        <v>6</v>
      </c>
      <c r="G37" s="189" t="s">
        <v>34</v>
      </c>
      <c r="H37" s="180"/>
      <c r="I37" s="180"/>
      <c r="J37" s="190"/>
    </row>
    <row r="38" spans="2:10" ht="15.75" customHeight="1">
      <c r="B38" s="9" t="s">
        <v>40</v>
      </c>
      <c r="C38" s="10">
        <v>40000</v>
      </c>
      <c r="D38" s="13">
        <v>2</v>
      </c>
      <c r="E38" s="12">
        <f>D38*20*12</f>
        <v>480</v>
      </c>
      <c r="G38" s="9" t="s">
        <v>35</v>
      </c>
      <c r="H38" s="10">
        <v>29900</v>
      </c>
      <c r="I38" s="13">
        <v>1</v>
      </c>
      <c r="J38" s="12">
        <f t="shared" ref="J38:J40" si="1">I38*12*4</f>
        <v>48</v>
      </c>
    </row>
    <row r="39" spans="2:10" ht="15.75" customHeight="1">
      <c r="B39" s="9" t="s">
        <v>166</v>
      </c>
      <c r="C39" s="10">
        <v>700000</v>
      </c>
      <c r="D39" s="13">
        <v>1</v>
      </c>
      <c r="E39" s="12">
        <v>12</v>
      </c>
      <c r="G39" s="9" t="s">
        <v>166</v>
      </c>
      <c r="H39" s="10">
        <v>700000</v>
      </c>
      <c r="I39" s="13">
        <v>1</v>
      </c>
      <c r="J39" s="12">
        <v>12</v>
      </c>
    </row>
    <row r="40" spans="2:10" ht="15.75" customHeight="1">
      <c r="B40" s="9" t="s">
        <v>41</v>
      </c>
      <c r="C40" s="10">
        <v>13000</v>
      </c>
      <c r="D40" s="13">
        <v>1</v>
      </c>
      <c r="E40" s="12">
        <f>4*12</f>
        <v>48</v>
      </c>
      <c r="G40" s="9" t="s">
        <v>37</v>
      </c>
      <c r="H40" s="10">
        <v>35900</v>
      </c>
      <c r="I40" s="13">
        <v>1</v>
      </c>
      <c r="J40" s="12">
        <f t="shared" si="1"/>
        <v>48</v>
      </c>
    </row>
    <row r="41" spans="2:10" ht="15.75" customHeight="1">
      <c r="B41" s="9" t="s">
        <v>42</v>
      </c>
      <c r="C41" s="191" t="s">
        <v>43</v>
      </c>
      <c r="D41" s="187"/>
      <c r="E41" s="192"/>
      <c r="G41" s="9" t="s">
        <v>38</v>
      </c>
      <c r="H41" s="10">
        <v>18900</v>
      </c>
      <c r="I41" s="13">
        <v>2</v>
      </c>
      <c r="J41" s="12">
        <f>I41*12*2</f>
        <v>48</v>
      </c>
    </row>
    <row r="42" spans="2:10" ht="15.75" customHeight="1">
      <c r="B42" s="9" t="s">
        <v>44</v>
      </c>
      <c r="C42" s="193"/>
      <c r="D42" s="194"/>
      <c r="E42" s="195"/>
      <c r="G42" s="9" t="s">
        <v>39</v>
      </c>
      <c r="H42" s="10">
        <v>159920</v>
      </c>
      <c r="I42" s="13">
        <v>1</v>
      </c>
      <c r="J42" s="12">
        <v>6</v>
      </c>
    </row>
    <row r="43" spans="2:10" ht="15.75" customHeight="1">
      <c r="B43" s="175" t="s">
        <v>45</v>
      </c>
      <c r="C43" s="180"/>
      <c r="D43" s="181"/>
      <c r="E43" s="14">
        <f>(C8*E8)+(C9*E9)+(C10*E10)+(C11*E11)+(C12*E12)+(C13*E13*D13)+(C14*E14)+(C15*E15)+(C18*E18)+(C16*D16*E16)+(C17*E17)</f>
        <v>935757925.05899644</v>
      </c>
      <c r="G43" s="9" t="s">
        <v>40</v>
      </c>
      <c r="H43" s="10">
        <v>40000</v>
      </c>
      <c r="I43" s="13">
        <v>2</v>
      </c>
      <c r="J43" s="12">
        <f>I43*20*12</f>
        <v>480</v>
      </c>
    </row>
    <row r="44" spans="2:10" ht="15.75" customHeight="1">
      <c r="B44" s="199" t="s">
        <v>18</v>
      </c>
      <c r="C44" s="200"/>
      <c r="D44" s="201"/>
      <c r="E44" s="76">
        <f>SUM(C20:C32)</f>
        <v>163591849.25</v>
      </c>
      <c r="G44" s="9" t="s">
        <v>41</v>
      </c>
      <c r="H44" s="10">
        <v>13000</v>
      </c>
      <c r="I44" s="13">
        <v>1</v>
      </c>
      <c r="J44" s="12">
        <f>4*12</f>
        <v>48</v>
      </c>
    </row>
    <row r="45" spans="2:10" ht="15.75" customHeight="1">
      <c r="B45" s="175" t="s">
        <v>46</v>
      </c>
      <c r="C45" s="180"/>
      <c r="D45" s="181"/>
      <c r="E45" s="14">
        <f>(C34*E34)+(C35*E35)+(C36*E36)+(C37*E37)+(C38*E38)+(C40*E40)+(C39*D39*E39)</f>
        <v>33249120</v>
      </c>
      <c r="G45" s="9" t="s">
        <v>47</v>
      </c>
      <c r="H45" s="61">
        <f>1430023+778917</f>
        <v>2208940</v>
      </c>
      <c r="I45" s="62">
        <v>2</v>
      </c>
      <c r="J45" s="63">
        <v>2</v>
      </c>
    </row>
    <row r="46" spans="2:10" ht="15.75" customHeight="1">
      <c r="B46" s="167" t="s">
        <v>48</v>
      </c>
      <c r="C46" s="168"/>
      <c r="D46" s="169"/>
      <c r="E46" s="15">
        <f>SUM(E43:E45)</f>
        <v>1132598894.3089964</v>
      </c>
      <c r="G46" s="9" t="s">
        <v>42</v>
      </c>
      <c r="H46" s="191" t="s">
        <v>43</v>
      </c>
      <c r="I46" s="187"/>
      <c r="J46" s="192"/>
    </row>
    <row r="47" spans="2:10" ht="15.75" customHeight="1">
      <c r="B47" s="11"/>
      <c r="C47" s="11"/>
      <c r="D47" s="11"/>
      <c r="G47" s="9" t="s">
        <v>44</v>
      </c>
      <c r="H47" s="193"/>
      <c r="I47" s="194"/>
      <c r="J47" s="195"/>
    </row>
    <row r="48" spans="2:10" ht="15.75" customHeight="1">
      <c r="G48" s="175" t="s">
        <v>45</v>
      </c>
      <c r="H48" s="180"/>
      <c r="I48" s="181"/>
      <c r="J48" s="14">
        <f>(H8*J8)+(H9*J9)+(H10*J10)+(H11*J11)+(H12*J12)+(H13*J13*I13)+(H14*J14)+(H15*J15)+(H18*J18)+(H16*I16*J16)+(H17*J17)</f>
        <v>1305630761.2472</v>
      </c>
    </row>
    <row r="49" spans="2:10" ht="15.75" customHeight="1">
      <c r="B49" s="196" t="s">
        <v>49</v>
      </c>
      <c r="C49" s="197"/>
      <c r="D49" s="197"/>
      <c r="E49" s="198"/>
      <c r="G49" s="175" t="s">
        <v>18</v>
      </c>
      <c r="H49" s="180"/>
      <c r="I49" s="181"/>
      <c r="J49" s="14">
        <f>SUM(H20:H36)+H32</f>
        <v>714319365.39999998</v>
      </c>
    </row>
    <row r="50" spans="2:10" ht="15.75" customHeight="1">
      <c r="B50" s="16"/>
      <c r="C50" s="17" t="s">
        <v>50</v>
      </c>
      <c r="D50" s="17" t="s">
        <v>51</v>
      </c>
      <c r="E50" s="18" t="s">
        <v>52</v>
      </c>
      <c r="G50" s="175" t="s">
        <v>46</v>
      </c>
      <c r="H50" s="180"/>
      <c r="I50" s="181"/>
      <c r="J50" s="14">
        <f>(H38*J38)+(H40*J40)+(H41*J41)+(H42*J42)+(H43*J43)+(H44*J44)+(H45*J45)+(H39*J39)</f>
        <v>37667000</v>
      </c>
    </row>
    <row r="51" spans="2:10" ht="15.75" customHeight="1">
      <c r="B51" s="19" t="s">
        <v>53</v>
      </c>
      <c r="C51" s="20">
        <f>E51*D51</f>
        <v>252</v>
      </c>
      <c r="D51" s="20">
        <v>14</v>
      </c>
      <c r="E51" s="21">
        <v>18</v>
      </c>
      <c r="G51" s="167" t="s">
        <v>48</v>
      </c>
      <c r="H51" s="168"/>
      <c r="I51" s="169"/>
      <c r="J51" s="15">
        <f>SUM(J48:J50)</f>
        <v>2057617126.6472001</v>
      </c>
    </row>
    <row r="52" spans="2:10" ht="15.75" customHeight="1">
      <c r="B52" s="22" t="s">
        <v>4</v>
      </c>
      <c r="C52" s="23" t="s">
        <v>54</v>
      </c>
      <c r="D52" s="23" t="s">
        <v>55</v>
      </c>
      <c r="E52" s="24" t="s">
        <v>56</v>
      </c>
      <c r="G52" s="2"/>
    </row>
    <row r="53" spans="2:10" ht="15.75" customHeight="1">
      <c r="B53" s="9" t="s">
        <v>57</v>
      </c>
      <c r="C53" s="26">
        <v>78446</v>
      </c>
      <c r="D53" s="13">
        <f>ROUNDUP((E51*D51*1.25)*1,0)</f>
        <v>315</v>
      </c>
      <c r="E53" s="14">
        <f t="shared" ref="E53:E56" si="2">D53*C53</f>
        <v>24710490</v>
      </c>
      <c r="G53" s="196" t="s">
        <v>49</v>
      </c>
      <c r="H53" s="197"/>
      <c r="I53" s="197"/>
      <c r="J53" s="198"/>
    </row>
    <row r="54" spans="2:10" ht="15.75" customHeight="1">
      <c r="B54" s="9" t="s">
        <v>58</v>
      </c>
      <c r="C54" s="26">
        <v>7400</v>
      </c>
      <c r="D54" s="13">
        <f>ROUNDUP(E51*D51*2,0)</f>
        <v>504</v>
      </c>
      <c r="E54" s="14">
        <f t="shared" si="2"/>
        <v>3729600</v>
      </c>
      <c r="G54" s="27"/>
      <c r="H54" s="28" t="s">
        <v>50</v>
      </c>
      <c r="I54" s="28" t="s">
        <v>51</v>
      </c>
      <c r="J54" s="29" t="s">
        <v>52</v>
      </c>
    </row>
    <row r="55" spans="2:10" ht="15.75" customHeight="1">
      <c r="B55" s="9" t="s">
        <v>59</v>
      </c>
      <c r="C55" s="26">
        <v>13573</v>
      </c>
      <c r="D55" s="13">
        <f>ROUNDUP(E51*D51*0.28/6,0)</f>
        <v>12</v>
      </c>
      <c r="E55" s="14">
        <f t="shared" si="2"/>
        <v>162876</v>
      </c>
      <c r="G55" s="30" t="s">
        <v>53</v>
      </c>
      <c r="H55" s="31">
        <f>I55*J55</f>
        <v>1036</v>
      </c>
      <c r="I55" s="31">
        <v>14</v>
      </c>
      <c r="J55" s="32">
        <v>74</v>
      </c>
    </row>
    <row r="56" spans="2:10" ht="15.75" customHeight="1">
      <c r="B56" s="9" t="s">
        <v>60</v>
      </c>
      <c r="C56" s="26">
        <v>39000</v>
      </c>
      <c r="D56" s="13">
        <f>C51*2</f>
        <v>504</v>
      </c>
      <c r="E56" s="14">
        <f t="shared" si="2"/>
        <v>19656000</v>
      </c>
      <c r="G56" s="22" t="s">
        <v>4</v>
      </c>
      <c r="H56" s="23" t="s">
        <v>54</v>
      </c>
      <c r="I56" s="23" t="s">
        <v>55</v>
      </c>
      <c r="J56" s="24" t="s">
        <v>56</v>
      </c>
    </row>
    <row r="57" spans="2:10" ht="15.75" customHeight="1">
      <c r="B57" s="175" t="s">
        <v>61</v>
      </c>
      <c r="C57" s="180"/>
      <c r="D57" s="181"/>
      <c r="E57" s="14">
        <f>SUM(E53:E56)</f>
        <v>48258966</v>
      </c>
      <c r="G57" s="9" t="s">
        <v>57</v>
      </c>
      <c r="H57" s="26">
        <v>78446</v>
      </c>
      <c r="I57" s="13">
        <f>ROUNDUP((J55*I55*1.25)*1,0)</f>
        <v>1295</v>
      </c>
      <c r="J57" s="14">
        <f t="shared" ref="J57:J60" si="3">I57*H57</f>
        <v>101587570</v>
      </c>
    </row>
    <row r="58" spans="2:10" ht="15.75" customHeight="1">
      <c r="B58" s="186" t="s">
        <v>62</v>
      </c>
      <c r="C58" s="187"/>
      <c r="D58" s="188"/>
      <c r="E58" s="39">
        <f>E57/C51</f>
        <v>191503.83333333334</v>
      </c>
      <c r="G58" s="9" t="s">
        <v>58</v>
      </c>
      <c r="H58" s="26">
        <v>7400</v>
      </c>
      <c r="I58" s="13">
        <f>ROUNDUP(J55*I55*2,0)</f>
        <v>2072</v>
      </c>
      <c r="J58" s="14">
        <f t="shared" si="3"/>
        <v>15332800</v>
      </c>
    </row>
    <row r="59" spans="2:10" ht="15.75" customHeight="1">
      <c r="B59" s="19" t="s">
        <v>63</v>
      </c>
      <c r="C59" s="20">
        <f>E59*D59</f>
        <v>385</v>
      </c>
      <c r="D59" s="20">
        <v>7</v>
      </c>
      <c r="E59" s="21">
        <v>55</v>
      </c>
      <c r="G59" s="9" t="s">
        <v>59</v>
      </c>
      <c r="H59" s="26">
        <v>13573</v>
      </c>
      <c r="I59" s="13">
        <f>ROUNDUP(J55*I55*0.28/6,0)</f>
        <v>49</v>
      </c>
      <c r="J59" s="14">
        <f t="shared" si="3"/>
        <v>665077</v>
      </c>
    </row>
    <row r="60" spans="2:10" ht="15.75" customHeight="1">
      <c r="B60" s="33" t="s">
        <v>64</v>
      </c>
      <c r="C60" s="34">
        <v>37750</v>
      </c>
      <c r="D60" s="35">
        <f>ROUNDUP(($E$59*D59*3)/6,0)</f>
        <v>193</v>
      </c>
      <c r="E60" s="36">
        <f t="shared" ref="E60:E63" si="4">D60*C60</f>
        <v>7285750</v>
      </c>
      <c r="G60" s="9" t="s">
        <v>60</v>
      </c>
      <c r="H60" s="26">
        <v>39000</v>
      </c>
      <c r="I60" s="13">
        <f>H55*2</f>
        <v>2072</v>
      </c>
      <c r="J60" s="14">
        <f t="shared" si="3"/>
        <v>80808000</v>
      </c>
    </row>
    <row r="61" spans="2:10" ht="15.75" customHeight="1">
      <c r="B61" s="9" t="s">
        <v>65</v>
      </c>
      <c r="C61" s="26">
        <v>11282</v>
      </c>
      <c r="D61" s="13">
        <f>ROUNDUP(($E$59*D59*1)/6,0)</f>
        <v>65</v>
      </c>
      <c r="E61" s="14">
        <f t="shared" si="4"/>
        <v>733330</v>
      </c>
      <c r="G61" s="175" t="s">
        <v>61</v>
      </c>
      <c r="H61" s="180"/>
      <c r="I61" s="181"/>
      <c r="J61" s="14">
        <f>SUM(J57:J60)</f>
        <v>198393447</v>
      </c>
    </row>
    <row r="62" spans="2:10" ht="15.75" customHeight="1">
      <c r="B62" s="9" t="s">
        <v>66</v>
      </c>
      <c r="C62" s="26">
        <v>80000</v>
      </c>
      <c r="D62" s="13">
        <f>C59/5</f>
        <v>77</v>
      </c>
      <c r="E62" s="14">
        <f t="shared" si="4"/>
        <v>6160000</v>
      </c>
      <c r="G62" s="186" t="s">
        <v>62</v>
      </c>
      <c r="H62" s="187"/>
      <c r="I62" s="188"/>
      <c r="J62" s="39">
        <f>J61/H55</f>
        <v>191499.46621621621</v>
      </c>
    </row>
    <row r="63" spans="2:10" ht="15.75" customHeight="1">
      <c r="B63" s="9" t="s">
        <v>67</v>
      </c>
      <c r="C63" s="10">
        <v>11000</v>
      </c>
      <c r="D63" s="13">
        <f>C59*4</f>
        <v>1540</v>
      </c>
      <c r="E63" s="14">
        <f t="shared" si="4"/>
        <v>16940000</v>
      </c>
      <c r="G63" s="30" t="s">
        <v>63</v>
      </c>
      <c r="H63" s="31">
        <f>I63*J63</f>
        <v>630</v>
      </c>
      <c r="I63" s="37">
        <v>7</v>
      </c>
      <c r="J63" s="38">
        <v>90</v>
      </c>
    </row>
    <row r="64" spans="2:10" ht="15.75" customHeight="1">
      <c r="B64" s="175" t="s">
        <v>61</v>
      </c>
      <c r="C64" s="180"/>
      <c r="D64" s="181"/>
      <c r="E64" s="14">
        <f>SUM(E60:E63)</f>
        <v>31119080</v>
      </c>
      <c r="G64" s="33" t="s">
        <v>64</v>
      </c>
      <c r="H64" s="34">
        <v>37750</v>
      </c>
      <c r="I64" s="35">
        <f>ROUNDUP((J63*I63*3)/6,0)</f>
        <v>315</v>
      </c>
      <c r="J64" s="36">
        <f t="shared" ref="J64:J67" si="5">I64*H64</f>
        <v>11891250</v>
      </c>
    </row>
    <row r="65" spans="2:10" ht="15.75" customHeight="1">
      <c r="B65" s="186" t="s">
        <v>62</v>
      </c>
      <c r="C65" s="187"/>
      <c r="D65" s="188"/>
      <c r="E65" s="39">
        <f>E64/C59</f>
        <v>80828.779220779223</v>
      </c>
      <c r="G65" s="9" t="s">
        <v>65</v>
      </c>
      <c r="H65" s="26">
        <v>11282</v>
      </c>
      <c r="I65" s="13">
        <f>ROUNDUP((J63*I63*1)/6,0)</f>
        <v>105</v>
      </c>
      <c r="J65" s="14">
        <f t="shared" si="5"/>
        <v>1184610</v>
      </c>
    </row>
    <row r="66" spans="2:10" ht="15.75" customHeight="1">
      <c r="B66" s="19" t="s">
        <v>68</v>
      </c>
      <c r="C66" s="20">
        <f>D66*E66</f>
        <v>196</v>
      </c>
      <c r="D66" s="20">
        <v>7</v>
      </c>
      <c r="E66" s="21">
        <v>28</v>
      </c>
      <c r="G66" s="9" t="s">
        <v>66</v>
      </c>
      <c r="H66" s="26">
        <v>80000</v>
      </c>
      <c r="I66" s="13">
        <f>H63/5</f>
        <v>126</v>
      </c>
      <c r="J66" s="14">
        <f t="shared" si="5"/>
        <v>10080000</v>
      </c>
    </row>
    <row r="67" spans="2:10" ht="15.75" customHeight="1">
      <c r="B67" s="33" t="s">
        <v>69</v>
      </c>
      <c r="C67" s="40">
        <v>36222</v>
      </c>
      <c r="D67" s="35">
        <f>ROUNDUP(($E$66*D66*2)/6, 0)</f>
        <v>66</v>
      </c>
      <c r="E67" s="36">
        <f t="shared" ref="E67:E73" si="6">D67*C67</f>
        <v>2390652</v>
      </c>
      <c r="G67" s="9" t="s">
        <v>67</v>
      </c>
      <c r="H67" s="10">
        <v>11000</v>
      </c>
      <c r="I67" s="13">
        <f>H63*4</f>
        <v>2520</v>
      </c>
      <c r="J67" s="14">
        <f t="shared" si="5"/>
        <v>27720000</v>
      </c>
    </row>
    <row r="68" spans="2:10" ht="15.75" customHeight="1">
      <c r="B68" s="9" t="s">
        <v>70</v>
      </c>
      <c r="C68" s="10">
        <v>25788</v>
      </c>
      <c r="D68" s="13">
        <f>ROUNDUP(($E$66*D66*2)/6, 0)</f>
        <v>66</v>
      </c>
      <c r="E68" s="14">
        <f t="shared" si="6"/>
        <v>1702008</v>
      </c>
      <c r="G68" s="175" t="s">
        <v>61</v>
      </c>
      <c r="H68" s="180"/>
      <c r="I68" s="181"/>
      <c r="J68" s="14">
        <f>SUM(J64:J67)</f>
        <v>50875860</v>
      </c>
    </row>
    <row r="69" spans="2:10" ht="15.75" customHeight="1">
      <c r="B69" s="9" t="s">
        <v>71</v>
      </c>
      <c r="C69" s="10">
        <v>9044</v>
      </c>
      <c r="D69" s="13">
        <f>ROUNDUP(($E$66*D66*2), 0)</f>
        <v>392</v>
      </c>
      <c r="E69" s="14">
        <f t="shared" si="6"/>
        <v>3545248</v>
      </c>
      <c r="G69" s="186" t="s">
        <v>62</v>
      </c>
      <c r="H69" s="187"/>
      <c r="I69" s="188"/>
      <c r="J69" s="39">
        <f>J68/H63</f>
        <v>80755.333333333328</v>
      </c>
    </row>
    <row r="70" spans="2:10" ht="15.75" customHeight="1">
      <c r="B70" s="9" t="s">
        <v>67</v>
      </c>
      <c r="C70" s="10">
        <v>6000</v>
      </c>
      <c r="D70" s="13">
        <f>ROUNDUP(($E$66*D66*4), 0)</f>
        <v>784</v>
      </c>
      <c r="E70" s="14">
        <f t="shared" si="6"/>
        <v>4704000</v>
      </c>
      <c r="G70" s="30" t="s">
        <v>68</v>
      </c>
      <c r="H70" s="31">
        <f>I70*J70</f>
        <v>574</v>
      </c>
      <c r="I70" s="31">
        <v>7</v>
      </c>
      <c r="J70" s="32">
        <v>82</v>
      </c>
    </row>
    <row r="71" spans="2:10" ht="15.75" customHeight="1">
      <c r="B71" s="9" t="s">
        <v>72</v>
      </c>
      <c r="C71" s="10">
        <v>21200</v>
      </c>
      <c r="D71" s="13">
        <f>ROUNDUP(($E$66*D66*11)/160, 0)</f>
        <v>14</v>
      </c>
      <c r="E71" s="14">
        <f t="shared" si="6"/>
        <v>296800</v>
      </c>
      <c r="G71" s="33" t="s">
        <v>69</v>
      </c>
      <c r="H71" s="40">
        <v>57166</v>
      </c>
      <c r="I71" s="13">
        <f>ROUNDUP(($H$70*2)/6, 0)</f>
        <v>192</v>
      </c>
      <c r="J71" s="36">
        <f t="shared" ref="J71:J77" si="7">I71*H71</f>
        <v>10975872</v>
      </c>
    </row>
    <row r="72" spans="2:10" ht="15.75" customHeight="1">
      <c r="B72" s="9" t="s">
        <v>73</v>
      </c>
      <c r="C72" s="10">
        <v>57900</v>
      </c>
      <c r="D72" s="13">
        <f>ROUNDUP(($E$66*D66)/20, 0)</f>
        <v>10</v>
      </c>
      <c r="E72" s="14">
        <f t="shared" si="6"/>
        <v>579000</v>
      </c>
      <c r="G72" s="9" t="s">
        <v>70</v>
      </c>
      <c r="H72" s="10">
        <v>44272</v>
      </c>
      <c r="I72" s="13">
        <f>ROUNDUP(($H$70*2)/6, 0)</f>
        <v>192</v>
      </c>
      <c r="J72" s="36">
        <f t="shared" si="7"/>
        <v>8500224</v>
      </c>
    </row>
    <row r="73" spans="2:10" ht="15.75" customHeight="1">
      <c r="B73" s="9" t="s">
        <v>74</v>
      </c>
      <c r="C73" s="10">
        <v>200</v>
      </c>
      <c r="D73" s="13">
        <f>ROUNDUP(($E$66*D66*8), 0)</f>
        <v>1568</v>
      </c>
      <c r="E73" s="14">
        <f t="shared" si="6"/>
        <v>313600</v>
      </c>
      <c r="G73" s="9" t="s">
        <v>75</v>
      </c>
      <c r="H73" s="10">
        <v>9044</v>
      </c>
      <c r="I73" s="13">
        <f>ROUNDUP(($H$70*2), 0)</f>
        <v>1148</v>
      </c>
      <c r="J73" s="36">
        <f t="shared" si="7"/>
        <v>10382512</v>
      </c>
    </row>
    <row r="74" spans="2:10" ht="15.75" customHeight="1">
      <c r="B74" s="175" t="s">
        <v>61</v>
      </c>
      <c r="C74" s="180"/>
      <c r="D74" s="181"/>
      <c r="E74" s="14">
        <f>SUM(E67:E73)</f>
        <v>13531308</v>
      </c>
      <c r="G74" s="9" t="s">
        <v>67</v>
      </c>
      <c r="H74" s="10">
        <v>6000</v>
      </c>
      <c r="I74" s="13">
        <f>ROUNDUP(($H$70*4), 0)</f>
        <v>2296</v>
      </c>
      <c r="J74" s="36">
        <f t="shared" si="7"/>
        <v>13776000</v>
      </c>
    </row>
    <row r="75" spans="2:10" ht="15.75" customHeight="1">
      <c r="B75" s="175" t="s">
        <v>62</v>
      </c>
      <c r="C75" s="180"/>
      <c r="D75" s="181"/>
      <c r="E75" s="14">
        <f>E74/C66</f>
        <v>69037.28571428571</v>
      </c>
      <c r="G75" s="9" t="s">
        <v>72</v>
      </c>
      <c r="H75" s="10">
        <v>44000</v>
      </c>
      <c r="I75" s="13">
        <f>ROUNDUP(($H$70*11)/160, 0)</f>
        <v>40</v>
      </c>
      <c r="J75" s="36">
        <f t="shared" si="7"/>
        <v>1760000</v>
      </c>
    </row>
    <row r="76" spans="2:10" ht="15.75" customHeight="1">
      <c r="B76" s="167" t="s">
        <v>76</v>
      </c>
      <c r="C76" s="168"/>
      <c r="D76" s="169"/>
      <c r="E76" s="15">
        <f>(E57*12)+(E64*12)+(E74*12)</f>
        <v>1114912248</v>
      </c>
      <c r="G76" s="9" t="s">
        <v>73</v>
      </c>
      <c r="H76" s="10">
        <v>57900</v>
      </c>
      <c r="I76" s="13">
        <f>ROUNDUP(($H$70)/20, 0)</f>
        <v>29</v>
      </c>
      <c r="J76" s="36">
        <f t="shared" si="7"/>
        <v>1679100</v>
      </c>
    </row>
    <row r="77" spans="2:10" ht="15.75" customHeight="1">
      <c r="G77" s="9" t="s">
        <v>74</v>
      </c>
      <c r="H77" s="10">
        <v>200</v>
      </c>
      <c r="I77" s="13">
        <f>ROUNDUP(($H$70*8), 0)</f>
        <v>4592</v>
      </c>
      <c r="J77" s="36">
        <f t="shared" si="7"/>
        <v>918400</v>
      </c>
    </row>
    <row r="78" spans="2:10" ht="15.75" customHeight="1">
      <c r="B78" s="185" t="s">
        <v>77</v>
      </c>
      <c r="C78" s="165"/>
      <c r="D78" s="165"/>
      <c r="E78" s="166"/>
      <c r="G78" s="175" t="s">
        <v>61</v>
      </c>
      <c r="H78" s="180"/>
      <c r="I78" s="181"/>
      <c r="J78" s="14">
        <f>SUM(J71:J77)</f>
        <v>47992108</v>
      </c>
    </row>
    <row r="79" spans="2:10" ht="15.75" customHeight="1">
      <c r="B79" s="41" t="s">
        <v>4</v>
      </c>
      <c r="C79" s="13" t="s">
        <v>5</v>
      </c>
      <c r="D79" s="13" t="s">
        <v>78</v>
      </c>
      <c r="E79" s="12" t="s">
        <v>79</v>
      </c>
      <c r="G79" s="175" t="s">
        <v>62</v>
      </c>
      <c r="H79" s="180"/>
      <c r="I79" s="181"/>
      <c r="J79" s="14">
        <f>J78/H70</f>
        <v>83609.944250871078</v>
      </c>
    </row>
    <row r="80" spans="2:10" ht="15.75" customHeight="1" thickBot="1">
      <c r="B80" s="9" t="s">
        <v>80</v>
      </c>
      <c r="C80" s="26">
        <v>1270034</v>
      </c>
      <c r="D80" s="42">
        <v>2</v>
      </c>
      <c r="E80" s="14">
        <f>D80*C80</f>
        <v>2540068</v>
      </c>
      <c r="G80" s="167" t="s">
        <v>76</v>
      </c>
      <c r="H80" s="168"/>
      <c r="I80" s="169"/>
      <c r="J80" s="15">
        <f>(J61*12)+(J68*12)+(J78*12)</f>
        <v>3567136980</v>
      </c>
    </row>
    <row r="81" spans="2:10" ht="15.75" customHeight="1" thickBot="1">
      <c r="B81" s="43" t="s">
        <v>81</v>
      </c>
      <c r="C81" s="44">
        <v>245472</v>
      </c>
      <c r="D81" s="45">
        <v>1</v>
      </c>
      <c r="E81" s="39">
        <f>C81</f>
        <v>245472</v>
      </c>
    </row>
    <row r="82" spans="2:10" ht="15.75" customHeight="1" thickBot="1">
      <c r="B82" s="43" t="s">
        <v>172</v>
      </c>
      <c r="C82" s="44" t="s">
        <v>200</v>
      </c>
      <c r="D82" s="45">
        <v>0</v>
      </c>
      <c r="E82" s="39" t="str">
        <f>C82</f>
        <v>-</v>
      </c>
      <c r="G82" s="182" t="s">
        <v>77</v>
      </c>
      <c r="H82" s="183"/>
      <c r="I82" s="183"/>
      <c r="J82" s="184"/>
    </row>
    <row r="83" spans="2:10" ht="15.75" customHeight="1" thickBot="1">
      <c r="B83" s="167" t="s">
        <v>82</v>
      </c>
      <c r="C83" s="168"/>
      <c r="D83" s="169"/>
      <c r="E83" s="15">
        <f>SUM(E80:E82)</f>
        <v>2785540</v>
      </c>
      <c r="G83" s="46" t="s">
        <v>4</v>
      </c>
      <c r="H83" s="47" t="s">
        <v>5</v>
      </c>
      <c r="I83" s="47" t="s">
        <v>78</v>
      </c>
      <c r="J83" s="48" t="s">
        <v>79</v>
      </c>
    </row>
    <row r="84" spans="2:10" ht="15.75" customHeight="1" thickBot="1">
      <c r="G84" s="9" t="s">
        <v>80</v>
      </c>
      <c r="H84" s="26">
        <v>2270034</v>
      </c>
      <c r="I84" s="42">
        <v>12</v>
      </c>
      <c r="J84" s="14">
        <f>I84*H84</f>
        <v>27240408</v>
      </c>
    </row>
    <row r="85" spans="2:10" ht="15.75" customHeight="1">
      <c r="B85" s="156" t="s">
        <v>167</v>
      </c>
      <c r="C85" s="157"/>
      <c r="D85" s="157"/>
      <c r="E85" s="158"/>
      <c r="G85" s="43" t="s">
        <v>81</v>
      </c>
      <c r="H85" s="44">
        <v>245472</v>
      </c>
      <c r="I85" s="45">
        <v>1</v>
      </c>
      <c r="J85" s="39">
        <f>H85</f>
        <v>245472</v>
      </c>
    </row>
    <row r="86" spans="2:10" ht="15.75" customHeight="1">
      <c r="B86" s="69" t="s">
        <v>154</v>
      </c>
      <c r="C86" s="65" t="s">
        <v>157</v>
      </c>
      <c r="D86" s="65" t="s">
        <v>158</v>
      </c>
      <c r="E86" s="70" t="s">
        <v>107</v>
      </c>
      <c r="G86" s="43" t="s">
        <v>172</v>
      </c>
      <c r="H86" s="44">
        <f>'Software y Hardware'!E14</f>
        <v>35701834</v>
      </c>
      <c r="I86" s="45">
        <v>1</v>
      </c>
      <c r="J86" s="39">
        <f>H86</f>
        <v>35701834</v>
      </c>
    </row>
    <row r="87" spans="2:10" ht="15.75" customHeight="1" thickBot="1">
      <c r="B87" s="74" t="s">
        <v>155</v>
      </c>
      <c r="C87" s="65">
        <v>50</v>
      </c>
      <c r="D87" s="66">
        <f>4000000/20</f>
        <v>200000</v>
      </c>
      <c r="E87" s="71">
        <f>D87*C87*5</f>
        <v>50000000</v>
      </c>
      <c r="G87" s="167" t="s">
        <v>82</v>
      </c>
      <c r="H87" s="168"/>
      <c r="I87" s="169"/>
      <c r="J87" s="15">
        <f>SUM(J84:J86)</f>
        <v>63187714</v>
      </c>
    </row>
    <row r="88" spans="2:10" ht="15.75" customHeight="1" thickBot="1">
      <c r="B88" s="74" t="s">
        <v>156</v>
      </c>
      <c r="C88" s="65">
        <v>15</v>
      </c>
      <c r="D88" s="66">
        <f>1500000/20</f>
        <v>75000</v>
      </c>
      <c r="E88" s="71">
        <f>D88*C88*10</f>
        <v>11250000</v>
      </c>
    </row>
    <row r="89" spans="2:10" ht="15.75" customHeight="1">
      <c r="B89" s="74" t="s">
        <v>168</v>
      </c>
      <c r="C89" s="67">
        <v>10</v>
      </c>
      <c r="D89" s="68">
        <f>D87</f>
        <v>200000</v>
      </c>
      <c r="E89" s="72">
        <f>D89*C89</f>
        <v>2000000</v>
      </c>
      <c r="G89" s="156" t="s">
        <v>167</v>
      </c>
      <c r="H89" s="157"/>
      <c r="I89" s="157"/>
      <c r="J89" s="158"/>
    </row>
    <row r="90" spans="2:10" ht="15.75" customHeight="1">
      <c r="B90" s="74" t="s">
        <v>169</v>
      </c>
      <c r="C90" s="67">
        <v>10</v>
      </c>
      <c r="D90" s="68">
        <f>D89</f>
        <v>200000</v>
      </c>
      <c r="E90" s="72">
        <f>D90*C90*3</f>
        <v>6000000</v>
      </c>
      <c r="G90" s="69" t="s">
        <v>154</v>
      </c>
      <c r="H90" s="65" t="s">
        <v>157</v>
      </c>
      <c r="I90" s="65" t="s">
        <v>158</v>
      </c>
      <c r="J90" s="70" t="s">
        <v>107</v>
      </c>
    </row>
    <row r="91" spans="2:10" ht="15.75" customHeight="1">
      <c r="B91" s="214" t="s">
        <v>170</v>
      </c>
      <c r="C91" s="215"/>
      <c r="D91" s="216"/>
      <c r="E91" s="113">
        <f>SUM(E87:E90)*0.1</f>
        <v>6925000</v>
      </c>
      <c r="G91" s="74" t="s">
        <v>155</v>
      </c>
      <c r="H91" s="65">
        <f>20*4</f>
        <v>80</v>
      </c>
      <c r="I91" s="66">
        <f>4000000/20</f>
        <v>200000</v>
      </c>
      <c r="J91" s="71">
        <f>I91*H91*5</f>
        <v>80000000</v>
      </c>
    </row>
    <row r="92" spans="2:10" ht="15.75" customHeight="1" thickBot="1">
      <c r="B92" s="159" t="s">
        <v>107</v>
      </c>
      <c r="C92" s="160"/>
      <c r="D92" s="161"/>
      <c r="E92" s="73">
        <f>SUM(E87:E91)</f>
        <v>76175000</v>
      </c>
      <c r="G92" s="74" t="s">
        <v>156</v>
      </c>
      <c r="H92" s="65">
        <f>20</f>
        <v>20</v>
      </c>
      <c r="I92" s="66">
        <f>1500000/20</f>
        <v>75000</v>
      </c>
      <c r="J92" s="71">
        <f>I92*H92*10</f>
        <v>15000000</v>
      </c>
    </row>
    <row r="93" spans="2:10" ht="15.75" customHeight="1" thickBot="1">
      <c r="G93" s="74" t="s">
        <v>168</v>
      </c>
      <c r="H93" s="67">
        <v>15</v>
      </c>
      <c r="I93" s="68">
        <f>I91</f>
        <v>200000</v>
      </c>
      <c r="J93" s="72">
        <f>I93*H93</f>
        <v>3000000</v>
      </c>
    </row>
    <row r="94" spans="2:10" ht="15.75" customHeight="1">
      <c r="B94" s="164" t="s">
        <v>83</v>
      </c>
      <c r="C94" s="165"/>
      <c r="D94" s="165"/>
      <c r="E94" s="166"/>
      <c r="G94" s="74" t="s">
        <v>169</v>
      </c>
      <c r="H94" s="67">
        <v>15</v>
      </c>
      <c r="I94" s="68">
        <f>I93</f>
        <v>200000</v>
      </c>
      <c r="J94" s="72">
        <f>I94*H94*3</f>
        <v>9000000</v>
      </c>
    </row>
    <row r="95" spans="2:10" ht="15.75" customHeight="1">
      <c r="B95" s="41" t="s">
        <v>4</v>
      </c>
      <c r="C95" s="13" t="s">
        <v>224</v>
      </c>
      <c r="D95" s="13" t="s">
        <v>85</v>
      </c>
      <c r="E95" s="12" t="s">
        <v>86</v>
      </c>
      <c r="G95" s="214" t="s">
        <v>170</v>
      </c>
      <c r="H95" s="215"/>
      <c r="I95" s="216"/>
      <c r="J95" s="113">
        <f>SUM(J91:J94)*0.1</f>
        <v>10700000</v>
      </c>
    </row>
    <row r="96" spans="2:10" ht="15.75" customHeight="1" thickBot="1">
      <c r="B96" s="75" t="s">
        <v>87</v>
      </c>
      <c r="C96" s="10">
        <f>2*E58</f>
        <v>383007.66666666669</v>
      </c>
      <c r="D96" s="13">
        <f>C51*12</f>
        <v>3024</v>
      </c>
      <c r="E96" s="49">
        <f>(C96-E58)*D96</f>
        <v>579107592</v>
      </c>
      <c r="G96" s="159" t="s">
        <v>107</v>
      </c>
      <c r="H96" s="160"/>
      <c r="I96" s="161"/>
      <c r="J96" s="73">
        <f>SUM(J91:J95)</f>
        <v>117700000</v>
      </c>
    </row>
    <row r="97" spans="2:10" ht="15.75" customHeight="1" thickBot="1">
      <c r="B97" s="75" t="s">
        <v>88</v>
      </c>
      <c r="C97" s="10">
        <f>2*E65</f>
        <v>161657.55844155845</v>
      </c>
      <c r="D97" s="13">
        <f>C59*12</f>
        <v>4620</v>
      </c>
      <c r="E97" s="49">
        <f>D97*(C97-E65)</f>
        <v>373428960</v>
      </c>
    </row>
    <row r="98" spans="2:10" ht="15.75" customHeight="1">
      <c r="B98" s="75" t="s">
        <v>89</v>
      </c>
      <c r="C98" s="10">
        <f>2*E75</f>
        <v>138074.57142857142</v>
      </c>
      <c r="D98" s="13">
        <f>C66*12</f>
        <v>2352</v>
      </c>
      <c r="E98" s="49">
        <f>D98*(C98-E75)</f>
        <v>162375696</v>
      </c>
      <c r="G98" s="170" t="s">
        <v>83</v>
      </c>
      <c r="H98" s="171"/>
      <c r="I98" s="171"/>
      <c r="J98" s="172"/>
    </row>
    <row r="99" spans="2:10" ht="15.75" customHeight="1">
      <c r="B99" s="175" t="s">
        <v>90</v>
      </c>
      <c r="C99" s="176"/>
      <c r="D99" s="177"/>
      <c r="E99" s="14">
        <f>SUM(E96:E98)</f>
        <v>1114912248</v>
      </c>
      <c r="G99" s="101" t="s">
        <v>4</v>
      </c>
      <c r="H99" s="13" t="s">
        <v>84</v>
      </c>
      <c r="I99" s="13" t="s">
        <v>85</v>
      </c>
      <c r="J99" s="102" t="s">
        <v>86</v>
      </c>
    </row>
    <row r="100" spans="2:10" ht="15.75" customHeight="1">
      <c r="B100" s="173" t="s">
        <v>205</v>
      </c>
      <c r="C100" s="174"/>
      <c r="D100" s="174"/>
      <c r="E100" s="39">
        <f>E76*0.01</f>
        <v>11149122.48</v>
      </c>
      <c r="G100" s="103" t="s">
        <v>87</v>
      </c>
      <c r="H100" s="10">
        <f>1.52*$J$62</f>
        <v>291079.18864864862</v>
      </c>
      <c r="I100" s="13">
        <f>$H$55*12</f>
        <v>12432</v>
      </c>
      <c r="J100" s="104">
        <f>I100*(H100-$J$62)</f>
        <v>1237975109.2799997</v>
      </c>
    </row>
    <row r="101" spans="2:10" ht="15.75" customHeight="1" thickBot="1">
      <c r="B101" s="167" t="s">
        <v>83</v>
      </c>
      <c r="C101" s="178"/>
      <c r="D101" s="179"/>
      <c r="E101" s="15">
        <f>-E43-E45+E99-E83-E92-E100</f>
        <v>55795540.461003557</v>
      </c>
      <c r="G101" s="105" t="s">
        <v>88</v>
      </c>
      <c r="H101" s="97">
        <f>1.52*$J$69</f>
        <v>122748.10666666666</v>
      </c>
      <c r="I101" s="98">
        <f>$H$63*12</f>
        <v>7560</v>
      </c>
      <c r="J101" s="104">
        <f>I101*(H101-$J$69)</f>
        <v>317465366.39999998</v>
      </c>
    </row>
    <row r="102" spans="2:10" ht="15.75" customHeight="1" thickBot="1">
      <c r="G102" s="106" t="s">
        <v>89</v>
      </c>
      <c r="H102" s="99">
        <f>1.52*$J$79</f>
        <v>127087.11526132404</v>
      </c>
      <c r="I102" s="100">
        <f>$H$70*12</f>
        <v>6888</v>
      </c>
      <c r="J102" s="107">
        <f>I102*(H102-$J$79)</f>
        <v>299470753.92000002</v>
      </c>
    </row>
    <row r="103" spans="2:10" ht="15.75" customHeight="1" thickBot="1">
      <c r="B103" s="211" t="s">
        <v>91</v>
      </c>
      <c r="C103" s="212"/>
      <c r="D103" s="213"/>
      <c r="E103" s="50">
        <f>E44+E92</f>
        <v>239766849.25</v>
      </c>
      <c r="G103" s="173" t="s">
        <v>90</v>
      </c>
      <c r="H103" s="174"/>
      <c r="I103" s="174"/>
      <c r="J103" s="108">
        <f>SUM(J100:J102)</f>
        <v>1854911229.5999999</v>
      </c>
    </row>
    <row r="104" spans="2:10" ht="15.75" customHeight="1" thickBot="1">
      <c r="C104" s="51"/>
      <c r="G104" s="173" t="s">
        <v>205</v>
      </c>
      <c r="H104" s="174"/>
      <c r="I104" s="174"/>
      <c r="J104" s="109">
        <f>J80*0.01</f>
        <v>35671369.799999997</v>
      </c>
    </row>
    <row r="105" spans="2:10" ht="15.75" customHeight="1" thickBot="1">
      <c r="B105" s="127" t="s">
        <v>4</v>
      </c>
      <c r="C105" s="128" t="s">
        <v>84</v>
      </c>
      <c r="E105" s="111"/>
      <c r="G105" s="162" t="s">
        <v>83</v>
      </c>
      <c r="H105" s="163"/>
      <c r="I105" s="163"/>
      <c r="J105" s="110">
        <f>-J48-J50+J103-J87-J96-J104</f>
        <v>295054384.55279988</v>
      </c>
    </row>
    <row r="106" spans="2:10" ht="15.75" customHeight="1" thickBot="1">
      <c r="B106" s="101" t="s">
        <v>87</v>
      </c>
      <c r="C106" s="104">
        <f>C96*1.19</f>
        <v>455779.12333333335</v>
      </c>
    </row>
    <row r="107" spans="2:10" ht="15.75" customHeight="1" thickBot="1">
      <c r="B107" s="101" t="s">
        <v>88</v>
      </c>
      <c r="C107" s="104">
        <f t="shared" ref="C107:C108" si="8">C97*1.19</f>
        <v>192372.49454545454</v>
      </c>
      <c r="G107" s="205" t="s">
        <v>91</v>
      </c>
      <c r="H107" s="206"/>
      <c r="I107" s="207"/>
      <c r="J107" s="125">
        <f>J49+J96</f>
        <v>832019365.39999998</v>
      </c>
    </row>
    <row r="108" spans="2:10" ht="15.75" customHeight="1" thickBot="1">
      <c r="B108" s="129" t="s">
        <v>89</v>
      </c>
      <c r="C108" s="126">
        <f t="shared" si="8"/>
        <v>164308.74</v>
      </c>
    </row>
    <row r="109" spans="2:10" ht="15.75" customHeight="1" thickBot="1">
      <c r="G109" s="208" t="s">
        <v>92</v>
      </c>
      <c r="H109" s="209"/>
      <c r="I109" s="210"/>
      <c r="J109" s="130">
        <f>J107-E103</f>
        <v>592252516.14999998</v>
      </c>
    </row>
    <row r="110" spans="2:10" ht="15.75" customHeight="1"/>
    <row r="111" spans="2:10" ht="15.75" customHeight="1" thickBot="1"/>
    <row r="112" spans="2:10" ht="15.75" customHeight="1">
      <c r="G112" s="127" t="s">
        <v>4</v>
      </c>
      <c r="H112" s="128" t="s">
        <v>84</v>
      </c>
    </row>
    <row r="113" spans="7:8" ht="15.75" customHeight="1">
      <c r="G113" s="101" t="s">
        <v>87</v>
      </c>
      <c r="H113" s="104">
        <f>H100*1.19</f>
        <v>346384.23449189187</v>
      </c>
    </row>
    <row r="114" spans="7:8" ht="15.75" customHeight="1">
      <c r="G114" s="101" t="s">
        <v>88</v>
      </c>
      <c r="H114" s="104">
        <f>H101*1.19</f>
        <v>146070.24693333331</v>
      </c>
    </row>
    <row r="115" spans="7:8" ht="15.75" customHeight="1" thickBot="1">
      <c r="G115" s="129" t="s">
        <v>89</v>
      </c>
      <c r="H115" s="126">
        <f>H102*1.19</f>
        <v>151233.6671609756</v>
      </c>
    </row>
    <row r="116" spans="7:8" ht="15.75" customHeight="1"/>
    <row r="117" spans="7:8" ht="15.75" customHeight="1"/>
    <row r="118" spans="7:8" ht="15.75" customHeight="1"/>
    <row r="119" spans="7:8" ht="15.75" customHeight="1"/>
    <row r="120" spans="7:8" ht="15.75" customHeight="1"/>
    <row r="121" spans="7:8" ht="15.75" customHeight="1"/>
    <row r="122" spans="7:8" ht="15.75" customHeight="1"/>
    <row r="123" spans="7:8" ht="15.75" customHeight="1"/>
    <row r="124" spans="7:8" ht="15.75" customHeight="1"/>
    <row r="125" spans="7:8" ht="15.75" customHeight="1"/>
    <row r="126" spans="7:8" ht="15.75" customHeight="1"/>
    <row r="127" spans="7:8" ht="15.75" customHeight="1"/>
    <row r="128" spans="7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58">
    <mergeCell ref="B2:J2"/>
    <mergeCell ref="G107:I107"/>
    <mergeCell ref="G109:I109"/>
    <mergeCell ref="B103:D103"/>
    <mergeCell ref="B91:D91"/>
    <mergeCell ref="G95:I95"/>
    <mergeCell ref="B4:E4"/>
    <mergeCell ref="G4:J4"/>
    <mergeCell ref="B6:E6"/>
    <mergeCell ref="G6:J6"/>
    <mergeCell ref="B19:E19"/>
    <mergeCell ref="G19:J19"/>
    <mergeCell ref="J20:J36"/>
    <mergeCell ref="E20:E32"/>
    <mergeCell ref="B33:E33"/>
    <mergeCell ref="C41:E42"/>
    <mergeCell ref="B43:D43"/>
    <mergeCell ref="B44:D44"/>
    <mergeCell ref="B45:D45"/>
    <mergeCell ref="B46:D46"/>
    <mergeCell ref="G61:I61"/>
    <mergeCell ref="B49:E49"/>
    <mergeCell ref="B57:D57"/>
    <mergeCell ref="B58:D58"/>
    <mergeCell ref="G68:I68"/>
    <mergeCell ref="B64:D64"/>
    <mergeCell ref="B65:D65"/>
    <mergeCell ref="G69:I69"/>
    <mergeCell ref="G37:J37"/>
    <mergeCell ref="H46:J47"/>
    <mergeCell ref="G48:I48"/>
    <mergeCell ref="G49:I49"/>
    <mergeCell ref="G50:I50"/>
    <mergeCell ref="G51:I51"/>
    <mergeCell ref="G53:J53"/>
    <mergeCell ref="G62:I62"/>
    <mergeCell ref="B74:D74"/>
    <mergeCell ref="B75:D75"/>
    <mergeCell ref="B76:D76"/>
    <mergeCell ref="B78:E78"/>
    <mergeCell ref="G78:I78"/>
    <mergeCell ref="G79:I79"/>
    <mergeCell ref="G80:I80"/>
    <mergeCell ref="B83:D83"/>
    <mergeCell ref="G82:J82"/>
    <mergeCell ref="B85:E85"/>
    <mergeCell ref="G89:J89"/>
    <mergeCell ref="G96:I96"/>
    <mergeCell ref="G105:I105"/>
    <mergeCell ref="B94:E94"/>
    <mergeCell ref="G87:I87"/>
    <mergeCell ref="G98:J98"/>
    <mergeCell ref="B92:D92"/>
    <mergeCell ref="G103:I103"/>
    <mergeCell ref="B99:D99"/>
    <mergeCell ref="B100:D100"/>
    <mergeCell ref="B101:D101"/>
    <mergeCell ref="G104:I10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992"/>
  <sheetViews>
    <sheetView showGridLines="0" workbookViewId="0">
      <selection activeCell="G15" sqref="G15"/>
    </sheetView>
  </sheetViews>
  <sheetFormatPr baseColWidth="10" defaultColWidth="14.42578125" defaultRowHeight="15" customHeight="1"/>
  <cols>
    <col min="2" max="2" width="18.5703125" customWidth="1"/>
    <col min="3" max="3" width="18.28515625" customWidth="1"/>
    <col min="4" max="4" width="15" customWidth="1"/>
    <col min="6" max="6" width="15.140625" bestFit="1" customWidth="1"/>
    <col min="8" max="8" width="14.7109375" bestFit="1" customWidth="1"/>
    <col min="9" max="9" width="15.140625" bestFit="1" customWidth="1"/>
    <col min="10" max="10" width="14.7109375" bestFit="1" customWidth="1"/>
    <col min="11" max="11" width="16.28515625" customWidth="1"/>
    <col min="12" max="12" width="14.7109375" bestFit="1" customWidth="1"/>
  </cols>
  <sheetData>
    <row r="1" spans="1:13" ht="15.75" thickBot="1"/>
    <row r="2" spans="1:13" ht="15.75" thickBot="1">
      <c r="B2" s="226" t="s">
        <v>146</v>
      </c>
      <c r="C2" s="227"/>
      <c r="D2" s="227"/>
      <c r="E2" s="228"/>
      <c r="G2" s="229" t="s">
        <v>229</v>
      </c>
      <c r="H2" s="230"/>
      <c r="I2" s="230"/>
      <c r="J2" s="230"/>
      <c r="K2" s="231"/>
    </row>
    <row r="3" spans="1:13">
      <c r="B3" s="131" t="s">
        <v>147</v>
      </c>
      <c r="C3" s="90" t="s">
        <v>148</v>
      </c>
      <c r="D3" s="90" t="s">
        <v>149</v>
      </c>
      <c r="E3" s="81" t="s">
        <v>226</v>
      </c>
      <c r="G3" s="148" t="s">
        <v>147</v>
      </c>
      <c r="H3" s="149" t="s">
        <v>230</v>
      </c>
      <c r="I3" s="149" t="s">
        <v>231</v>
      </c>
      <c r="J3" s="149" t="s">
        <v>232</v>
      </c>
      <c r="K3" s="150" t="s">
        <v>226</v>
      </c>
      <c r="M3" s="254" t="s">
        <v>233</v>
      </c>
    </row>
    <row r="4" spans="1:13" ht="15.75" thickBot="1">
      <c r="B4" s="131">
        <v>0</v>
      </c>
      <c r="C4" s="91">
        <f>-'Balance General'!J109</f>
        <v>-592252516.14999998</v>
      </c>
      <c r="D4" s="92">
        <f>C4</f>
        <v>-592252516.14999998</v>
      </c>
      <c r="E4" s="136">
        <f>D4</f>
        <v>-592252516.14999998</v>
      </c>
      <c r="G4" s="83">
        <v>0</v>
      </c>
      <c r="H4" s="67">
        <v>0</v>
      </c>
      <c r="I4" s="67">
        <v>0</v>
      </c>
      <c r="J4" s="67">
        <v>0</v>
      </c>
      <c r="K4" s="146">
        <f>E4</f>
        <v>-592252516.14999998</v>
      </c>
      <c r="M4" s="151">
        <v>1.9E-2</v>
      </c>
    </row>
    <row r="5" spans="1:13">
      <c r="B5" s="132">
        <v>1</v>
      </c>
      <c r="C5" s="93">
        <f>'Balance General'!J105</f>
        <v>295054384.55279988</v>
      </c>
      <c r="D5" s="94">
        <f>PV($D$10,B5,-C5)</f>
        <v>260533672.89430463</v>
      </c>
      <c r="E5" s="136">
        <f>E4+D5</f>
        <v>-331718843.25569534</v>
      </c>
      <c r="G5" s="83">
        <v>1</v>
      </c>
      <c r="H5" s="152">
        <f>PMT($M$4,$G$48,$K$4)</f>
        <v>19982010.894863635</v>
      </c>
      <c r="I5" s="68">
        <f>K4*$M$4</f>
        <v>-11252797.806849999</v>
      </c>
      <c r="J5" s="152">
        <f>H5+I5</f>
        <v>8729213.0880136359</v>
      </c>
      <c r="K5" s="72">
        <f>K4+J5</f>
        <v>-583523303.06198633</v>
      </c>
    </row>
    <row r="6" spans="1:13">
      <c r="B6" s="144">
        <v>2</v>
      </c>
      <c r="C6" s="93">
        <f t="shared" ref="C6:C7" si="0">C5</f>
        <v>295054384.55279988</v>
      </c>
      <c r="D6" s="95">
        <f>PV($D$10,B6,-C6)</f>
        <v>490585481.18949622</v>
      </c>
      <c r="E6" s="137">
        <f>E5+D6</f>
        <v>158866637.93380088</v>
      </c>
      <c r="G6" s="83">
        <v>2</v>
      </c>
      <c r="H6" s="152">
        <f t="shared" ref="H6:H48" si="1">PMT($M$4,$G$48,$K$4)</f>
        <v>19982010.894863635</v>
      </c>
      <c r="I6" s="68">
        <f t="shared" ref="I6:I16" si="2">K5*$M$4</f>
        <v>-11086942.75817774</v>
      </c>
      <c r="J6" s="152">
        <f t="shared" ref="J6:J16" si="3">H6+I6</f>
        <v>8895068.1366858948</v>
      </c>
      <c r="K6" s="72">
        <f t="shared" ref="K6:K16" si="4">K5+J6</f>
        <v>-574628234.92530048</v>
      </c>
    </row>
    <row r="7" spans="1:13" ht="15.75" thickBot="1">
      <c r="B7" s="133">
        <v>3</v>
      </c>
      <c r="C7" s="134">
        <f t="shared" si="0"/>
        <v>295054384.55279988</v>
      </c>
      <c r="D7" s="135">
        <f>PV($D$10,B7,-C7)</f>
        <v>693721735.75478697</v>
      </c>
      <c r="E7" s="138">
        <f>E6+D7</f>
        <v>852588373.6885879</v>
      </c>
      <c r="G7" s="83">
        <v>3</v>
      </c>
      <c r="H7" s="152">
        <f t="shared" si="1"/>
        <v>19982010.894863635</v>
      </c>
      <c r="I7" s="68">
        <f t="shared" si="2"/>
        <v>-10917936.463580709</v>
      </c>
      <c r="J7" s="152">
        <f t="shared" si="3"/>
        <v>9064074.4312829264</v>
      </c>
      <c r="K7" s="72">
        <f t="shared" si="4"/>
        <v>-565564160.4940176</v>
      </c>
    </row>
    <row r="8" spans="1:13">
      <c r="A8" s="58"/>
      <c r="B8" s="87"/>
      <c r="C8" s="88"/>
      <c r="D8" s="89"/>
      <c r="G8" s="83">
        <v>4</v>
      </c>
      <c r="H8" s="152">
        <f t="shared" si="1"/>
        <v>19982010.894863635</v>
      </c>
      <c r="I8" s="68">
        <f t="shared" si="2"/>
        <v>-10745719.049386334</v>
      </c>
      <c r="J8" s="152">
        <f t="shared" si="3"/>
        <v>9236291.8454773016</v>
      </c>
      <c r="K8" s="72">
        <f t="shared" si="4"/>
        <v>-556327868.64854026</v>
      </c>
    </row>
    <row r="9" spans="1:13">
      <c r="G9" s="83">
        <v>5</v>
      </c>
      <c r="H9" s="152">
        <f t="shared" si="1"/>
        <v>19982010.894863635</v>
      </c>
      <c r="I9" s="68">
        <f t="shared" si="2"/>
        <v>-10570229.504322264</v>
      </c>
      <c r="J9" s="152">
        <f t="shared" si="3"/>
        <v>9411781.390541371</v>
      </c>
      <c r="K9" s="72">
        <f t="shared" si="4"/>
        <v>-546916087.25799894</v>
      </c>
    </row>
    <row r="10" spans="1:13">
      <c r="B10" s="225" t="s">
        <v>150</v>
      </c>
      <c r="C10" s="225"/>
      <c r="D10" s="114">
        <v>0.13250000000000001</v>
      </c>
      <c r="F10" s="111"/>
      <c r="G10" s="83">
        <v>6</v>
      </c>
      <c r="H10" s="152">
        <f t="shared" si="1"/>
        <v>19982010.894863635</v>
      </c>
      <c r="I10" s="68">
        <f t="shared" si="2"/>
        <v>-10391405.65790198</v>
      </c>
      <c r="J10" s="152">
        <f t="shared" si="3"/>
        <v>9590605.2369616553</v>
      </c>
      <c r="K10" s="72">
        <f t="shared" si="4"/>
        <v>-537325482.02103734</v>
      </c>
    </row>
    <row r="11" spans="1:13">
      <c r="G11" s="83">
        <v>7</v>
      </c>
      <c r="H11" s="152">
        <f t="shared" si="1"/>
        <v>19982010.894863635</v>
      </c>
      <c r="I11" s="68">
        <f t="shared" si="2"/>
        <v>-10209184.158399709</v>
      </c>
      <c r="J11" s="152">
        <f t="shared" si="3"/>
        <v>9772826.7364639267</v>
      </c>
      <c r="K11" s="72">
        <f t="shared" si="4"/>
        <v>-527552655.28457344</v>
      </c>
    </row>
    <row r="12" spans="1:13">
      <c r="B12" s="57" t="s">
        <v>151</v>
      </c>
      <c r="C12" s="59">
        <f>IRR(D4:D6)</f>
        <v>0.1562832017670357</v>
      </c>
      <c r="G12" s="83">
        <v>8</v>
      </c>
      <c r="H12" s="152">
        <f t="shared" si="1"/>
        <v>19982010.894863635</v>
      </c>
      <c r="I12" s="68">
        <f t="shared" si="2"/>
        <v>-10023500.450406896</v>
      </c>
      <c r="J12" s="152">
        <f t="shared" si="3"/>
        <v>9958510.4444567394</v>
      </c>
      <c r="K12" s="72">
        <f t="shared" si="4"/>
        <v>-517594144.84011668</v>
      </c>
      <c r="L12" s="145"/>
    </row>
    <row r="13" spans="1:13">
      <c r="G13" s="83">
        <v>9</v>
      </c>
      <c r="H13" s="152">
        <f t="shared" si="1"/>
        <v>19982010.894863635</v>
      </c>
      <c r="I13" s="68">
        <f t="shared" si="2"/>
        <v>-9834288.7519622166</v>
      </c>
      <c r="J13" s="152">
        <f t="shared" si="3"/>
        <v>10147722.142901419</v>
      </c>
      <c r="K13" s="72">
        <f t="shared" si="4"/>
        <v>-507446422.69721526</v>
      </c>
    </row>
    <row r="14" spans="1:13">
      <c r="B14" s="57" t="s">
        <v>152</v>
      </c>
      <c r="C14" s="60" t="s">
        <v>153</v>
      </c>
      <c r="G14" s="83">
        <v>10</v>
      </c>
      <c r="H14" s="152">
        <f t="shared" si="1"/>
        <v>19982010.894863635</v>
      </c>
      <c r="I14" s="68">
        <f t="shared" si="2"/>
        <v>-9641482.0312470905</v>
      </c>
      <c r="J14" s="152">
        <f t="shared" si="3"/>
        <v>10340528.863616545</v>
      </c>
      <c r="K14" s="72">
        <f t="shared" si="4"/>
        <v>-497105893.83359873</v>
      </c>
    </row>
    <row r="15" spans="1:13" ht="15.75" thickBot="1">
      <c r="G15" s="83">
        <v>11</v>
      </c>
      <c r="H15" s="152">
        <f t="shared" si="1"/>
        <v>19982010.894863635</v>
      </c>
      <c r="I15" s="68">
        <f t="shared" si="2"/>
        <v>-9445011.9828383755</v>
      </c>
      <c r="J15" s="152">
        <f t="shared" si="3"/>
        <v>10536998.91202526</v>
      </c>
      <c r="K15" s="72">
        <f t="shared" si="4"/>
        <v>-486568894.92157346</v>
      </c>
    </row>
    <row r="16" spans="1:13">
      <c r="B16" s="139"/>
      <c r="C16" s="140" t="s">
        <v>147</v>
      </c>
      <c r="D16" s="141" t="s">
        <v>228</v>
      </c>
      <c r="G16" s="83">
        <v>12</v>
      </c>
      <c r="H16" s="152">
        <f t="shared" si="1"/>
        <v>19982010.894863635</v>
      </c>
      <c r="I16" s="68">
        <f t="shared" si="2"/>
        <v>-9244809.0035098959</v>
      </c>
      <c r="J16" s="152">
        <f t="shared" si="3"/>
        <v>10737201.891353739</v>
      </c>
      <c r="K16" s="72">
        <f t="shared" si="4"/>
        <v>-475831693.03021973</v>
      </c>
    </row>
    <row r="17" spans="2:11" ht="15.75" thickBot="1">
      <c r="B17" s="142" t="s">
        <v>227</v>
      </c>
      <c r="C17" s="85">
        <v>1</v>
      </c>
      <c r="D17" s="143">
        <f>INT((-E5/D6)*12)</f>
        <v>8</v>
      </c>
      <c r="G17" s="83">
        <v>13</v>
      </c>
      <c r="H17" s="152">
        <f t="shared" si="1"/>
        <v>19982010.894863635</v>
      </c>
      <c r="I17" s="68">
        <f t="shared" ref="I17:I29" si="5">K16*$M$4</f>
        <v>-9040802.1675741747</v>
      </c>
      <c r="J17" s="152">
        <f t="shared" ref="J17:J29" si="6">H17+I17</f>
        <v>10941208.727289461</v>
      </c>
      <c r="K17" s="72">
        <f t="shared" ref="K17:K29" si="7">K16+J17</f>
        <v>-464890484.3029303</v>
      </c>
    </row>
    <row r="18" spans="2:11">
      <c r="G18" s="83">
        <v>14</v>
      </c>
      <c r="H18" s="152">
        <f t="shared" si="1"/>
        <v>19982010.894863635</v>
      </c>
      <c r="I18" s="68">
        <f t="shared" si="5"/>
        <v>-8832919.2017556746</v>
      </c>
      <c r="J18" s="152">
        <f t="shared" si="6"/>
        <v>11149091.693107961</v>
      </c>
      <c r="K18" s="72">
        <f t="shared" si="7"/>
        <v>-453741392.60982233</v>
      </c>
    </row>
    <row r="19" spans="2:11">
      <c r="G19" s="83">
        <v>15</v>
      </c>
      <c r="H19" s="152">
        <f t="shared" si="1"/>
        <v>19982010.894863635</v>
      </c>
      <c r="I19" s="68">
        <f t="shared" si="5"/>
        <v>-8621086.4595866241</v>
      </c>
      <c r="J19" s="152">
        <f t="shared" si="6"/>
        <v>11360924.435277011</v>
      </c>
      <c r="K19" s="72">
        <f t="shared" si="7"/>
        <v>-442380468.17454535</v>
      </c>
    </row>
    <row r="20" spans="2:11">
      <c r="G20" s="83">
        <v>16</v>
      </c>
      <c r="H20" s="152">
        <f t="shared" si="1"/>
        <v>19982010.894863635</v>
      </c>
      <c r="I20" s="68">
        <f t="shared" si="5"/>
        <v>-8405228.8953163605</v>
      </c>
      <c r="J20" s="152">
        <f t="shared" si="6"/>
        <v>11576781.999547275</v>
      </c>
      <c r="K20" s="72">
        <f t="shared" si="7"/>
        <v>-430803686.17499804</v>
      </c>
    </row>
    <row r="21" spans="2:11">
      <c r="G21" s="83">
        <v>17</v>
      </c>
      <c r="H21" s="152">
        <f t="shared" si="1"/>
        <v>19982010.894863635</v>
      </c>
      <c r="I21" s="68">
        <f t="shared" si="5"/>
        <v>-8185270.0373249622</v>
      </c>
      <c r="J21" s="152">
        <f t="shared" si="6"/>
        <v>11796740.857538674</v>
      </c>
      <c r="K21" s="72">
        <f t="shared" si="7"/>
        <v>-419006945.31745934</v>
      </c>
    </row>
    <row r="22" spans="2:11">
      <c r="G22" s="83">
        <v>18</v>
      </c>
      <c r="H22" s="152">
        <f t="shared" si="1"/>
        <v>19982010.894863635</v>
      </c>
      <c r="I22" s="68">
        <f t="shared" si="5"/>
        <v>-7961131.9610317275</v>
      </c>
      <c r="J22" s="152">
        <f t="shared" si="6"/>
        <v>12020878.933831908</v>
      </c>
      <c r="K22" s="72">
        <f t="shared" si="7"/>
        <v>-406986066.38362741</v>
      </c>
    </row>
    <row r="23" spans="2:11">
      <c r="G23" s="83">
        <v>19</v>
      </c>
      <c r="H23" s="152">
        <f t="shared" si="1"/>
        <v>19982010.894863635</v>
      </c>
      <c r="I23" s="68">
        <f t="shared" si="5"/>
        <v>-7732735.2612889204</v>
      </c>
      <c r="J23" s="152">
        <f t="shared" si="6"/>
        <v>12249275.633574715</v>
      </c>
      <c r="K23" s="72">
        <f t="shared" si="7"/>
        <v>-394736790.75005269</v>
      </c>
    </row>
    <row r="24" spans="2:11">
      <c r="G24" s="83">
        <v>20</v>
      </c>
      <c r="H24" s="152">
        <f t="shared" si="1"/>
        <v>19982010.894863635</v>
      </c>
      <c r="I24" s="68">
        <f t="shared" si="5"/>
        <v>-7499999.024251001</v>
      </c>
      <c r="J24" s="152">
        <f t="shared" si="6"/>
        <v>12482011.870612634</v>
      </c>
      <c r="K24" s="72">
        <f t="shared" si="7"/>
        <v>-382254778.87944007</v>
      </c>
    </row>
    <row r="25" spans="2:11">
      <c r="G25" s="83">
        <v>21</v>
      </c>
      <c r="H25" s="152">
        <f t="shared" si="1"/>
        <v>19982010.894863635</v>
      </c>
      <c r="I25" s="68">
        <f t="shared" si="5"/>
        <v>-7262840.7987093609</v>
      </c>
      <c r="J25" s="152">
        <f t="shared" si="6"/>
        <v>12719170.096154274</v>
      </c>
      <c r="K25" s="72">
        <f t="shared" si="7"/>
        <v>-369535608.7832858</v>
      </c>
    </row>
    <row r="26" spans="2:11">
      <c r="G26" s="83">
        <v>22</v>
      </c>
      <c r="H26" s="152">
        <f t="shared" si="1"/>
        <v>19982010.894863635</v>
      </c>
      <c r="I26" s="68">
        <f t="shared" si="5"/>
        <v>-7021176.5668824296</v>
      </c>
      <c r="J26" s="152">
        <f t="shared" si="6"/>
        <v>12960834.327981206</v>
      </c>
      <c r="K26" s="72">
        <f t="shared" si="7"/>
        <v>-356574774.45530456</v>
      </c>
    </row>
    <row r="27" spans="2:11">
      <c r="G27" s="83">
        <v>23</v>
      </c>
      <c r="H27" s="152">
        <f t="shared" si="1"/>
        <v>19982010.894863635</v>
      </c>
      <c r="I27" s="68">
        <f t="shared" si="5"/>
        <v>-6774920.7146507865</v>
      </c>
      <c r="J27" s="152">
        <f t="shared" si="6"/>
        <v>13207090.180212848</v>
      </c>
      <c r="K27" s="72">
        <f t="shared" si="7"/>
        <v>-343367684.27509171</v>
      </c>
    </row>
    <row r="28" spans="2:11">
      <c r="G28" s="83">
        <v>24</v>
      </c>
      <c r="H28" s="152">
        <f t="shared" si="1"/>
        <v>19982010.894863635</v>
      </c>
      <c r="I28" s="68">
        <f t="shared" si="5"/>
        <v>-6523986.0012267418</v>
      </c>
      <c r="J28" s="152">
        <f t="shared" si="6"/>
        <v>13458024.893636893</v>
      </c>
      <c r="K28" s="72">
        <f t="shared" si="7"/>
        <v>-329909659.38145483</v>
      </c>
    </row>
    <row r="29" spans="2:11">
      <c r="G29" s="83">
        <v>25</v>
      </c>
      <c r="H29" s="152">
        <f t="shared" si="1"/>
        <v>19982010.894863635</v>
      </c>
      <c r="I29" s="68">
        <f t="shared" si="5"/>
        <v>-6268283.5282476414</v>
      </c>
      <c r="J29" s="152">
        <f t="shared" si="6"/>
        <v>13713727.366615994</v>
      </c>
      <c r="K29" s="72">
        <f t="shared" si="7"/>
        <v>-316195932.01483881</v>
      </c>
    </row>
    <row r="30" spans="2:11">
      <c r="G30" s="83">
        <v>26</v>
      </c>
      <c r="H30" s="152">
        <f t="shared" si="1"/>
        <v>19982010.894863635</v>
      </c>
      <c r="I30" s="68">
        <f t="shared" ref="I30:I48" si="8">K29*$M$4</f>
        <v>-6007722.7082819371</v>
      </c>
      <c r="J30" s="152">
        <f t="shared" ref="J30:J48" si="9">H30+I30</f>
        <v>13974288.186581697</v>
      </c>
      <c r="K30" s="72">
        <f t="shared" ref="K30:K47" si="10">K29+J30</f>
        <v>-302221643.82825714</v>
      </c>
    </row>
    <row r="31" spans="2:11">
      <c r="G31" s="83">
        <v>27</v>
      </c>
      <c r="H31" s="152">
        <f t="shared" si="1"/>
        <v>19982010.894863635</v>
      </c>
      <c r="I31" s="68">
        <f t="shared" si="8"/>
        <v>-5742211.2327368855</v>
      </c>
      <c r="J31" s="152">
        <f t="shared" si="9"/>
        <v>14239799.66212675</v>
      </c>
      <c r="K31" s="72">
        <f t="shared" si="10"/>
        <v>-287981844.16613042</v>
      </c>
    </row>
    <row r="32" spans="2:11">
      <c r="G32" s="83">
        <v>28</v>
      </c>
      <c r="H32" s="152">
        <f t="shared" si="1"/>
        <v>19982010.894863635</v>
      </c>
      <c r="I32" s="68">
        <f t="shared" si="8"/>
        <v>-5471655.0391564779</v>
      </c>
      <c r="J32" s="152">
        <f t="shared" si="9"/>
        <v>14510355.855707157</v>
      </c>
      <c r="K32" s="72">
        <f t="shared" si="10"/>
        <v>-273471488.31042325</v>
      </c>
    </row>
    <row r="33" spans="7:11">
      <c r="G33" s="83">
        <v>29</v>
      </c>
      <c r="H33" s="152">
        <f t="shared" si="1"/>
        <v>19982010.894863635</v>
      </c>
      <c r="I33" s="68">
        <f t="shared" si="8"/>
        <v>-5195958.2778980415</v>
      </c>
      <c r="J33" s="152">
        <f t="shared" si="9"/>
        <v>14786052.616965594</v>
      </c>
      <c r="K33" s="72">
        <f t="shared" si="10"/>
        <v>-258685435.69345766</v>
      </c>
    </row>
    <row r="34" spans="7:11">
      <c r="G34" s="83">
        <v>30</v>
      </c>
      <c r="H34" s="152">
        <f t="shared" si="1"/>
        <v>19982010.894863635</v>
      </c>
      <c r="I34" s="68">
        <f t="shared" si="8"/>
        <v>-4915023.2781756958</v>
      </c>
      <c r="J34" s="152">
        <f t="shared" si="9"/>
        <v>15066987.616687939</v>
      </c>
      <c r="K34" s="72">
        <f t="shared" si="10"/>
        <v>-243618448.07676971</v>
      </c>
    </row>
    <row r="35" spans="7:11">
      <c r="G35" s="83">
        <v>31</v>
      </c>
      <c r="H35" s="152">
        <f t="shared" si="1"/>
        <v>19982010.894863635</v>
      </c>
      <c r="I35" s="68">
        <f t="shared" si="8"/>
        <v>-4628750.5134586245</v>
      </c>
      <c r="J35" s="152">
        <f t="shared" si="9"/>
        <v>15353260.381405011</v>
      </c>
      <c r="K35" s="72">
        <f t="shared" si="10"/>
        <v>-228265187.69536471</v>
      </c>
    </row>
    <row r="36" spans="7:11">
      <c r="G36" s="83">
        <v>32</v>
      </c>
      <c r="H36" s="152">
        <f t="shared" si="1"/>
        <v>19982010.894863635</v>
      </c>
      <c r="I36" s="68">
        <f t="shared" si="8"/>
        <v>-4337038.5662119295</v>
      </c>
      <c r="J36" s="152">
        <f t="shared" si="9"/>
        <v>15644972.328651706</v>
      </c>
      <c r="K36" s="72">
        <f t="shared" si="10"/>
        <v>-212620215.36671302</v>
      </c>
    </row>
    <row r="37" spans="7:11">
      <c r="G37" s="83">
        <v>33</v>
      </c>
      <c r="H37" s="152">
        <f t="shared" si="1"/>
        <v>19982010.894863635</v>
      </c>
      <c r="I37" s="68">
        <f t="shared" si="8"/>
        <v>-4039784.0919675473</v>
      </c>
      <c r="J37" s="152">
        <f t="shared" si="9"/>
        <v>15942226.802896088</v>
      </c>
      <c r="K37" s="72">
        <f t="shared" si="10"/>
        <v>-196677988.56381693</v>
      </c>
    </row>
    <row r="38" spans="7:11">
      <c r="G38" s="83">
        <v>34</v>
      </c>
      <c r="H38" s="152">
        <f t="shared" si="1"/>
        <v>19982010.894863635</v>
      </c>
      <c r="I38" s="68">
        <f t="shared" si="8"/>
        <v>-3736881.7827125215</v>
      </c>
      <c r="J38" s="152">
        <f t="shared" si="9"/>
        <v>16245129.112151114</v>
      </c>
      <c r="K38" s="72">
        <f t="shared" si="10"/>
        <v>-180432859.45166582</v>
      </c>
    </row>
    <row r="39" spans="7:11">
      <c r="G39" s="83">
        <v>35</v>
      </c>
      <c r="H39" s="152">
        <f t="shared" si="1"/>
        <v>19982010.894863635</v>
      </c>
      <c r="I39" s="68">
        <f t="shared" si="8"/>
        <v>-3428224.3295816504</v>
      </c>
      <c r="J39" s="152">
        <f t="shared" si="9"/>
        <v>16553786.565281985</v>
      </c>
      <c r="K39" s="72">
        <f t="shared" si="10"/>
        <v>-163879072.88638383</v>
      </c>
    </row>
    <row r="40" spans="7:11">
      <c r="G40" s="83">
        <v>36</v>
      </c>
      <c r="H40" s="152">
        <f t="shared" si="1"/>
        <v>19982010.894863635</v>
      </c>
      <c r="I40" s="68">
        <f t="shared" si="8"/>
        <v>-3113702.3848412926</v>
      </c>
      <c r="J40" s="152">
        <f t="shared" si="9"/>
        <v>16868308.510022342</v>
      </c>
      <c r="K40" s="72">
        <f t="shared" si="10"/>
        <v>-147010764.37636149</v>
      </c>
    </row>
    <row r="41" spans="7:11">
      <c r="G41" s="83">
        <v>37</v>
      </c>
      <c r="H41" s="152">
        <f t="shared" si="1"/>
        <v>19982010.894863635</v>
      </c>
      <c r="I41" s="68">
        <f t="shared" si="8"/>
        <v>-2793204.5231508682</v>
      </c>
      <c r="J41" s="152">
        <f t="shared" si="9"/>
        <v>17188806.371712767</v>
      </c>
      <c r="K41" s="72">
        <f t="shared" si="10"/>
        <v>-129821958.00464872</v>
      </c>
    </row>
    <row r="42" spans="7:11">
      <c r="G42" s="83">
        <v>38</v>
      </c>
      <c r="H42" s="152">
        <f t="shared" si="1"/>
        <v>19982010.894863635</v>
      </c>
      <c r="I42" s="68">
        <f t="shared" si="8"/>
        <v>-2466617.2020883258</v>
      </c>
      <c r="J42" s="152">
        <f t="shared" si="9"/>
        <v>17515393.692775309</v>
      </c>
      <c r="K42" s="72">
        <f t="shared" si="10"/>
        <v>-112306564.31187341</v>
      </c>
    </row>
    <row r="43" spans="7:11">
      <c r="G43" s="83">
        <v>39</v>
      </c>
      <c r="H43" s="152">
        <f t="shared" si="1"/>
        <v>19982010.894863635</v>
      </c>
      <c r="I43" s="68">
        <f t="shared" si="8"/>
        <v>-2133824.7219255948</v>
      </c>
      <c r="J43" s="152">
        <f t="shared" si="9"/>
        <v>17848186.172938041</v>
      </c>
      <c r="K43" s="72">
        <f t="shared" si="10"/>
        <v>-94458378.138935357</v>
      </c>
    </row>
    <row r="44" spans="7:11">
      <c r="G44" s="83">
        <v>40</v>
      </c>
      <c r="H44" s="152">
        <f t="shared" si="1"/>
        <v>19982010.894863635</v>
      </c>
      <c r="I44" s="68">
        <f t="shared" si="8"/>
        <v>-1794709.1846397717</v>
      </c>
      <c r="J44" s="152">
        <f t="shared" si="9"/>
        <v>18187301.710223865</v>
      </c>
      <c r="K44" s="72">
        <f t="shared" si="10"/>
        <v>-76271076.428711489</v>
      </c>
    </row>
    <row r="45" spans="7:11">
      <c r="G45" s="83">
        <v>41</v>
      </c>
      <c r="H45" s="152">
        <f t="shared" si="1"/>
        <v>19982010.894863635</v>
      </c>
      <c r="I45" s="68">
        <f t="shared" si="8"/>
        <v>-1449150.4521455183</v>
      </c>
      <c r="J45" s="152">
        <f t="shared" si="9"/>
        <v>18532860.442718118</v>
      </c>
      <c r="K45" s="72">
        <f t="shared" si="10"/>
        <v>-57738215.98599337</v>
      </c>
    </row>
    <row r="46" spans="7:11">
      <c r="G46" s="83">
        <v>42</v>
      </c>
      <c r="H46" s="152">
        <f t="shared" si="1"/>
        <v>19982010.894863635</v>
      </c>
      <c r="I46" s="68">
        <f t="shared" si="8"/>
        <v>-1097026.1037338739</v>
      </c>
      <c r="J46" s="152">
        <f t="shared" si="9"/>
        <v>18884984.79112976</v>
      </c>
      <c r="K46" s="72">
        <f t="shared" si="10"/>
        <v>-38853231.19486361</v>
      </c>
    </row>
    <row r="47" spans="7:11">
      <c r="G47" s="83">
        <v>43</v>
      </c>
      <c r="H47" s="152">
        <f t="shared" si="1"/>
        <v>19982010.894863635</v>
      </c>
      <c r="I47" s="68">
        <f t="shared" si="8"/>
        <v>-738211.3927024086</v>
      </c>
      <c r="J47" s="152">
        <f t="shared" si="9"/>
        <v>19243799.502161227</v>
      </c>
      <c r="K47" s="72">
        <f t="shared" si="10"/>
        <v>-19609431.692702383</v>
      </c>
    </row>
    <row r="48" spans="7:11" ht="15.75" thickBot="1">
      <c r="G48" s="147">
        <v>44</v>
      </c>
      <c r="H48" s="153">
        <f t="shared" si="1"/>
        <v>19982010.894863635</v>
      </c>
      <c r="I48" s="154">
        <f t="shared" si="8"/>
        <v>-372579.20216134528</v>
      </c>
      <c r="J48" s="153">
        <f t="shared" si="9"/>
        <v>19609431.69270229</v>
      </c>
      <c r="K48" s="155">
        <f>ABS(K47+J48)</f>
        <v>9.3132257461547852E-8</v>
      </c>
    </row>
    <row r="49" spans="8:11">
      <c r="H49" s="145"/>
      <c r="I49" s="111"/>
      <c r="J49" s="145"/>
      <c r="K49" s="111"/>
    </row>
    <row r="50" spans="8:11">
      <c r="H50" s="145"/>
      <c r="I50" s="111"/>
      <c r="J50" s="145"/>
      <c r="K50" s="111"/>
    </row>
    <row r="51" spans="8:11"/>
    <row r="52" spans="8:11"/>
    <row r="53" spans="8:11"/>
    <row r="54" spans="8:11"/>
    <row r="55" spans="8:11"/>
    <row r="56" spans="8:11"/>
    <row r="57" spans="8:11"/>
    <row r="58" spans="8:11"/>
    <row r="59" spans="8:11"/>
    <row r="60" spans="8:11"/>
    <row r="61" spans="8:11"/>
    <row r="62" spans="8:11"/>
    <row r="63" spans="8:11"/>
    <row r="64" spans="8:1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</sheetData>
  <mergeCells count="3">
    <mergeCell ref="B10:C10"/>
    <mergeCell ref="B2:E2"/>
    <mergeCell ref="G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5A67-C230-401A-8458-6A310EF3C108}">
  <dimension ref="B2:G29"/>
  <sheetViews>
    <sheetView workbookViewId="0">
      <selection activeCell="B23" sqref="B23:E23"/>
    </sheetView>
  </sheetViews>
  <sheetFormatPr baseColWidth="10" defaultRowHeight="15"/>
  <cols>
    <col min="2" max="2" width="29.42578125" bestFit="1" customWidth="1"/>
    <col min="3" max="3" width="15.140625" bestFit="1" customWidth="1"/>
    <col min="4" max="4" width="15.85546875" customWidth="1"/>
    <col min="5" max="5" width="13.85546875" customWidth="1"/>
  </cols>
  <sheetData>
    <row r="2" spans="2:7" ht="15.75" thickBot="1"/>
    <row r="3" spans="2:7">
      <c r="B3" s="235" t="s">
        <v>172</v>
      </c>
      <c r="C3" s="236"/>
      <c r="D3" s="236"/>
      <c r="E3" s="237"/>
    </row>
    <row r="4" spans="2:7">
      <c r="B4" s="83" t="s">
        <v>154</v>
      </c>
      <c r="C4" s="67" t="s">
        <v>5</v>
      </c>
      <c r="D4" s="67" t="s">
        <v>177</v>
      </c>
      <c r="E4" s="81" t="s">
        <v>79</v>
      </c>
    </row>
    <row r="5" spans="2:7">
      <c r="B5" s="79" t="s">
        <v>190</v>
      </c>
      <c r="C5" s="77">
        <v>85798663</v>
      </c>
      <c r="D5" s="67" t="s">
        <v>178</v>
      </c>
      <c r="E5" s="81">
        <v>1</v>
      </c>
      <c r="G5" t="s">
        <v>181</v>
      </c>
    </row>
    <row r="6" spans="2:7">
      <c r="B6" s="78" t="s">
        <v>184</v>
      </c>
      <c r="C6" s="77">
        <v>11272437</v>
      </c>
      <c r="D6" s="67" t="s">
        <v>178</v>
      </c>
      <c r="E6" s="81">
        <v>1</v>
      </c>
    </row>
    <row r="7" spans="2:7">
      <c r="B7" s="78" t="s">
        <v>185</v>
      </c>
      <c r="C7" s="77">
        <v>2020150</v>
      </c>
      <c r="D7" s="67" t="s">
        <v>179</v>
      </c>
      <c r="E7" s="81">
        <v>1</v>
      </c>
      <c r="G7" t="s">
        <v>182</v>
      </c>
    </row>
    <row r="8" spans="2:7">
      <c r="B8" s="78" t="s">
        <v>176</v>
      </c>
      <c r="C8" s="77">
        <v>4444330</v>
      </c>
      <c r="D8" s="67" t="s">
        <v>179</v>
      </c>
      <c r="E8" s="81">
        <v>1</v>
      </c>
    </row>
    <row r="9" spans="2:7">
      <c r="B9" s="78" t="s">
        <v>183</v>
      </c>
      <c r="C9" s="77">
        <v>583129</v>
      </c>
      <c r="D9" s="67" t="s">
        <v>180</v>
      </c>
      <c r="E9" s="81">
        <v>12</v>
      </c>
    </row>
    <row r="10" spans="2:7">
      <c r="B10" s="78" t="s">
        <v>186</v>
      </c>
      <c r="C10" s="77">
        <v>13737020</v>
      </c>
      <c r="D10" s="67" t="s">
        <v>179</v>
      </c>
      <c r="E10" s="81">
        <v>1</v>
      </c>
      <c r="G10" t="s">
        <v>187</v>
      </c>
    </row>
    <row r="11" spans="2:7">
      <c r="B11" s="78" t="s">
        <v>188</v>
      </c>
      <c r="C11" s="77">
        <v>31493932</v>
      </c>
      <c r="D11" s="67" t="s">
        <v>178</v>
      </c>
      <c r="E11" s="81">
        <v>1</v>
      </c>
    </row>
    <row r="12" spans="2:7">
      <c r="B12" s="79" t="s">
        <v>189</v>
      </c>
      <c r="C12" s="77">
        <v>8502786</v>
      </c>
      <c r="D12" s="82" t="s">
        <v>179</v>
      </c>
      <c r="E12" s="81">
        <v>1</v>
      </c>
    </row>
    <row r="13" spans="2:7">
      <c r="B13" s="238" t="s">
        <v>191</v>
      </c>
      <c r="C13" s="239"/>
      <c r="D13" s="239"/>
      <c r="E13" s="80">
        <f>C5+C6+C11+C8+C9*E9+C10</f>
        <v>153743930</v>
      </c>
    </row>
    <row r="14" spans="2:7" ht="15.75" thickBot="1">
      <c r="B14" s="240" t="s">
        <v>79</v>
      </c>
      <c r="C14" s="241"/>
      <c r="D14" s="241"/>
      <c r="E14" s="73">
        <f>C7+C8+C10+C12+C9*E9</f>
        <v>35701834</v>
      </c>
    </row>
    <row r="15" spans="2:7" ht="15.75" thickBot="1"/>
    <row r="16" spans="2:7">
      <c r="B16" s="235" t="s">
        <v>173</v>
      </c>
      <c r="C16" s="236"/>
      <c r="D16" s="236"/>
      <c r="E16" s="237"/>
    </row>
    <row r="17" spans="2:7">
      <c r="B17" s="83" t="s">
        <v>154</v>
      </c>
      <c r="C17" s="67" t="s">
        <v>5</v>
      </c>
      <c r="D17" s="67" t="s">
        <v>177</v>
      </c>
      <c r="E17" s="81" t="s">
        <v>79</v>
      </c>
    </row>
    <row r="18" spans="2:7">
      <c r="B18" s="96" t="s">
        <v>201</v>
      </c>
      <c r="C18" s="77">
        <f>SUM(E25:E29)</f>
        <v>15328174</v>
      </c>
      <c r="D18" s="67" t="s">
        <v>178</v>
      </c>
      <c r="E18" s="81">
        <v>1</v>
      </c>
    </row>
    <row r="19" spans="2:7">
      <c r="B19" s="78" t="s">
        <v>225</v>
      </c>
      <c r="C19" s="77">
        <f>990*4054</f>
        <v>4013460</v>
      </c>
      <c r="D19" s="67" t="s">
        <v>178</v>
      </c>
      <c r="E19" s="81">
        <v>1</v>
      </c>
    </row>
    <row r="20" spans="2:7" ht="15.75" thickBot="1">
      <c r="B20" s="242" t="s">
        <v>202</v>
      </c>
      <c r="C20" s="241"/>
      <c r="D20" s="241"/>
      <c r="E20" s="73">
        <f>C18+C19</f>
        <v>19341634</v>
      </c>
    </row>
    <row r="22" spans="2:7" ht="15.75" thickBot="1"/>
    <row r="23" spans="2:7">
      <c r="B23" s="232" t="s">
        <v>201</v>
      </c>
      <c r="C23" s="233"/>
      <c r="D23" s="233"/>
      <c r="E23" s="234"/>
    </row>
    <row r="24" spans="2:7">
      <c r="B24" s="118" t="s">
        <v>206</v>
      </c>
      <c r="C24" s="117" t="s">
        <v>207</v>
      </c>
      <c r="D24" s="117" t="s">
        <v>208</v>
      </c>
      <c r="E24" s="119" t="s">
        <v>107</v>
      </c>
      <c r="G24" s="115"/>
    </row>
    <row r="25" spans="2:7">
      <c r="B25" s="118" t="s">
        <v>219</v>
      </c>
      <c r="C25" s="117">
        <v>1564</v>
      </c>
      <c r="D25" s="117" t="s">
        <v>209</v>
      </c>
      <c r="E25" s="120">
        <f>C25*4054</f>
        <v>6340456</v>
      </c>
      <c r="G25" s="116" t="s">
        <v>210</v>
      </c>
    </row>
    <row r="26" spans="2:7">
      <c r="B26" s="118" t="s">
        <v>220</v>
      </c>
      <c r="C26" s="117">
        <v>1271</v>
      </c>
      <c r="D26" s="117" t="s">
        <v>211</v>
      </c>
      <c r="E26" s="120">
        <f t="shared" ref="E26:E29" si="0">C26*4054</f>
        <v>5152634</v>
      </c>
      <c r="G26" s="116" t="s">
        <v>212</v>
      </c>
    </row>
    <row r="27" spans="2:7">
      <c r="B27" s="118" t="s">
        <v>221</v>
      </c>
      <c r="C27" s="117">
        <v>202</v>
      </c>
      <c r="D27" s="117" t="s">
        <v>213</v>
      </c>
      <c r="E27" s="120">
        <f t="shared" si="0"/>
        <v>818908</v>
      </c>
      <c r="G27" s="116" t="s">
        <v>214</v>
      </c>
    </row>
    <row r="28" spans="2:7">
      <c r="B28" s="118" t="s">
        <v>222</v>
      </c>
      <c r="C28" s="117">
        <v>359</v>
      </c>
      <c r="D28" s="117" t="s">
        <v>215</v>
      </c>
      <c r="E28" s="120">
        <f t="shared" si="0"/>
        <v>1455386</v>
      </c>
      <c r="G28" s="116" t="s">
        <v>216</v>
      </c>
    </row>
    <row r="29" spans="2:7" ht="15.75" thickBot="1">
      <c r="B29" s="121" t="s">
        <v>223</v>
      </c>
      <c r="C29" s="122">
        <v>385</v>
      </c>
      <c r="D29" s="123" t="s">
        <v>217</v>
      </c>
      <c r="E29" s="124">
        <f t="shared" si="0"/>
        <v>1560790</v>
      </c>
      <c r="G29" s="116" t="s">
        <v>218</v>
      </c>
    </row>
  </sheetData>
  <mergeCells count="6">
    <mergeCell ref="B23:E23"/>
    <mergeCell ref="B3:E3"/>
    <mergeCell ref="B13:D13"/>
    <mergeCell ref="B14:D14"/>
    <mergeCell ref="B16:E16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I1000"/>
  <sheetViews>
    <sheetView workbookViewId="0">
      <selection activeCell="C20" sqref="C20"/>
    </sheetView>
  </sheetViews>
  <sheetFormatPr baseColWidth="10" defaultColWidth="14.42578125" defaultRowHeight="15" customHeight="1"/>
  <cols>
    <col min="1" max="2" width="10.7109375" customWidth="1"/>
    <col min="3" max="3" width="29.85546875" customWidth="1"/>
    <col min="4" max="4" width="16.42578125" customWidth="1"/>
    <col min="5" max="5" width="10.7109375" customWidth="1"/>
    <col min="6" max="6" width="18.7109375" customWidth="1"/>
    <col min="7" max="7" width="15.140625" customWidth="1"/>
    <col min="8" max="8" width="15.42578125" customWidth="1"/>
    <col min="9" max="26" width="10.7109375" customWidth="1"/>
  </cols>
  <sheetData>
    <row r="4" spans="3:9">
      <c r="C4" s="13" t="s">
        <v>135</v>
      </c>
      <c r="D4" s="26">
        <f>44050510</f>
        <v>44050510</v>
      </c>
      <c r="F4" s="42" t="s">
        <v>136</v>
      </c>
      <c r="G4" s="26">
        <v>1921515</v>
      </c>
    </row>
    <row r="5" spans="3:9">
      <c r="C5" s="13" t="s">
        <v>137</v>
      </c>
      <c r="D5" s="26">
        <f>D4+$G$4+$G$5+$G$8+(D4*$G$6)+(D4*$G$7)</f>
        <v>86112870.099999994</v>
      </c>
      <c r="F5" s="42" t="s">
        <v>138</v>
      </c>
      <c r="G5" s="26">
        <v>10675085</v>
      </c>
      <c r="H5" s="1" t="s">
        <v>139</v>
      </c>
      <c r="I5" s="1" t="s">
        <v>140</v>
      </c>
    </row>
    <row r="6" spans="3:9">
      <c r="C6" s="11"/>
      <c r="D6" s="55"/>
      <c r="F6" s="42" t="s">
        <v>141</v>
      </c>
      <c r="G6" s="56">
        <v>0.21</v>
      </c>
    </row>
    <row r="7" spans="3:9">
      <c r="C7" s="13" t="s">
        <v>142</v>
      </c>
      <c r="D7" s="26">
        <v>3629528</v>
      </c>
      <c r="F7" s="42" t="s">
        <v>143</v>
      </c>
      <c r="G7" s="56">
        <v>0.3</v>
      </c>
    </row>
    <row r="8" spans="3:9">
      <c r="C8" s="13" t="s">
        <v>137</v>
      </c>
      <c r="D8" s="26">
        <f>D7+$G$4+$G$5+$G$8+(D7*$G$6)+(D7*$G$7)</f>
        <v>25077187.279999997</v>
      </c>
      <c r="F8" s="42" t="s">
        <v>144</v>
      </c>
      <c r="G8" s="25">
        <v>7000000</v>
      </c>
    </row>
    <row r="9" spans="3:9">
      <c r="C9" s="11"/>
      <c r="D9" s="55"/>
    </row>
    <row r="10" spans="3:9">
      <c r="C10" s="13" t="s">
        <v>145</v>
      </c>
      <c r="D10" s="26">
        <v>34160272</v>
      </c>
      <c r="F10" s="67" t="s">
        <v>203</v>
      </c>
      <c r="G10" s="112">
        <f>G8+G5+G4</f>
        <v>19596600</v>
      </c>
    </row>
    <row r="11" spans="3:9">
      <c r="C11" s="13" t="s">
        <v>137</v>
      </c>
      <c r="D11" s="26">
        <f>D10+$G$4+$G$5+$G$8+(D10*$G$6)+(D10*$G$7)</f>
        <v>71178610.719999999</v>
      </c>
    </row>
    <row r="12" spans="3:9">
      <c r="D12" s="55"/>
    </row>
    <row r="13" spans="3:9">
      <c r="C13" s="13" t="s">
        <v>122</v>
      </c>
      <c r="D13" s="10">
        <v>1503051</v>
      </c>
    </row>
    <row r="14" spans="3:9">
      <c r="C14" s="13" t="s">
        <v>137</v>
      </c>
      <c r="D14" s="10">
        <f>1076048+D13</f>
        <v>2579099</v>
      </c>
    </row>
    <row r="15" spans="3:9">
      <c r="D15" s="55"/>
    </row>
    <row r="16" spans="3:9">
      <c r="C16" s="13" t="s">
        <v>130</v>
      </c>
      <c r="D16" s="26">
        <v>20752365</v>
      </c>
    </row>
    <row r="17" spans="3:4">
      <c r="C17" s="13" t="s">
        <v>137</v>
      </c>
      <c r="D17" s="26">
        <f>D16+$G$4+$G$5+$G$8+(D16*$G$6)+(D16*$G$7)</f>
        <v>50932671.149999999</v>
      </c>
    </row>
    <row r="19" spans="3:4">
      <c r="C19" s="53" t="s">
        <v>235</v>
      </c>
      <c r="D19" s="26">
        <f>5*1665313</f>
        <v>8326565</v>
      </c>
    </row>
    <row r="20" spans="3:4">
      <c r="C20" s="13" t="s">
        <v>137</v>
      </c>
      <c r="D20" s="26">
        <f>D19+$G$4+$G$5+$G$8+(D19*$G$6)+(D19*$G$7)</f>
        <v>32169713.149999999</v>
      </c>
    </row>
    <row r="21" spans="3:4" ht="15.75" customHeight="1"/>
    <row r="22" spans="3:4" ht="15.75" customHeight="1">
      <c r="C22" s="53" t="s">
        <v>204</v>
      </c>
      <c r="D22" s="26">
        <v>80000000</v>
      </c>
    </row>
    <row r="23" spans="3:4" ht="15.75" customHeight="1">
      <c r="C23" s="13" t="s">
        <v>137</v>
      </c>
      <c r="D23" s="26">
        <f>D22+$G$4+$G$5+$G$8+(D22*$G$6)+(D22*$G$7)</f>
        <v>140396600</v>
      </c>
    </row>
    <row r="24" spans="3:4" ht="15.75" customHeight="1"/>
    <row r="25" spans="3:4" ht="15.75" customHeight="1">
      <c r="C25" s="53" t="s">
        <v>36</v>
      </c>
      <c r="D25" s="26">
        <v>58000000</v>
      </c>
    </row>
    <row r="26" spans="3:4" ht="15.75" customHeight="1">
      <c r="C26" s="13" t="s">
        <v>137</v>
      </c>
      <c r="D26" s="26">
        <f>D25+$G$4+$G$5+$G$8+(D25*$G$6)+(D25*$G$7)</f>
        <v>107176600</v>
      </c>
    </row>
    <row r="27" spans="3:4" ht="15.75" customHeight="1"/>
    <row r="28" spans="3:4" ht="15.75" customHeight="1"/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1012-7CA6-492F-88A7-11BA56252C08}">
  <dimension ref="B1:G19"/>
  <sheetViews>
    <sheetView workbookViewId="0">
      <selection activeCell="I9" sqref="I9"/>
    </sheetView>
  </sheetViews>
  <sheetFormatPr baseColWidth="10" defaultRowHeight="15"/>
  <cols>
    <col min="2" max="2" width="23.85546875" customWidth="1"/>
    <col min="3" max="3" width="14" customWidth="1"/>
    <col min="5" max="5" width="15.28515625" customWidth="1"/>
  </cols>
  <sheetData>
    <row r="1" spans="2:7" ht="15.75" thickBot="1"/>
    <row r="2" spans="2:7">
      <c r="B2" s="156" t="s">
        <v>159</v>
      </c>
      <c r="C2" s="157"/>
      <c r="D2" s="157"/>
      <c r="E2" s="158"/>
    </row>
    <row r="3" spans="2:7">
      <c r="B3" s="69" t="s">
        <v>154</v>
      </c>
      <c r="C3" s="65" t="s">
        <v>5</v>
      </c>
      <c r="D3" s="65" t="s">
        <v>6</v>
      </c>
      <c r="E3" s="70" t="s">
        <v>107</v>
      </c>
    </row>
    <row r="4" spans="2:7">
      <c r="B4" s="69" t="s">
        <v>192</v>
      </c>
      <c r="C4" s="66">
        <v>53900</v>
      </c>
      <c r="D4" s="65" t="s">
        <v>195</v>
      </c>
      <c r="E4" s="84">
        <f>C4*3</f>
        <v>161700</v>
      </c>
    </row>
    <row r="5" spans="2:7">
      <c r="B5" s="69" t="s">
        <v>193</v>
      </c>
      <c r="C5" s="66">
        <v>250000</v>
      </c>
      <c r="D5" s="65" t="s">
        <v>194</v>
      </c>
      <c r="E5" s="84">
        <f>C5*3</f>
        <v>750000</v>
      </c>
    </row>
    <row r="6" spans="2:7">
      <c r="B6" s="69" t="s">
        <v>196</v>
      </c>
      <c r="C6" s="66">
        <v>31900</v>
      </c>
      <c r="D6" s="65" t="s">
        <v>199</v>
      </c>
      <c r="E6" s="84">
        <f>C6*40</f>
        <v>1276000</v>
      </c>
    </row>
    <row r="7" spans="2:7">
      <c r="B7" s="69" t="s">
        <v>161</v>
      </c>
      <c r="C7" s="66">
        <v>41900</v>
      </c>
      <c r="D7" s="65">
        <v>5</v>
      </c>
      <c r="E7" s="84">
        <f>C7*D7</f>
        <v>209500</v>
      </c>
    </row>
    <row r="8" spans="2:7">
      <c r="B8" s="69" t="s">
        <v>162</v>
      </c>
      <c r="C8" s="66">
        <v>187000</v>
      </c>
      <c r="D8" s="65">
        <v>1</v>
      </c>
      <c r="E8" s="84">
        <f>C8</f>
        <v>187000</v>
      </c>
    </row>
    <row r="9" spans="2:7">
      <c r="B9" s="69" t="s">
        <v>163</v>
      </c>
      <c r="C9" s="66">
        <v>30400</v>
      </c>
      <c r="D9" s="65" t="s">
        <v>197</v>
      </c>
      <c r="E9" s="84">
        <f>C9*10</f>
        <v>304000</v>
      </c>
    </row>
    <row r="10" spans="2:7">
      <c r="B10" s="243" t="s">
        <v>164</v>
      </c>
      <c r="C10" s="244"/>
      <c r="D10" s="244"/>
      <c r="E10" s="245"/>
    </row>
    <row r="11" spans="2:7">
      <c r="B11" s="69" t="s">
        <v>165</v>
      </c>
      <c r="C11" s="66">
        <v>1649000</v>
      </c>
      <c r="D11" s="65">
        <v>9</v>
      </c>
      <c r="E11" s="84">
        <f>C11*D11</f>
        <v>14841000</v>
      </c>
      <c r="G11" t="s">
        <v>198</v>
      </c>
    </row>
    <row r="12" spans="2:7" ht="15.75" thickBot="1">
      <c r="B12" s="246" t="s">
        <v>107</v>
      </c>
      <c r="C12" s="247"/>
      <c r="D12" s="247"/>
      <c r="E12" s="86">
        <f>E11+SUM(E4:E9)</f>
        <v>17729200</v>
      </c>
    </row>
    <row r="13" spans="2:7">
      <c r="C13" s="64"/>
      <c r="E13" s="64"/>
    </row>
    <row r="14" spans="2:7">
      <c r="C14" s="64"/>
      <c r="E14" s="64"/>
    </row>
    <row r="15" spans="2:7">
      <c r="C15" s="64"/>
      <c r="E15" s="64"/>
    </row>
    <row r="16" spans="2:7">
      <c r="C16" s="64"/>
      <c r="E16" s="64"/>
    </row>
    <row r="17" spans="3:5">
      <c r="C17" s="64"/>
      <c r="E17" s="64"/>
    </row>
    <row r="18" spans="3:5">
      <c r="C18" s="64"/>
      <c r="E18" s="64"/>
    </row>
    <row r="19" spans="3:5">
      <c r="E19" s="64"/>
    </row>
  </sheetData>
  <mergeCells count="3">
    <mergeCell ref="B2:E2"/>
    <mergeCell ref="B10:E10"/>
    <mergeCell ref="B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000"/>
  <sheetViews>
    <sheetView topLeftCell="A11" workbookViewId="0">
      <selection activeCell="F30" sqref="F30"/>
    </sheetView>
  </sheetViews>
  <sheetFormatPr baseColWidth="10" defaultColWidth="14.42578125" defaultRowHeight="15" customHeight="1"/>
  <cols>
    <col min="1" max="1" width="10.7109375" customWidth="1"/>
    <col min="2" max="2" width="23.7109375" customWidth="1"/>
    <col min="3" max="3" width="22.140625" customWidth="1"/>
    <col min="4" max="4" width="18.85546875" customWidth="1"/>
    <col min="5" max="5" width="10.7109375" customWidth="1"/>
    <col min="6" max="6" width="18.28515625" customWidth="1"/>
    <col min="7" max="7" width="12.28515625" customWidth="1"/>
    <col min="8" max="8" width="29" customWidth="1"/>
    <col min="9" max="26" width="10.7109375" customWidth="1"/>
  </cols>
  <sheetData>
    <row r="2" spans="2:8">
      <c r="B2" s="249" t="s">
        <v>93</v>
      </c>
      <c r="C2" s="217"/>
      <c r="D2" s="217"/>
      <c r="E2" s="217"/>
      <c r="F2" s="217"/>
      <c r="G2" s="217"/>
      <c r="H2" s="218"/>
    </row>
    <row r="4" spans="2:8">
      <c r="B4" s="13"/>
      <c r="C4" s="4" t="s">
        <v>94</v>
      </c>
      <c r="D4" s="4" t="s">
        <v>95</v>
      </c>
      <c r="F4" s="4" t="s">
        <v>96</v>
      </c>
      <c r="G4" s="4"/>
      <c r="H4" s="52" t="s">
        <v>97</v>
      </c>
    </row>
    <row r="5" spans="2:8">
      <c r="B5" s="13" t="s">
        <v>98</v>
      </c>
      <c r="C5" s="250">
        <v>4</v>
      </c>
      <c r="D5" s="181"/>
      <c r="F5" s="13" t="s">
        <v>99</v>
      </c>
      <c r="G5" s="53">
        <v>22442.78</v>
      </c>
    </row>
    <row r="6" spans="2:8">
      <c r="B6" s="13" t="s">
        <v>100</v>
      </c>
      <c r="C6" s="13">
        <v>20</v>
      </c>
      <c r="D6" s="13">
        <v>17</v>
      </c>
      <c r="F6" s="13" t="s">
        <v>101</v>
      </c>
      <c r="G6" s="53">
        <v>4511.3900000000003</v>
      </c>
    </row>
    <row r="7" spans="2:8">
      <c r="B7" s="13" t="s">
        <v>102</v>
      </c>
      <c r="C7" s="13">
        <f>C6*C5</f>
        <v>80</v>
      </c>
      <c r="D7" s="13">
        <f>D6*C5</f>
        <v>68</v>
      </c>
      <c r="F7" s="4" t="s">
        <v>103</v>
      </c>
      <c r="G7" s="4"/>
    </row>
    <row r="8" spans="2:8">
      <c r="B8" s="13" t="s">
        <v>5</v>
      </c>
      <c r="C8" s="10">
        <f>G5+(G6*C7)+G8+(G9*C7)</f>
        <v>784945.17999999993</v>
      </c>
      <c r="D8" s="10">
        <f>G5+(G6*D7)+G8+(G9*D7)</f>
        <v>672182.26</v>
      </c>
      <c r="F8" s="13" t="s">
        <v>99</v>
      </c>
      <c r="G8" s="53">
        <v>10749.6</v>
      </c>
    </row>
    <row r="9" spans="2:8">
      <c r="F9" s="13" t="s">
        <v>101</v>
      </c>
      <c r="G9" s="53">
        <v>4885.5200000000004</v>
      </c>
    </row>
    <row r="11" spans="2:8">
      <c r="B11" s="251" t="s">
        <v>104</v>
      </c>
      <c r="C11" s="217"/>
      <c r="D11" s="217"/>
      <c r="E11" s="217"/>
      <c r="F11" s="217"/>
      <c r="G11" s="217"/>
      <c r="H11" s="218"/>
    </row>
    <row r="13" spans="2:8">
      <c r="B13" s="250" t="s">
        <v>99</v>
      </c>
      <c r="C13" s="181"/>
      <c r="D13" s="26">
        <v>3530</v>
      </c>
      <c r="F13" s="252" t="s">
        <v>105</v>
      </c>
      <c r="G13" s="253"/>
      <c r="H13" s="253"/>
    </row>
    <row r="14" spans="2:8">
      <c r="B14" s="250" t="s">
        <v>106</v>
      </c>
      <c r="C14" s="181"/>
      <c r="D14" s="26">
        <v>1685</v>
      </c>
    </row>
    <row r="15" spans="2:8">
      <c r="B15" s="250" t="s">
        <v>107</v>
      </c>
      <c r="C15" s="181"/>
      <c r="D15" s="26">
        <f>SUM(D13:D14)</f>
        <v>5215</v>
      </c>
    </row>
    <row r="17" spans="2:8">
      <c r="B17" s="251" t="s">
        <v>108</v>
      </c>
      <c r="C17" s="217"/>
      <c r="D17" s="217"/>
      <c r="E17" s="217"/>
      <c r="F17" s="217"/>
      <c r="G17" s="217"/>
      <c r="H17" s="218"/>
    </row>
    <row r="19" spans="2:8">
      <c r="B19" s="7" t="s">
        <v>109</v>
      </c>
      <c r="C19" s="7" t="s">
        <v>110</v>
      </c>
      <c r="D19" s="7" t="s">
        <v>111</v>
      </c>
      <c r="F19" s="7" t="s">
        <v>112</v>
      </c>
      <c r="G19" s="7" t="s">
        <v>113</v>
      </c>
    </row>
    <row r="20" spans="2:8">
      <c r="B20" s="13" t="s">
        <v>114</v>
      </c>
      <c r="C20" s="13" t="s">
        <v>115</v>
      </c>
      <c r="D20" s="13">
        <f>157*17</f>
        <v>2669</v>
      </c>
      <c r="F20" s="250">
        <v>817.81820000000005</v>
      </c>
      <c r="G20" s="181"/>
    </row>
    <row r="21" spans="2:8" ht="15.75" customHeight="1">
      <c r="B21" s="13" t="s">
        <v>116</v>
      </c>
      <c r="C21" s="13">
        <v>0.96392</v>
      </c>
      <c r="D21" s="13">
        <f t="shared" ref="D21:D28" si="0">C21*8*20</f>
        <v>154.22720000000001</v>
      </c>
    </row>
    <row r="22" spans="2:8" ht="15.75" customHeight="1">
      <c r="B22" s="7" t="s">
        <v>117</v>
      </c>
      <c r="C22" s="13">
        <v>0.75</v>
      </c>
      <c r="D22" s="13">
        <f t="shared" si="0"/>
        <v>120</v>
      </c>
    </row>
    <row r="23" spans="2:8" ht="15.75" customHeight="1">
      <c r="B23" s="13" t="s">
        <v>118</v>
      </c>
      <c r="C23" s="13">
        <v>2</v>
      </c>
      <c r="D23" s="13">
        <f t="shared" si="0"/>
        <v>320</v>
      </c>
      <c r="E23" s="1" t="s">
        <v>119</v>
      </c>
    </row>
    <row r="24" spans="2:8" ht="15.75" customHeight="1">
      <c r="B24" s="13" t="s">
        <v>120</v>
      </c>
      <c r="C24" s="13">
        <v>7.5</v>
      </c>
      <c r="D24" s="13">
        <f t="shared" si="0"/>
        <v>1200</v>
      </c>
    </row>
    <row r="25" spans="2:8" ht="15.75" customHeight="1">
      <c r="B25" s="7" t="s">
        <v>121</v>
      </c>
      <c r="C25" s="13">
        <v>3</v>
      </c>
      <c r="D25" s="13">
        <f t="shared" si="0"/>
        <v>480</v>
      </c>
    </row>
    <row r="26" spans="2:8" ht="15.75" customHeight="1">
      <c r="B26" s="13" t="s">
        <v>122</v>
      </c>
      <c r="C26" s="13">
        <f>24/1000</f>
        <v>2.4E-2</v>
      </c>
      <c r="D26" s="13">
        <f t="shared" si="0"/>
        <v>3.84</v>
      </c>
      <c r="E26" s="1" t="s">
        <v>123</v>
      </c>
      <c r="G26" s="1" t="s">
        <v>124</v>
      </c>
      <c r="H26" s="1" t="s">
        <v>125</v>
      </c>
    </row>
    <row r="27" spans="2:8" ht="15.75" customHeight="1">
      <c r="B27" s="13" t="s">
        <v>126</v>
      </c>
      <c r="C27" s="13">
        <f>H27/1000</f>
        <v>4.4000000000000004</v>
      </c>
      <c r="D27" s="13">
        <f t="shared" si="0"/>
        <v>704</v>
      </c>
      <c r="G27" s="1" t="s">
        <v>127</v>
      </c>
      <c r="H27" s="1">
        <f>110*40</f>
        <v>4400</v>
      </c>
    </row>
    <row r="28" spans="2:8" ht="15.75" customHeight="1">
      <c r="B28" s="7" t="s">
        <v>128</v>
      </c>
      <c r="C28" s="13">
        <v>12</v>
      </c>
      <c r="D28" s="13">
        <f t="shared" si="0"/>
        <v>1920</v>
      </c>
    </row>
    <row r="29" spans="2:8" ht="15.75" customHeight="1">
      <c r="B29" s="7" t="s">
        <v>129</v>
      </c>
      <c r="C29" s="13">
        <v>0.2</v>
      </c>
      <c r="D29" s="13">
        <f>C29*8*5*20</f>
        <v>160</v>
      </c>
    </row>
    <row r="30" spans="2:8" ht="15.75" customHeight="1">
      <c r="B30" s="54" t="s">
        <v>130</v>
      </c>
      <c r="C30" s="13">
        <v>18</v>
      </c>
      <c r="D30" s="13">
        <f>C30*8*20</f>
        <v>2880</v>
      </c>
    </row>
    <row r="31" spans="2:8" ht="15.75" customHeight="1">
      <c r="B31" s="13" t="s">
        <v>131</v>
      </c>
      <c r="C31" s="250">
        <f>D20+D21+D23+D24+D26+D27+D30</f>
        <v>7931.0671999999995</v>
      </c>
      <c r="D31" s="181"/>
    </row>
    <row r="32" spans="2:8" ht="15.75" customHeight="1">
      <c r="B32" s="13" t="s">
        <v>132</v>
      </c>
      <c r="C32" s="250">
        <f>D20+D22+D23+D24+D25+D27+D28+D30+D29</f>
        <v>10453</v>
      </c>
      <c r="D32" s="181"/>
    </row>
    <row r="33" spans="2:4" ht="15.75" customHeight="1">
      <c r="B33" s="13" t="s">
        <v>133</v>
      </c>
      <c r="C33" s="248">
        <f>C31*F20</f>
        <v>6486171.1015830403</v>
      </c>
      <c r="D33" s="181"/>
    </row>
    <row r="34" spans="2:4" ht="15.75" customHeight="1">
      <c r="B34" s="13" t="s">
        <v>134</v>
      </c>
      <c r="C34" s="248">
        <f>C32*F20</f>
        <v>8548653.6446000002</v>
      </c>
      <c r="D34" s="181"/>
    </row>
    <row r="35" spans="2:4" ht="15.75" customHeight="1"/>
    <row r="36" spans="2:4" ht="15.75" customHeight="1"/>
    <row r="37" spans="2:4" ht="15.75" customHeight="1"/>
    <row r="38" spans="2:4" ht="15.75" customHeight="1"/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34:D34"/>
    <mergeCell ref="B2:H2"/>
    <mergeCell ref="C5:D5"/>
    <mergeCell ref="B11:H11"/>
    <mergeCell ref="B13:C13"/>
    <mergeCell ref="F13:H13"/>
    <mergeCell ref="B14:C14"/>
    <mergeCell ref="B15:C15"/>
    <mergeCell ref="B17:H17"/>
    <mergeCell ref="F20:G20"/>
    <mergeCell ref="C31:D31"/>
    <mergeCell ref="C32:D32"/>
    <mergeCell ref="C33:D3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Balance General</vt:lpstr>
      <vt:lpstr>VPN, TIR y Payback</vt:lpstr>
      <vt:lpstr>Software y Hardware</vt:lpstr>
      <vt:lpstr>Cálculo Importaciones</vt:lpstr>
      <vt:lpstr>Acondicionamiento del Lugar</vt:lpstr>
      <vt:lpstr>Cálculo Servicios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Martin Moreno</dc:creator>
  <cp:lastModifiedBy>Camilo Andrés Martín Moreno</cp:lastModifiedBy>
  <dcterms:created xsi:type="dcterms:W3CDTF">2023-10-15T18:19:08Z</dcterms:created>
  <dcterms:modified xsi:type="dcterms:W3CDTF">2023-11-28T01:02:36Z</dcterms:modified>
</cp:coreProperties>
</file>