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General" sheetId="1" r:id="rId4"/>
    <sheet state="visible" name="Cálculo Servicios" sheetId="2" r:id="rId5"/>
    <sheet state="visible" name="Cálculo Importaciones" sheetId="3" r:id="rId6"/>
    <sheet state="visible" name="VPN, TIR y Payback" sheetId="4" r:id="rId7"/>
  </sheets>
  <definedNames/>
  <calcPr/>
  <extLst>
    <ext uri="GoogleSheetsCustomDataVersion2">
      <go:sheetsCustomData xmlns:go="http://customooxmlschemas.google.com/" r:id="rId8" roundtripDataChecksum="aoA6ujSlQS+SQ/eQ3pYDUp4i+33zeJ9Gt5LagR2XsPQ="/>
    </ext>
  </extLst>
</workbook>
</file>

<file path=xl/sharedStrings.xml><?xml version="1.0" encoding="utf-8"?>
<sst xmlns="http://schemas.openxmlformats.org/spreadsheetml/2006/main" count="268" uniqueCount="151">
  <si>
    <t>*Vida Útil (Anual = 1, Mensual = 12, Etc.)</t>
  </si>
  <si>
    <t>Proceso (Sin Automatización)</t>
  </si>
  <si>
    <t>Proceso (Automatización)</t>
  </si>
  <si>
    <t>Costos Fijos</t>
  </si>
  <si>
    <t>Descripción</t>
  </si>
  <si>
    <t>Precio</t>
  </si>
  <si>
    <t>Cantidad</t>
  </si>
  <si>
    <t>Periodos</t>
  </si>
  <si>
    <t>Arriendo</t>
  </si>
  <si>
    <t>700 m²</t>
  </si>
  <si>
    <t>Internet</t>
  </si>
  <si>
    <t>Agua</t>
  </si>
  <si>
    <t>Luz</t>
  </si>
  <si>
    <t>Gas</t>
  </si>
  <si>
    <t>Personal</t>
  </si>
  <si>
    <t>Impuestos</t>
  </si>
  <si>
    <t>Seguros</t>
  </si>
  <si>
    <t>Publicidad</t>
  </si>
  <si>
    <t>Costos del Proceso</t>
  </si>
  <si>
    <t>Contenedores de Almacenamiento</t>
  </si>
  <si>
    <t>Presupuesto 
Inicial</t>
  </si>
  <si>
    <t>Banda Transportadora</t>
  </si>
  <si>
    <t>Herramientas mecánicas básicas</t>
  </si>
  <si>
    <t>Esmeril de banco</t>
  </si>
  <si>
    <t>Máquina Dobladora Tubos</t>
  </si>
  <si>
    <t>Máquina de Corte</t>
  </si>
  <si>
    <t>Máquina Dobladora Lamina</t>
  </si>
  <si>
    <t>Robot (Pick &amp; Place)</t>
  </si>
  <si>
    <t>Máquina Corte de Lámina</t>
  </si>
  <si>
    <t>Taladro</t>
  </si>
  <si>
    <t xml:space="preserve">Equipo soldadura </t>
  </si>
  <si>
    <t>Equipo de Pintura</t>
  </si>
  <si>
    <t>Máquina de CNC</t>
  </si>
  <si>
    <t>Horno de Secado</t>
  </si>
  <si>
    <t>Moldes</t>
  </si>
  <si>
    <t>Costos Variables</t>
  </si>
  <si>
    <t>Discos de Corte (Esmeril)</t>
  </si>
  <si>
    <t>Robot Soldador</t>
  </si>
  <si>
    <t>Discos de Corte (Máquina)</t>
  </si>
  <si>
    <t>Brocas</t>
  </si>
  <si>
    <t>Rollo de soldadura</t>
  </si>
  <si>
    <t>Pintura</t>
  </si>
  <si>
    <t>Cinta Embalaje</t>
  </si>
  <si>
    <t>Aceite</t>
  </si>
  <si>
    <t>Considerados en Mantenimiento</t>
  </si>
  <si>
    <t>Grasa</t>
  </si>
  <si>
    <t>Gastos Fijos Anuales</t>
  </si>
  <si>
    <t>Costos Variables Anuales</t>
  </si>
  <si>
    <t>Herramientas Robot (Grippers)</t>
  </si>
  <si>
    <t>Costos Totales</t>
  </si>
  <si>
    <t xml:space="preserve">Materias Primas </t>
  </si>
  <si>
    <t>Cantidad Mensual</t>
  </si>
  <si>
    <t>Días de trabajo</t>
  </si>
  <si>
    <t>Cantidad Diaria</t>
  </si>
  <si>
    <t>Locker (Diaria)</t>
  </si>
  <si>
    <t>Valor (Unitario)</t>
  </si>
  <si>
    <t>Cantidad (Mensual)</t>
  </si>
  <si>
    <t>Valor total (Mensual)</t>
  </si>
  <si>
    <t>Lámina</t>
  </si>
  <si>
    <t>Visagras</t>
  </si>
  <si>
    <t>Tuberia</t>
  </si>
  <si>
    <t>Gancho</t>
  </si>
  <si>
    <t>Total Producto (Mensual)</t>
  </si>
  <si>
    <t>Costo Unitario (Sólo Materia Prima)</t>
  </si>
  <si>
    <t>Sillas (Diaria)</t>
  </si>
  <si>
    <t>Tuberia (Cuadrada)</t>
  </si>
  <si>
    <t>Tuberia (Redonda)</t>
  </si>
  <si>
    <t>Lámina de Aluminio</t>
  </si>
  <si>
    <t xml:space="preserve">Tapones </t>
  </si>
  <si>
    <t>Escaleras (Diaria)</t>
  </si>
  <si>
    <t>Tubería (1'')</t>
  </si>
  <si>
    <t>Tubería (3/4'')</t>
  </si>
  <si>
    <t>Lámina Poliestireno</t>
  </si>
  <si>
    <t>Piso Antideslizante</t>
  </si>
  <si>
    <t>Pegante</t>
  </si>
  <si>
    <t>Tornillos Autorroscantes</t>
  </si>
  <si>
    <t>Costo Total Anual</t>
  </si>
  <si>
    <t>Mantenimiento Máquinas</t>
  </si>
  <si>
    <t>Regularidad (Al año)</t>
  </si>
  <si>
    <t>Total Anual</t>
  </si>
  <si>
    <t>Máquinas</t>
  </si>
  <si>
    <t>Inspección Servicios</t>
  </si>
  <si>
    <t>Costo Mantenimiento Total (Anual)</t>
  </si>
  <si>
    <t>Utilidad</t>
  </si>
  <si>
    <t>Precio Venta</t>
  </si>
  <si>
    <t>Cantidad (Anual)</t>
  </si>
  <si>
    <t>Ganancia</t>
  </si>
  <si>
    <t>Locker</t>
  </si>
  <si>
    <t>Sillas</t>
  </si>
  <si>
    <t>Escalera</t>
  </si>
  <si>
    <t>Utilidad Neta</t>
  </si>
  <si>
    <t>Inversión Inicial</t>
  </si>
  <si>
    <t>Inversión Extra</t>
  </si>
  <si>
    <t>AGUA</t>
  </si>
  <si>
    <t>Sin Automatización</t>
  </si>
  <si>
    <t>Con Automatización</t>
  </si>
  <si>
    <t>Costo Agua</t>
  </si>
  <si>
    <t>A partir de excel del Acueducto</t>
  </si>
  <si>
    <t>Consumo m3 por persona</t>
  </si>
  <si>
    <t>Cargo Fijo</t>
  </si>
  <si>
    <t>Empleados</t>
  </si>
  <si>
    <t>Consumo</t>
  </si>
  <si>
    <t>Total m3</t>
  </si>
  <si>
    <t>Alcantarillado</t>
  </si>
  <si>
    <t>GAS</t>
  </si>
  <si>
    <t>GOV.CO Datos Abiertos</t>
  </si>
  <si>
    <t>Cargo por Consumo (Industrias (Promedio))</t>
  </si>
  <si>
    <t>Total</t>
  </si>
  <si>
    <t>LUZ</t>
  </si>
  <si>
    <t>Máquina</t>
  </si>
  <si>
    <t>Energía (kW)</t>
  </si>
  <si>
    <t>Mensual (kWh)</t>
  </si>
  <si>
    <t xml:space="preserve">COSTO </t>
  </si>
  <si>
    <t>$/kWh</t>
  </si>
  <si>
    <t>Cosas del diario</t>
  </si>
  <si>
    <t>157 kW (mes * persona)</t>
  </si>
  <si>
    <t>Esmeril</t>
  </si>
  <si>
    <t>Cortadora</t>
  </si>
  <si>
    <t>Corte lámina</t>
  </si>
  <si>
    <t>Enfria con Agua</t>
  </si>
  <si>
    <t>Dobladora tubos</t>
  </si>
  <si>
    <t>CNC</t>
  </si>
  <si>
    <t>Taladrado</t>
  </si>
  <si>
    <t>Carga 2 veces diarias</t>
  </si>
  <si>
    <t>12V - 2A</t>
  </si>
  <si>
    <t>24W</t>
  </si>
  <si>
    <t>Soldadura</t>
  </si>
  <si>
    <t>110V - 40A</t>
  </si>
  <si>
    <t>Robots</t>
  </si>
  <si>
    <t>Banda</t>
  </si>
  <si>
    <t>Horno</t>
  </si>
  <si>
    <t>Consumo Sin Automatizar</t>
  </si>
  <si>
    <t>Consumo Automatizando</t>
  </si>
  <si>
    <t>Costo Sin Automatizar</t>
  </si>
  <si>
    <t>Costo Automatizado</t>
  </si>
  <si>
    <t>Maquina Corte Lámina</t>
  </si>
  <si>
    <t>Carga al contenedor</t>
  </si>
  <si>
    <t>Precio Completo</t>
  </si>
  <si>
    <t>Flete</t>
  </si>
  <si>
    <t>Contenedor 20ft</t>
  </si>
  <si>
    <t>Hong Kong - Buenaventura</t>
  </si>
  <si>
    <t>IVA</t>
  </si>
  <si>
    <t>Maquina Dobladora Manual</t>
  </si>
  <si>
    <t>Aranceles</t>
  </si>
  <si>
    <t>Traslado a Bogotá</t>
  </si>
  <si>
    <t>Maquina Dobladora Automatica</t>
  </si>
  <si>
    <t>Planta base</t>
  </si>
  <si>
    <t>Planta automatizada</t>
  </si>
  <si>
    <t>Año</t>
  </si>
  <si>
    <t>Flujo de caja</t>
  </si>
  <si>
    <t>tir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</si>
</sst>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_-;\-&quot;$&quot;* #,##0_-;_-&quot;$&quot;* &quot;-&quot;??_-;_-@"/>
    <numFmt numFmtId="165" formatCode="_-&quot;$&quot;* #,##0.00_-;\-&quot;$&quot;* #,##0.00_-;_-&quot;$&quot;* &quot;-&quot;??_-;_-@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</fills>
  <borders count="5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Font="1"/>
    <xf borderId="4" fillId="2" fontId="2" numFmtId="0" xfId="0" applyAlignment="1" applyBorder="1" applyFill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3" fontId="2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7" fillId="0" fontId="2" numFmtId="0" xfId="0" applyBorder="1" applyFont="1"/>
    <xf borderId="8" fillId="0" fontId="2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9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0" fillId="3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8" fillId="0" fontId="2" numFmtId="0" xfId="0" applyAlignment="1" applyBorder="1" applyFont="1">
      <alignment horizontal="center" readingOrder="0"/>
    </xf>
    <xf borderId="8" fillId="4" fontId="2" numFmtId="164" xfId="0" applyAlignment="1" applyBorder="1" applyFill="1" applyFont="1" applyNumberFormat="1">
      <alignment horizontal="center" readingOrder="0"/>
    </xf>
    <xf borderId="16" fillId="0" fontId="2" numFmtId="164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0" fillId="0" fontId="2" numFmtId="0" xfId="0" applyAlignment="1" applyBorder="1" applyFont="1">
      <alignment horizontal="center"/>
    </xf>
    <xf borderId="22" fillId="0" fontId="3" numFmtId="0" xfId="0" applyBorder="1" applyFont="1"/>
    <xf borderId="9" fillId="0" fontId="2" numFmtId="164" xfId="0" applyBorder="1" applyFont="1" applyNumberFormat="1"/>
    <xf borderId="10" fillId="5" fontId="2" numFmtId="0" xfId="0" applyAlignment="1" applyBorder="1" applyFill="1" applyFont="1">
      <alignment horizontal="center"/>
    </xf>
    <xf borderId="9" fillId="5" fontId="2" numFmtId="164" xfId="0" applyBorder="1" applyFont="1" applyNumberFormat="1"/>
    <xf borderId="8" fillId="4" fontId="2" numFmtId="164" xfId="0" applyAlignment="1" applyBorder="1" applyFont="1" applyNumberFormat="1">
      <alignment horizontal="center"/>
    </xf>
    <xf borderId="8" fillId="4" fontId="2" numFmtId="0" xfId="0" applyAlignment="1" applyBorder="1" applyFont="1">
      <alignment horizontal="center"/>
    </xf>
    <xf borderId="9" fillId="4" fontId="2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26" fillId="0" fontId="2" numFmtId="164" xfId="0" applyBorder="1" applyFont="1" applyNumberFormat="1"/>
    <xf borderId="27" fillId="6" fontId="2" numFmtId="0" xfId="0" applyAlignment="1" applyBorder="1" applyFill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2" fontId="2" numFmtId="0" xfId="0" applyAlignment="1" applyBorder="1" applyFont="1">
      <alignment horizontal="center"/>
    </xf>
    <xf borderId="31" fillId="2" fontId="2" numFmtId="0" xfId="0" applyAlignment="1" applyBorder="1" applyFont="1">
      <alignment horizontal="center"/>
    </xf>
    <xf borderId="32" fillId="2" fontId="2" numFmtId="0" xfId="0" applyAlignment="1" applyBorder="1" applyFont="1">
      <alignment horizontal="center"/>
    </xf>
    <xf borderId="33" fillId="2" fontId="2" numFmtId="0" xfId="0" applyAlignment="1" applyBorder="1" applyFont="1">
      <alignment horizontal="center"/>
    </xf>
    <xf borderId="34" fillId="2" fontId="2" numFmtId="0" xfId="0" applyAlignment="1" applyBorder="1" applyFont="1">
      <alignment horizontal="center" readingOrder="0"/>
    </xf>
    <xf borderId="34" fillId="2" fontId="2" numFmtId="0" xfId="0" applyAlignment="1" applyBorder="1" applyFont="1">
      <alignment horizontal="center"/>
    </xf>
    <xf borderId="35" fillId="2" fontId="2" numFmtId="0" xfId="0" applyAlignment="1" applyBorder="1" applyFont="1">
      <alignment horizontal="center" readingOrder="0"/>
    </xf>
    <xf borderId="36" fillId="6" fontId="2" numFmtId="0" xfId="0" applyAlignment="1" applyBorder="1" applyFont="1">
      <alignment horizontal="center"/>
    </xf>
    <xf borderId="37" fillId="6" fontId="2" numFmtId="0" xfId="0" applyAlignment="1" applyBorder="1" applyFont="1">
      <alignment horizontal="center"/>
    </xf>
    <xf borderId="38" fillId="6" fontId="2" numFmtId="0" xfId="0" applyAlignment="1" applyBorder="1" applyFont="1">
      <alignment horizontal="center"/>
    </xf>
    <xf borderId="8" fillId="0" fontId="2" numFmtId="165" xfId="0" applyBorder="1" applyFont="1" applyNumberFormat="1"/>
    <xf borderId="9" fillId="0" fontId="2" numFmtId="165" xfId="0" applyBorder="1" applyFont="1" applyNumberFormat="1"/>
    <xf borderId="8" fillId="0" fontId="2" numFmtId="164" xfId="0" applyBorder="1" applyFont="1" applyNumberFormat="1"/>
    <xf borderId="30" fillId="3" fontId="2" numFmtId="0" xfId="0" applyAlignment="1" applyBorder="1" applyFont="1">
      <alignment horizontal="center"/>
    </xf>
    <xf borderId="31" fillId="3" fontId="2" numFmtId="0" xfId="0" applyAlignment="1" applyBorder="1" applyFont="1">
      <alignment horizontal="center"/>
    </xf>
    <xf borderId="32" fillId="3" fontId="2" numFmtId="0" xfId="0" applyAlignment="1" applyBorder="1" applyFont="1">
      <alignment horizontal="center"/>
    </xf>
    <xf borderId="33" fillId="3" fontId="2" numFmtId="0" xfId="0" applyAlignment="1" applyBorder="1" applyFont="1">
      <alignment horizontal="center"/>
    </xf>
    <xf borderId="34" fillId="3" fontId="2" numFmtId="0" xfId="0" applyAlignment="1" applyBorder="1" applyFont="1">
      <alignment horizontal="center" readingOrder="0"/>
    </xf>
    <xf borderId="34" fillId="3" fontId="2" numFmtId="0" xfId="0" applyAlignment="1" applyBorder="1" applyFont="1">
      <alignment horizontal="center"/>
    </xf>
    <xf borderId="35" fillId="3" fontId="2" numFmtId="0" xfId="0" applyAlignment="1" applyBorder="1" applyFont="1">
      <alignment horizontal="center"/>
    </xf>
    <xf borderId="39" fillId="0" fontId="2" numFmtId="0" xfId="0" applyAlignment="1" applyBorder="1" applyFont="1">
      <alignment horizontal="center"/>
    </xf>
    <xf borderId="40" fillId="0" fontId="3" numFmtId="0" xfId="0" applyBorder="1" applyFont="1"/>
    <xf borderId="13" fillId="0" fontId="2" numFmtId="165" xfId="0" applyBorder="1" applyFont="1" applyNumberFormat="1"/>
    <xf borderId="41" fillId="0" fontId="2" numFmtId="0" xfId="0" applyBorder="1" applyFont="1"/>
    <xf borderId="42" fillId="0" fontId="2" numFmtId="164" xfId="0" applyBorder="1" applyFont="1" applyNumberFormat="1"/>
    <xf borderId="42" fillId="0" fontId="2" numFmtId="0" xfId="0" applyAlignment="1" applyBorder="1" applyFont="1">
      <alignment horizontal="center"/>
    </xf>
    <xf borderId="15" fillId="0" fontId="2" numFmtId="164" xfId="0" applyBorder="1" applyFont="1" applyNumberFormat="1"/>
    <xf borderId="13" fillId="0" fontId="2" numFmtId="164" xfId="0" applyBorder="1" applyFont="1" applyNumberFormat="1"/>
    <xf borderId="42" fillId="0" fontId="2" numFmtId="164" xfId="0" applyAlignment="1" applyBorder="1" applyFont="1" applyNumberFormat="1">
      <alignment horizontal="center"/>
    </xf>
    <xf borderId="35" fillId="3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8" fillId="0" fontId="2" numFmtId="0" xfId="0" applyBorder="1" applyFont="1"/>
    <xf borderId="43" fillId="0" fontId="2" numFmtId="0" xfId="0" applyBorder="1" applyFont="1"/>
    <xf borderId="44" fillId="0" fontId="2" numFmtId="164" xfId="0" applyBorder="1" applyFont="1" applyNumberFormat="1"/>
    <xf borderId="44" fillId="0" fontId="2" numFmtId="0" xfId="0" applyBorder="1" applyFont="1"/>
    <xf borderId="1" fillId="3" fontId="2" numFmtId="0" xfId="0" applyAlignment="1" applyBorder="1" applyFont="1">
      <alignment horizontal="center"/>
    </xf>
    <xf borderId="45" fillId="0" fontId="2" numFmtId="0" xfId="0" applyAlignment="1" applyBorder="1" applyFont="1">
      <alignment horizontal="center"/>
    </xf>
    <xf borderId="46" fillId="0" fontId="2" numFmtId="0" xfId="0" applyAlignment="1" applyBorder="1" applyFont="1">
      <alignment horizontal="center"/>
    </xf>
    <xf borderId="47" fillId="0" fontId="2" numFmtId="0" xfId="0" applyAlignment="1" applyBorder="1" applyFont="1">
      <alignment horizontal="center"/>
    </xf>
    <xf borderId="4" fillId="7" fontId="2" numFmtId="0" xfId="0" applyAlignment="1" applyBorder="1" applyFill="1" applyFont="1">
      <alignment horizontal="center"/>
    </xf>
    <xf borderId="9" fillId="0" fontId="2" numFmtId="164" xfId="0" applyAlignment="1" applyBorder="1" applyFont="1" applyNumberFormat="1">
      <alignment horizontal="center"/>
    </xf>
    <xf borderId="8" fillId="0" fontId="2" numFmtId="164" xfId="0" applyAlignment="1" applyBorder="1" applyFont="1" applyNumberFormat="1">
      <alignment horizontal="center" readingOrder="0"/>
    </xf>
    <xf borderId="48" fillId="0" fontId="3" numFmtId="0" xfId="0" applyBorder="1" applyFont="1"/>
    <xf borderId="35" fillId="0" fontId="2" numFmtId="164" xfId="0" applyBorder="1" applyFont="1" applyNumberFormat="1"/>
    <xf borderId="4" fillId="0" fontId="2" numFmtId="0" xfId="0" applyAlignment="1" applyBorder="1" applyFont="1">
      <alignment horizontal="center"/>
    </xf>
    <xf borderId="49" fillId="0" fontId="3" numFmtId="0" xfId="0" applyBorder="1" applyFont="1"/>
    <xf borderId="47" fillId="0" fontId="2" numFmtId="164" xfId="0" applyBorder="1" applyFont="1" applyNumberFormat="1"/>
    <xf borderId="0" fillId="0" fontId="1" numFmtId="9" xfId="0" applyAlignment="1" applyFont="1" applyNumberFormat="1">
      <alignment readingOrder="0"/>
    </xf>
    <xf borderId="1" fillId="2" fontId="4" numFmtId="0" xfId="0" applyAlignment="1" applyBorder="1" applyFont="1">
      <alignment horizontal="center"/>
    </xf>
    <xf borderId="50" fillId="0" fontId="2" numFmtId="0" xfId="0" applyAlignment="1" applyBorder="1" applyFont="1">
      <alignment horizontal="center"/>
    </xf>
    <xf borderId="51" fillId="0" fontId="2" numFmtId="0" xfId="0" applyAlignment="1" applyBorder="1" applyFont="1">
      <alignment horizontal="center"/>
    </xf>
    <xf borderId="8" fillId="0" fontId="2" numFmtId="165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8" fillId="8" fontId="2" numFmtId="0" xfId="0" applyAlignment="1" applyBorder="1" applyFill="1" applyFont="1">
      <alignment horizontal="center"/>
    </xf>
    <xf borderId="51" fillId="0" fontId="2" numFmtId="164" xfId="0" applyAlignment="1" applyBorder="1" applyFont="1" applyNumberFormat="1">
      <alignment horizontal="center"/>
    </xf>
    <xf borderId="0" fillId="0" fontId="2" numFmtId="164" xfId="0" applyFont="1" applyNumberFormat="1"/>
    <xf borderId="8" fillId="0" fontId="2" numFmtId="9" xfId="0" applyBorder="1" applyFont="1" applyNumberFormat="1"/>
    <xf borderId="51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3.86"/>
    <col customWidth="1" min="3" max="3" width="21.14"/>
    <col customWidth="1" min="4" max="4" width="21.0"/>
    <col customWidth="1" min="5" max="5" width="21.14"/>
    <col customWidth="1" min="6" max="6" width="10.71"/>
    <col customWidth="1" min="7" max="7" width="32.43"/>
    <col customWidth="1" min="8" max="8" width="18.57"/>
    <col customWidth="1" min="9" max="9" width="20.43"/>
    <col customWidth="1" min="10" max="10" width="21.43"/>
    <col customWidth="1" min="11" max="26" width="10.71"/>
  </cols>
  <sheetData>
    <row r="2">
      <c r="B2" s="1" t="s">
        <v>0</v>
      </c>
    </row>
    <row r="4">
      <c r="B4" s="2" t="s">
        <v>1</v>
      </c>
      <c r="C4" s="3"/>
      <c r="D4" s="3"/>
      <c r="E4" s="4"/>
      <c r="G4" s="2" t="s">
        <v>2</v>
      </c>
      <c r="H4" s="3"/>
      <c r="I4" s="3"/>
      <c r="J4" s="4"/>
      <c r="K4" s="5"/>
    </row>
    <row r="6">
      <c r="B6" s="6" t="s">
        <v>3</v>
      </c>
      <c r="C6" s="7"/>
      <c r="D6" s="7"/>
      <c r="E6" s="8"/>
      <c r="G6" s="9" t="s">
        <v>3</v>
      </c>
      <c r="H6" s="7"/>
      <c r="I6" s="7"/>
      <c r="J6" s="8"/>
    </row>
    <row r="7">
      <c r="B7" s="10" t="s">
        <v>4</v>
      </c>
      <c r="C7" s="11" t="s">
        <v>5</v>
      </c>
      <c r="D7" s="11" t="s">
        <v>6</v>
      </c>
      <c r="E7" s="12" t="s">
        <v>7</v>
      </c>
      <c r="G7" s="13" t="s">
        <v>4</v>
      </c>
      <c r="H7" s="14" t="s">
        <v>5</v>
      </c>
      <c r="I7" s="14" t="s">
        <v>6</v>
      </c>
      <c r="J7" s="15" t="s">
        <v>7</v>
      </c>
    </row>
    <row r="8">
      <c r="B8" s="16" t="s">
        <v>8</v>
      </c>
      <c r="C8" s="17">
        <v>1.5E7</v>
      </c>
      <c r="D8" s="18" t="s">
        <v>9</v>
      </c>
      <c r="E8" s="19">
        <v>12.0</v>
      </c>
      <c r="G8" s="16" t="s">
        <v>8</v>
      </c>
      <c r="H8" s="17">
        <v>1.5E7</v>
      </c>
      <c r="I8" s="18" t="s">
        <v>9</v>
      </c>
      <c r="J8" s="19">
        <v>12.0</v>
      </c>
    </row>
    <row r="9">
      <c r="B9" s="16" t="s">
        <v>10</v>
      </c>
      <c r="C9" s="17">
        <v>107990.0</v>
      </c>
      <c r="D9" s="20">
        <v>1.0</v>
      </c>
      <c r="E9" s="19">
        <v>12.0</v>
      </c>
      <c r="G9" s="16" t="s">
        <v>10</v>
      </c>
      <c r="H9" s="17">
        <v>107990.0</v>
      </c>
      <c r="I9" s="20">
        <v>1.0</v>
      </c>
      <c r="J9" s="19">
        <v>12.0</v>
      </c>
    </row>
    <row r="10">
      <c r="B10" s="16" t="s">
        <v>11</v>
      </c>
      <c r="C10" s="17">
        <f>'Cálculo Servicios'!C8</f>
        <v>784945.18</v>
      </c>
      <c r="D10" s="20">
        <v>1.0</v>
      </c>
      <c r="E10" s="19">
        <v>6.0</v>
      </c>
      <c r="G10" s="16" t="s">
        <v>11</v>
      </c>
      <c r="H10" s="17">
        <f>'Cálculo Servicios'!D8</f>
        <v>672182.26</v>
      </c>
      <c r="I10" s="20">
        <v>1.0</v>
      </c>
      <c r="J10" s="19">
        <v>6.0</v>
      </c>
    </row>
    <row r="11">
      <c r="B11" s="16" t="s">
        <v>12</v>
      </c>
      <c r="C11" s="17">
        <f>'Cálculo Servicios'!C33</f>
        <v>6486171.102</v>
      </c>
      <c r="D11" s="20">
        <v>1.0</v>
      </c>
      <c r="E11" s="19">
        <v>12.0</v>
      </c>
      <c r="G11" s="16" t="s">
        <v>12</v>
      </c>
      <c r="H11" s="17">
        <f>'Cálculo Servicios'!C34</f>
        <v>6978442.701</v>
      </c>
      <c r="I11" s="20">
        <v>1.0</v>
      </c>
      <c r="J11" s="19">
        <v>12.0</v>
      </c>
    </row>
    <row r="12">
      <c r="B12" s="16" t="s">
        <v>13</v>
      </c>
      <c r="C12" s="17">
        <f>'Cálculo Servicios'!D15</f>
        <v>5215</v>
      </c>
      <c r="D12" s="20">
        <v>1.0</v>
      </c>
      <c r="E12" s="19">
        <v>12.0</v>
      </c>
      <c r="G12" s="16" t="s">
        <v>13</v>
      </c>
      <c r="H12" s="17">
        <f>'Cálculo Servicios'!D15</f>
        <v>5215</v>
      </c>
      <c r="I12" s="20">
        <v>1.0</v>
      </c>
      <c r="J12" s="19">
        <v>12.0</v>
      </c>
    </row>
    <row r="13">
      <c r="B13" s="16" t="s">
        <v>14</v>
      </c>
      <c r="C13" s="17">
        <v>2000000.0</v>
      </c>
      <c r="D13" s="20">
        <v>10.0</v>
      </c>
      <c r="E13" s="19">
        <v>12.0</v>
      </c>
      <c r="G13" s="16" t="s">
        <v>14</v>
      </c>
      <c r="H13" s="17">
        <v>2000000.0</v>
      </c>
      <c r="I13" s="20">
        <v>6.0</v>
      </c>
      <c r="J13" s="19">
        <v>12.0</v>
      </c>
    </row>
    <row r="14">
      <c r="B14" s="16" t="s">
        <v>15</v>
      </c>
      <c r="C14" s="17">
        <f>0.35*E85</f>
        <v>363877932.6</v>
      </c>
      <c r="D14" s="20">
        <v>1.0</v>
      </c>
      <c r="E14" s="19">
        <v>1.0</v>
      </c>
      <c r="G14" s="16" t="s">
        <v>15</v>
      </c>
      <c r="H14" s="17">
        <f>0.35*J87</f>
        <v>406148412.6</v>
      </c>
      <c r="I14" s="20">
        <v>1.0</v>
      </c>
      <c r="J14" s="19">
        <v>1.0</v>
      </c>
    </row>
    <row r="15">
      <c r="B15" s="16" t="s">
        <v>16</v>
      </c>
      <c r="C15" s="17">
        <v>6738209.0</v>
      </c>
      <c r="D15" s="20">
        <v>1.0</v>
      </c>
      <c r="E15" s="19">
        <v>1.0</v>
      </c>
      <c r="G15" s="16" t="s">
        <v>16</v>
      </c>
      <c r="H15" s="17">
        <v>6738209.0</v>
      </c>
      <c r="I15" s="20">
        <v>1.0</v>
      </c>
      <c r="J15" s="19">
        <v>1.0</v>
      </c>
    </row>
    <row r="16">
      <c r="B16" s="16" t="s">
        <v>17</v>
      </c>
      <c r="C16" s="17">
        <f>0.02*E85</f>
        <v>20793024.72</v>
      </c>
      <c r="D16" s="20">
        <v>1.0</v>
      </c>
      <c r="E16" s="19">
        <v>1.0</v>
      </c>
      <c r="G16" s="16" t="s">
        <v>17</v>
      </c>
      <c r="H16" s="17">
        <f>0.02*J87</f>
        <v>23208480.72</v>
      </c>
      <c r="I16" s="20">
        <v>1.0</v>
      </c>
      <c r="J16" s="19">
        <v>1.0</v>
      </c>
    </row>
    <row r="17">
      <c r="B17" s="21" t="s">
        <v>18</v>
      </c>
      <c r="C17" s="22"/>
      <c r="D17" s="22"/>
      <c r="E17" s="23"/>
      <c r="G17" s="24" t="s">
        <v>18</v>
      </c>
      <c r="H17" s="22"/>
      <c r="I17" s="22"/>
      <c r="J17" s="23"/>
    </row>
    <row r="18" ht="15.0" customHeight="1">
      <c r="B18" s="16" t="s">
        <v>19</v>
      </c>
      <c r="C18" s="17">
        <v>180000.0</v>
      </c>
      <c r="D18" s="20">
        <v>5.0</v>
      </c>
      <c r="E18" s="25" t="s">
        <v>20</v>
      </c>
      <c r="G18" s="16" t="s">
        <v>21</v>
      </c>
      <c r="H18" s="17">
        <f>'Cálculo Importaciones'!D20</f>
        <v>32003181.85</v>
      </c>
      <c r="I18" s="20">
        <v>1.0</v>
      </c>
      <c r="J18" s="25" t="s">
        <v>20</v>
      </c>
    </row>
    <row r="19">
      <c r="B19" s="16" t="s">
        <v>22</v>
      </c>
      <c r="C19" s="17">
        <v>210000.0</v>
      </c>
      <c r="D19" s="20">
        <v>1.0</v>
      </c>
      <c r="E19" s="26"/>
      <c r="G19" s="16" t="s">
        <v>19</v>
      </c>
      <c r="H19" s="17">
        <v>180000.0</v>
      </c>
      <c r="I19" s="20">
        <v>5.0</v>
      </c>
      <c r="J19" s="26"/>
    </row>
    <row r="20">
      <c r="B20" s="16" t="s">
        <v>23</v>
      </c>
      <c r="C20" s="17">
        <v>461600.0</v>
      </c>
      <c r="D20" s="20">
        <v>1.0</v>
      </c>
      <c r="E20" s="26"/>
      <c r="G20" s="16" t="s">
        <v>22</v>
      </c>
      <c r="H20" s="17">
        <v>210000.0</v>
      </c>
      <c r="I20" s="20">
        <v>1.0</v>
      </c>
      <c r="J20" s="26"/>
    </row>
    <row r="21" ht="15.75" customHeight="1">
      <c r="B21" s="16" t="s">
        <v>24</v>
      </c>
      <c r="C21" s="17">
        <f>'Cálculo Importaciones'!D7</f>
        <v>3629528</v>
      </c>
      <c r="D21" s="20">
        <v>1.0</v>
      </c>
      <c r="E21" s="26"/>
      <c r="G21" s="16" t="s">
        <v>25</v>
      </c>
      <c r="H21" s="17">
        <v>7523686.0</v>
      </c>
      <c r="I21" s="20">
        <v>1.0</v>
      </c>
      <c r="J21" s="26"/>
    </row>
    <row r="22" ht="15.75" customHeight="1">
      <c r="B22" s="16" t="s">
        <v>26</v>
      </c>
      <c r="C22" s="17">
        <f>1464207+940983</f>
        <v>2405190</v>
      </c>
      <c r="D22" s="20">
        <v>1.0</v>
      </c>
      <c r="E22" s="26"/>
      <c r="G22" s="16" t="s">
        <v>27</v>
      </c>
      <c r="H22" s="17">
        <v>5.8E7</v>
      </c>
      <c r="I22" s="20">
        <v>1.0</v>
      </c>
      <c r="J22" s="26"/>
    </row>
    <row r="23" ht="15.75" customHeight="1">
      <c r="B23" s="16" t="s">
        <v>28</v>
      </c>
      <c r="C23" s="17">
        <f>'Cálculo Importaciones'!D5</f>
        <v>115031859.9</v>
      </c>
      <c r="D23" s="20">
        <v>1.0</v>
      </c>
      <c r="E23" s="26"/>
      <c r="G23" s="16" t="s">
        <v>26</v>
      </c>
      <c r="H23" s="17">
        <f>1464207+940983</f>
        <v>2405190</v>
      </c>
      <c r="I23" s="20">
        <v>1.0</v>
      </c>
      <c r="J23" s="26"/>
    </row>
    <row r="24" ht="15.75" customHeight="1">
      <c r="B24" s="16" t="s">
        <v>29</v>
      </c>
      <c r="C24" s="17">
        <v>179900.0</v>
      </c>
      <c r="D24" s="20">
        <v>1.0</v>
      </c>
      <c r="E24" s="26"/>
      <c r="G24" s="16" t="s">
        <v>24</v>
      </c>
      <c r="H24" s="17">
        <f>'Cálculo Importaciones'!D10</f>
        <v>34160272</v>
      </c>
      <c r="I24" s="20">
        <v>1.0</v>
      </c>
      <c r="J24" s="26"/>
    </row>
    <row r="25" ht="15.75" customHeight="1">
      <c r="B25" s="16" t="s">
        <v>30</v>
      </c>
      <c r="C25" s="17">
        <v>1092990.0</v>
      </c>
      <c r="D25" s="20">
        <v>1.0</v>
      </c>
      <c r="E25" s="26"/>
      <c r="G25" s="16" t="s">
        <v>28</v>
      </c>
      <c r="H25" s="17">
        <f>'Cálculo Importaciones'!D5</f>
        <v>115031859.9</v>
      </c>
      <c r="I25" s="20">
        <v>1.0</v>
      </c>
      <c r="J25" s="26"/>
    </row>
    <row r="26" ht="15.75" customHeight="1">
      <c r="B26" s="16" t="s">
        <v>31</v>
      </c>
      <c r="C26" s="17">
        <v>657900.0</v>
      </c>
      <c r="D26" s="20">
        <v>1.0</v>
      </c>
      <c r="E26" s="26"/>
      <c r="G26" s="16" t="s">
        <v>32</v>
      </c>
      <c r="H26" s="17">
        <f>'Cálculo Importaciones'!D14</f>
        <v>2579099</v>
      </c>
      <c r="I26" s="20">
        <v>1.0</v>
      </c>
      <c r="J26" s="26"/>
    </row>
    <row r="27" ht="15.75" customHeight="1">
      <c r="B27" s="16" t="s">
        <v>33</v>
      </c>
      <c r="C27" s="17">
        <f>'Cálculo Importaciones'!D17</f>
        <v>50517623.85</v>
      </c>
      <c r="D27" s="20">
        <v>1.0</v>
      </c>
      <c r="E27" s="27"/>
      <c r="G27" s="16" t="s">
        <v>34</v>
      </c>
      <c r="H27" s="17">
        <v>500000.0</v>
      </c>
      <c r="I27" s="20">
        <v>2.0</v>
      </c>
      <c r="J27" s="26"/>
    </row>
    <row r="28" ht="15.75" customHeight="1">
      <c r="B28" s="21" t="s">
        <v>35</v>
      </c>
      <c r="C28" s="22"/>
      <c r="D28" s="22"/>
      <c r="E28" s="23"/>
      <c r="G28" s="16" t="s">
        <v>27</v>
      </c>
      <c r="H28" s="17">
        <v>5.8E7</v>
      </c>
      <c r="I28" s="28">
        <v>1.0</v>
      </c>
      <c r="J28" s="26"/>
    </row>
    <row r="29" ht="15.75" customHeight="1">
      <c r="B29" s="16" t="s">
        <v>36</v>
      </c>
      <c r="C29" s="17">
        <v>29900.0</v>
      </c>
      <c r="D29" s="20">
        <v>1.0</v>
      </c>
      <c r="E29" s="19">
        <f t="shared" ref="E29:E30" si="1">D29*12*4</f>
        <v>48</v>
      </c>
      <c r="G29" s="16" t="s">
        <v>37</v>
      </c>
      <c r="H29" s="29">
        <v>8.0E7</v>
      </c>
      <c r="I29" s="20">
        <v>1.0</v>
      </c>
      <c r="J29" s="26"/>
    </row>
    <row r="30" ht="15.75" customHeight="1">
      <c r="B30" s="16" t="s">
        <v>38</v>
      </c>
      <c r="C30" s="17">
        <v>35900.0</v>
      </c>
      <c r="D30" s="20">
        <v>1.0</v>
      </c>
      <c r="E30" s="19">
        <f t="shared" si="1"/>
        <v>48</v>
      </c>
      <c r="G30" s="16" t="s">
        <v>31</v>
      </c>
      <c r="H30" s="17">
        <v>657900.0</v>
      </c>
      <c r="I30" s="20">
        <v>1.0</v>
      </c>
      <c r="J30" s="26"/>
    </row>
    <row r="31" ht="15.75" customHeight="1">
      <c r="B31" s="16" t="s">
        <v>39</v>
      </c>
      <c r="C31" s="17">
        <v>18900.0</v>
      </c>
      <c r="D31" s="20">
        <v>2.0</v>
      </c>
      <c r="E31" s="19">
        <f>D31*12*2</f>
        <v>48</v>
      </c>
      <c r="G31" s="16" t="s">
        <v>33</v>
      </c>
      <c r="H31" s="17">
        <f>'Cálculo Importaciones'!D17</f>
        <v>50517623.85</v>
      </c>
      <c r="I31" s="20">
        <v>1.0</v>
      </c>
      <c r="J31" s="27"/>
    </row>
    <row r="32" ht="15.75" customHeight="1">
      <c r="B32" s="16" t="s">
        <v>40</v>
      </c>
      <c r="C32" s="17">
        <v>159920.0</v>
      </c>
      <c r="D32" s="20">
        <v>1.0</v>
      </c>
      <c r="E32" s="19">
        <v>6.0</v>
      </c>
      <c r="G32" s="24" t="s">
        <v>35</v>
      </c>
      <c r="H32" s="22"/>
      <c r="I32" s="22"/>
      <c r="J32" s="23"/>
    </row>
    <row r="33" ht="15.75" customHeight="1">
      <c r="B33" s="16" t="s">
        <v>41</v>
      </c>
      <c r="C33" s="17">
        <v>40000.0</v>
      </c>
      <c r="D33" s="20">
        <v>2.0</v>
      </c>
      <c r="E33" s="19">
        <f>D33*20*12</f>
        <v>480</v>
      </c>
      <c r="G33" s="16" t="s">
        <v>36</v>
      </c>
      <c r="H33" s="17">
        <v>29900.0</v>
      </c>
      <c r="I33" s="20">
        <v>1.0</v>
      </c>
      <c r="J33" s="19">
        <f t="shared" ref="J33:J34" si="2">I33*12*4</f>
        <v>48</v>
      </c>
    </row>
    <row r="34" ht="15.75" customHeight="1">
      <c r="B34" s="16" t="s">
        <v>42</v>
      </c>
      <c r="C34" s="17">
        <v>13000.0</v>
      </c>
      <c r="D34" s="20">
        <v>1.0</v>
      </c>
      <c r="E34" s="19">
        <f>4*12</f>
        <v>48</v>
      </c>
      <c r="G34" s="16" t="s">
        <v>38</v>
      </c>
      <c r="H34" s="17">
        <v>35900.0</v>
      </c>
      <c r="I34" s="20">
        <v>1.0</v>
      </c>
      <c r="J34" s="19">
        <f t="shared" si="2"/>
        <v>48</v>
      </c>
    </row>
    <row r="35" ht="15.75" customHeight="1">
      <c r="B35" s="16" t="s">
        <v>43</v>
      </c>
      <c r="C35" s="30" t="s">
        <v>44</v>
      </c>
      <c r="D35" s="31"/>
      <c r="E35" s="32"/>
      <c r="G35" s="16" t="s">
        <v>39</v>
      </c>
      <c r="H35" s="17">
        <v>18900.0</v>
      </c>
      <c r="I35" s="20">
        <v>2.0</v>
      </c>
      <c r="J35" s="19">
        <f>I35*12*2</f>
        <v>48</v>
      </c>
    </row>
    <row r="36" ht="15.75" customHeight="1">
      <c r="B36" s="16" t="s">
        <v>45</v>
      </c>
      <c r="C36" s="33"/>
      <c r="D36" s="34"/>
      <c r="E36" s="35"/>
      <c r="G36" s="16" t="s">
        <v>40</v>
      </c>
      <c r="H36" s="17">
        <v>159920.0</v>
      </c>
      <c r="I36" s="20">
        <v>1.0</v>
      </c>
      <c r="J36" s="19">
        <v>6.0</v>
      </c>
    </row>
    <row r="37" ht="15.75" customHeight="1">
      <c r="B37" s="36" t="s">
        <v>46</v>
      </c>
      <c r="C37" s="22"/>
      <c r="D37" s="37"/>
      <c r="E37" s="38">
        <f>(C8*E8)+(C9*E9)+(C10*E10)+(C11*E11)+(C12*E12)+(C13*E13*D13)+(C14*E14)+(C15*E15)+(C16*E16)</f>
        <v>895311350.6</v>
      </c>
      <c r="G37" s="16" t="s">
        <v>41</v>
      </c>
      <c r="H37" s="17">
        <v>40000.0</v>
      </c>
      <c r="I37" s="20">
        <v>2.0</v>
      </c>
      <c r="J37" s="19">
        <f>I37*20*12</f>
        <v>480</v>
      </c>
    </row>
    <row r="38" ht="15.75" customHeight="1">
      <c r="B38" s="39" t="s">
        <v>18</v>
      </c>
      <c r="C38" s="22"/>
      <c r="D38" s="37"/>
      <c r="E38" s="40">
        <f>SUM(C18:C27)</f>
        <v>174366591.8</v>
      </c>
      <c r="G38" s="16" t="s">
        <v>42</v>
      </c>
      <c r="H38" s="17">
        <v>13000.0</v>
      </c>
      <c r="I38" s="20">
        <v>1.0</v>
      </c>
      <c r="J38" s="19">
        <f>4*12</f>
        <v>48</v>
      </c>
    </row>
    <row r="39" ht="15.75" customHeight="1">
      <c r="B39" s="36" t="s">
        <v>47</v>
      </c>
      <c r="C39" s="22"/>
      <c r="D39" s="37"/>
      <c r="E39" s="38">
        <f>(C29*E29)+(C30*E30)+(C31*E31)+(C32*E32)+(C33*E33)+(C34*E34)</f>
        <v>24849120</v>
      </c>
      <c r="G39" s="16" t="s">
        <v>48</v>
      </c>
      <c r="H39" s="41"/>
      <c r="I39" s="42"/>
      <c r="J39" s="43"/>
    </row>
    <row r="40" ht="15.75" customHeight="1">
      <c r="B40" s="44" t="s">
        <v>49</v>
      </c>
      <c r="C40" s="45"/>
      <c r="D40" s="46"/>
      <c r="E40" s="47">
        <f>SUM(E37:E39)</f>
        <v>1094527062</v>
      </c>
      <c r="G40" s="16" t="s">
        <v>43</v>
      </c>
      <c r="H40" s="30" t="s">
        <v>44</v>
      </c>
      <c r="I40" s="31"/>
      <c r="J40" s="32"/>
    </row>
    <row r="41" ht="15.75" customHeight="1">
      <c r="B41" s="18"/>
      <c r="C41" s="18"/>
      <c r="D41" s="18"/>
      <c r="G41" s="16" t="s">
        <v>45</v>
      </c>
      <c r="H41" s="33"/>
      <c r="I41" s="34"/>
      <c r="J41" s="35"/>
    </row>
    <row r="42" ht="15.75" customHeight="1">
      <c r="G42" s="36" t="s">
        <v>46</v>
      </c>
      <c r="H42" s="22"/>
      <c r="I42" s="37"/>
      <c r="J42" s="38">
        <f>(H8*J8)+(H9*J9)+(H10*J10)+(H11*J11)+(H12*J12)+(H13*J13*I13)+(H14*J14)+(H15*J15)+(H16*J16)</f>
        <v>849227968.3</v>
      </c>
    </row>
    <row r="43" ht="15.75" customHeight="1">
      <c r="B43" s="48" t="s">
        <v>50</v>
      </c>
      <c r="C43" s="49"/>
      <c r="D43" s="49"/>
      <c r="E43" s="50"/>
      <c r="G43" s="36" t="s">
        <v>18</v>
      </c>
      <c r="H43" s="22"/>
      <c r="I43" s="37"/>
      <c r="J43" s="38">
        <f>SUM(H18:H31)+H27</f>
        <v>442268812.6</v>
      </c>
    </row>
    <row r="44" ht="15.75" customHeight="1">
      <c r="B44" s="51"/>
      <c r="C44" s="52" t="s">
        <v>51</v>
      </c>
      <c r="D44" s="52" t="s">
        <v>52</v>
      </c>
      <c r="E44" s="53" t="s">
        <v>53</v>
      </c>
      <c r="G44" s="36" t="s">
        <v>47</v>
      </c>
      <c r="H44" s="22"/>
      <c r="I44" s="37"/>
      <c r="J44" s="38">
        <f>(H33*J33)+(H34*J34)+(H35*J35)+(H36*J36)+(H37*J37)+(H38*J38)+(H39*J39)</f>
        <v>24849120</v>
      </c>
    </row>
    <row r="45" ht="15.75" customHeight="1">
      <c r="B45" s="54" t="s">
        <v>54</v>
      </c>
      <c r="C45" s="55">
        <f>E45*D45</f>
        <v>400</v>
      </c>
      <c r="D45" s="56">
        <v>10.0</v>
      </c>
      <c r="E45" s="57">
        <v>40.0</v>
      </c>
      <c r="G45" s="44" t="s">
        <v>49</v>
      </c>
      <c r="H45" s="45"/>
      <c r="I45" s="46"/>
      <c r="J45" s="47">
        <f>SUM(J42:J44)</f>
        <v>1316345901</v>
      </c>
    </row>
    <row r="46" ht="15.75" customHeight="1">
      <c r="B46" s="58" t="s">
        <v>4</v>
      </c>
      <c r="C46" s="59" t="s">
        <v>55</v>
      </c>
      <c r="D46" s="59" t="s">
        <v>56</v>
      </c>
      <c r="E46" s="60" t="s">
        <v>57</v>
      </c>
      <c r="G46" s="5"/>
    </row>
    <row r="47" ht="15.75" customHeight="1">
      <c r="B47" s="16" t="s">
        <v>58</v>
      </c>
      <c r="C47" s="61">
        <v>78446.0</v>
      </c>
      <c r="D47" s="20">
        <f>ROUNDUP((E45*D45/2)*1,0)</f>
        <v>200</v>
      </c>
      <c r="E47" s="62">
        <f t="shared" ref="E47:E50" si="3">D47*C47</f>
        <v>15689200</v>
      </c>
      <c r="G47" s="48" t="s">
        <v>50</v>
      </c>
      <c r="H47" s="49"/>
      <c r="I47" s="49"/>
      <c r="J47" s="50"/>
    </row>
    <row r="48" ht="15.75" customHeight="1">
      <c r="B48" s="16" t="s">
        <v>59</v>
      </c>
      <c r="C48" s="63">
        <v>7400.0</v>
      </c>
      <c r="D48" s="20">
        <f>ROUNDUP(E45*D45/2*3,0)</f>
        <v>600</v>
      </c>
      <c r="E48" s="62">
        <f t="shared" si="3"/>
        <v>4440000</v>
      </c>
      <c r="G48" s="64"/>
      <c r="H48" s="65" t="s">
        <v>51</v>
      </c>
      <c r="I48" s="65" t="s">
        <v>52</v>
      </c>
      <c r="J48" s="66" t="s">
        <v>53</v>
      </c>
    </row>
    <row r="49" ht="15.75" customHeight="1">
      <c r="B49" s="16" t="s">
        <v>60</v>
      </c>
      <c r="C49" s="61">
        <v>13573.0</v>
      </c>
      <c r="D49" s="20">
        <f>ROUNDUP(E45*D45/2/24,0)</f>
        <v>9</v>
      </c>
      <c r="E49" s="62">
        <f t="shared" si="3"/>
        <v>122157</v>
      </c>
      <c r="G49" s="67" t="s">
        <v>54</v>
      </c>
      <c r="H49" s="68">
        <v>400.0</v>
      </c>
      <c r="I49" s="69">
        <v>10.0</v>
      </c>
      <c r="J49" s="70">
        <f>H49/I49</f>
        <v>40</v>
      </c>
    </row>
    <row r="50" ht="15.75" customHeight="1">
      <c r="B50" s="16" t="s">
        <v>61</v>
      </c>
      <c r="C50" s="61">
        <v>39000.0</v>
      </c>
      <c r="D50" s="20">
        <f>5*2*E45</f>
        <v>400</v>
      </c>
      <c r="E50" s="62">
        <f t="shared" si="3"/>
        <v>15600000</v>
      </c>
      <c r="G50" s="58" t="s">
        <v>4</v>
      </c>
      <c r="H50" s="59" t="s">
        <v>55</v>
      </c>
      <c r="I50" s="59" t="s">
        <v>56</v>
      </c>
      <c r="J50" s="60" t="s">
        <v>57</v>
      </c>
    </row>
    <row r="51" ht="15.75" customHeight="1">
      <c r="B51" s="36" t="s">
        <v>62</v>
      </c>
      <c r="C51" s="22"/>
      <c r="D51" s="37"/>
      <c r="E51" s="62">
        <f>SUM(E47:E50)</f>
        <v>35851357</v>
      </c>
      <c r="G51" s="16" t="s">
        <v>58</v>
      </c>
      <c r="H51" s="61">
        <v>78446.0</v>
      </c>
      <c r="I51" s="20">
        <f>ROUNDUP((J49*I49/2)*1,0)</f>
        <v>200</v>
      </c>
      <c r="J51" s="62">
        <f t="shared" ref="J51:J54" si="4">I51*H51</f>
        <v>15689200</v>
      </c>
    </row>
    <row r="52" ht="15.75" customHeight="1">
      <c r="B52" s="71" t="s">
        <v>63</v>
      </c>
      <c r="C52" s="31"/>
      <c r="D52" s="72"/>
      <c r="E52" s="73">
        <f>E51/C45</f>
        <v>89628.3925</v>
      </c>
      <c r="G52" s="16" t="s">
        <v>59</v>
      </c>
      <c r="H52" s="63">
        <v>7400.0</v>
      </c>
      <c r="I52" s="20">
        <f>ROUNDUP(J49*I49/2*3,0)</f>
        <v>600</v>
      </c>
      <c r="J52" s="62">
        <f t="shared" si="4"/>
        <v>4440000</v>
      </c>
    </row>
    <row r="53" ht="15.75" customHeight="1">
      <c r="B53" s="54" t="s">
        <v>64</v>
      </c>
      <c r="C53" s="56">
        <f>E53*D53</f>
        <v>300</v>
      </c>
      <c r="D53" s="56">
        <v>5.0</v>
      </c>
      <c r="E53" s="57">
        <v>60.0</v>
      </c>
      <c r="G53" s="16" t="s">
        <v>60</v>
      </c>
      <c r="H53" s="61">
        <v>13573.0</v>
      </c>
      <c r="I53" s="20">
        <f>ROUNDUP(J49*I49/2/24,0)</f>
        <v>9</v>
      </c>
      <c r="J53" s="62">
        <f t="shared" si="4"/>
        <v>122157</v>
      </c>
    </row>
    <row r="54" ht="15.75" customHeight="1">
      <c r="B54" s="74" t="s">
        <v>65</v>
      </c>
      <c r="C54" s="75">
        <v>22000.0</v>
      </c>
      <c r="D54" s="76">
        <f>ROUNDUP(($E$53*D53*3)/6,0)</f>
        <v>150</v>
      </c>
      <c r="E54" s="77">
        <f t="shared" ref="E54:E57" si="5">D54*C54</f>
        <v>3300000</v>
      </c>
      <c r="G54" s="16" t="s">
        <v>61</v>
      </c>
      <c r="H54" s="61">
        <v>39000.0</v>
      </c>
      <c r="I54" s="20">
        <f>5*2*J49</f>
        <v>400</v>
      </c>
      <c r="J54" s="62">
        <f t="shared" si="4"/>
        <v>15600000</v>
      </c>
    </row>
    <row r="55" ht="15.75" customHeight="1">
      <c r="B55" s="16" t="s">
        <v>66</v>
      </c>
      <c r="C55" s="63">
        <v>11282.0</v>
      </c>
      <c r="D55" s="20">
        <f>ROUNDUP(($E$53*D53*1)/6,0)</f>
        <v>50</v>
      </c>
      <c r="E55" s="38">
        <f t="shared" si="5"/>
        <v>564100</v>
      </c>
      <c r="G55" s="36" t="s">
        <v>62</v>
      </c>
      <c r="H55" s="22"/>
      <c r="I55" s="37"/>
      <c r="J55" s="62">
        <f>SUM(J51:J54)</f>
        <v>35851357</v>
      </c>
    </row>
    <row r="56" ht="15.75" customHeight="1">
      <c r="B56" s="16" t="s">
        <v>67</v>
      </c>
      <c r="C56" s="63">
        <v>283220.0</v>
      </c>
      <c r="D56" s="20">
        <f>C53/5</f>
        <v>60</v>
      </c>
      <c r="E56" s="38">
        <f t="shared" si="5"/>
        <v>16993200</v>
      </c>
      <c r="G56" s="71" t="s">
        <v>63</v>
      </c>
      <c r="H56" s="31"/>
      <c r="I56" s="72"/>
      <c r="J56" s="73">
        <f>J55/H49</f>
        <v>89628.3925</v>
      </c>
    </row>
    <row r="57" ht="15.75" customHeight="1">
      <c r="B57" s="16" t="s">
        <v>68</v>
      </c>
      <c r="C57" s="17">
        <v>11000.0</v>
      </c>
      <c r="D57" s="20">
        <f>C53*4</f>
        <v>1200</v>
      </c>
      <c r="E57" s="38">
        <f t="shared" si="5"/>
        <v>13200000</v>
      </c>
      <c r="G57" s="67" t="s">
        <v>64</v>
      </c>
      <c r="H57" s="68">
        <v>400.0</v>
      </c>
      <c r="I57" s="69">
        <v>5.0</v>
      </c>
      <c r="J57" s="70">
        <f>H57/I57</f>
        <v>80</v>
      </c>
    </row>
    <row r="58" ht="15.75" customHeight="1">
      <c r="B58" s="36" t="s">
        <v>62</v>
      </c>
      <c r="C58" s="22"/>
      <c r="D58" s="37"/>
      <c r="E58" s="38">
        <f>SUM(E54:E57)</f>
        <v>34057300</v>
      </c>
      <c r="G58" s="74" t="s">
        <v>65</v>
      </c>
      <c r="H58" s="75">
        <v>22000.0</v>
      </c>
      <c r="I58" s="76">
        <f>ROUNDUP(($E$53*I57*3)/6,0)</f>
        <v>150</v>
      </c>
      <c r="J58" s="77">
        <f t="shared" ref="J58:J61" si="6">I58*H58</f>
        <v>3300000</v>
      </c>
    </row>
    <row r="59" ht="15.75" customHeight="1">
      <c r="B59" s="71" t="s">
        <v>63</v>
      </c>
      <c r="C59" s="31"/>
      <c r="D59" s="72"/>
      <c r="E59" s="78">
        <f>E58/C53</f>
        <v>113524.3333</v>
      </c>
      <c r="G59" s="16" t="s">
        <v>66</v>
      </c>
      <c r="H59" s="63">
        <v>11282.0</v>
      </c>
      <c r="I59" s="20">
        <f>ROUNDUP(($E$53*I57*1)/6,0)</f>
        <v>50</v>
      </c>
      <c r="J59" s="38">
        <f t="shared" si="6"/>
        <v>564100</v>
      </c>
    </row>
    <row r="60" ht="15.75" customHeight="1">
      <c r="B60" s="54" t="s">
        <v>69</v>
      </c>
      <c r="C60" s="55">
        <f>E60*D60</f>
        <v>200</v>
      </c>
      <c r="D60" s="56">
        <v>5.0</v>
      </c>
      <c r="E60" s="57">
        <v>40.0</v>
      </c>
      <c r="G60" s="16" t="s">
        <v>67</v>
      </c>
      <c r="H60" s="63">
        <v>283220.0</v>
      </c>
      <c r="I60" s="20">
        <f>H57/5</f>
        <v>80</v>
      </c>
      <c r="J60" s="38">
        <f t="shared" si="6"/>
        <v>22657600</v>
      </c>
    </row>
    <row r="61" ht="15.75" customHeight="1">
      <c r="B61" s="74" t="s">
        <v>70</v>
      </c>
      <c r="C61" s="79">
        <v>57166.0</v>
      </c>
      <c r="D61" s="76">
        <f>ROUNDUP(($E$60*D60*2)/6, 0)</f>
        <v>67</v>
      </c>
      <c r="E61" s="77">
        <f t="shared" ref="E61:E67" si="7">D61*C61</f>
        <v>3830122</v>
      </c>
      <c r="G61" s="16" t="s">
        <v>68</v>
      </c>
      <c r="H61" s="17">
        <v>11000.0</v>
      </c>
      <c r="I61" s="20">
        <f>H57*4</f>
        <v>1600</v>
      </c>
      <c r="J61" s="38">
        <f t="shared" si="6"/>
        <v>17600000</v>
      </c>
    </row>
    <row r="62" ht="15.75" customHeight="1">
      <c r="B62" s="16" t="s">
        <v>71</v>
      </c>
      <c r="C62" s="17">
        <v>44272.0</v>
      </c>
      <c r="D62" s="20">
        <f>ROUNDUP(($E$60*D60*2)/6, 0)</f>
        <v>67</v>
      </c>
      <c r="E62" s="38">
        <f t="shared" si="7"/>
        <v>2966224</v>
      </c>
      <c r="G62" s="36" t="s">
        <v>62</v>
      </c>
      <c r="H62" s="22"/>
      <c r="I62" s="37"/>
      <c r="J62" s="38">
        <f>SUM(J58:J61)</f>
        <v>44121700</v>
      </c>
    </row>
    <row r="63" ht="15.75" customHeight="1">
      <c r="B63" s="16" t="s">
        <v>72</v>
      </c>
      <c r="C63" s="17">
        <v>9044.0</v>
      </c>
      <c r="D63" s="20">
        <f>ROUNDUP(($E$60*D60*2), 0)</f>
        <v>400</v>
      </c>
      <c r="E63" s="38">
        <f t="shared" si="7"/>
        <v>3617600</v>
      </c>
      <c r="G63" s="71" t="s">
        <v>63</v>
      </c>
      <c r="H63" s="31"/>
      <c r="I63" s="72"/>
      <c r="J63" s="78">
        <f>J62/H57</f>
        <v>110304.25</v>
      </c>
    </row>
    <row r="64" ht="15.75" customHeight="1">
      <c r="B64" s="16" t="s">
        <v>68</v>
      </c>
      <c r="C64" s="17">
        <v>6000.0</v>
      </c>
      <c r="D64" s="20">
        <f>ROUNDUP(($E$60*D60*4), 0)</f>
        <v>800</v>
      </c>
      <c r="E64" s="38">
        <f t="shared" si="7"/>
        <v>4800000</v>
      </c>
      <c r="G64" s="67" t="s">
        <v>69</v>
      </c>
      <c r="H64" s="68">
        <v>300.0</v>
      </c>
      <c r="I64" s="69">
        <v>5.0</v>
      </c>
      <c r="J64" s="80">
        <v>60.0</v>
      </c>
    </row>
    <row r="65" ht="15.75" customHeight="1">
      <c r="B65" s="16" t="s">
        <v>73</v>
      </c>
      <c r="C65" s="17">
        <v>44000.0</v>
      </c>
      <c r="D65" s="20">
        <f>ROUNDUP(($E$60*D60*11)/160, 0)</f>
        <v>14</v>
      </c>
      <c r="E65" s="38">
        <f t="shared" si="7"/>
        <v>616000</v>
      </c>
      <c r="G65" s="74" t="s">
        <v>70</v>
      </c>
      <c r="H65" s="79">
        <v>57166.0</v>
      </c>
      <c r="I65" s="76">
        <f>ROUNDUP(($E$60*I64*2)/6, 0)</f>
        <v>67</v>
      </c>
      <c r="J65" s="77">
        <f t="shared" ref="J65:J71" si="8">I65*H65</f>
        <v>3830122</v>
      </c>
    </row>
    <row r="66" ht="15.75" customHeight="1">
      <c r="B66" s="16" t="s">
        <v>74</v>
      </c>
      <c r="C66" s="17">
        <v>57900.0</v>
      </c>
      <c r="D66" s="20">
        <f>ROUNDUP(($E$60*D60)/20, 0)</f>
        <v>10</v>
      </c>
      <c r="E66" s="38">
        <f t="shared" si="7"/>
        <v>579000</v>
      </c>
      <c r="G66" s="16" t="s">
        <v>71</v>
      </c>
      <c r="H66" s="17">
        <v>44272.0</v>
      </c>
      <c r="I66" s="20">
        <f>ROUNDUP(($E$60*I64*2)/6, 0)</f>
        <v>67</v>
      </c>
      <c r="J66" s="38">
        <f t="shared" si="8"/>
        <v>2966224</v>
      </c>
    </row>
    <row r="67" ht="15.75" customHeight="1">
      <c r="B67" s="16" t="s">
        <v>75</v>
      </c>
      <c r="C67" s="17">
        <v>200.0</v>
      </c>
      <c r="D67" s="20">
        <f>ROUNDUP(($E$60*D60*8), 0)</f>
        <v>1600</v>
      </c>
      <c r="E67" s="38">
        <f t="shared" si="7"/>
        <v>320000</v>
      </c>
      <c r="G67" s="16" t="s">
        <v>72</v>
      </c>
      <c r="H67" s="17">
        <v>9044.0</v>
      </c>
      <c r="I67" s="20">
        <f>ROUNDUP(($E$60*I64*2), 0)</f>
        <v>400</v>
      </c>
      <c r="J67" s="38">
        <f t="shared" si="8"/>
        <v>3617600</v>
      </c>
    </row>
    <row r="68" ht="15.75" customHeight="1">
      <c r="B68" s="36" t="s">
        <v>62</v>
      </c>
      <c r="C68" s="22"/>
      <c r="D68" s="37"/>
      <c r="E68" s="38">
        <f>SUM(E61:E67)</f>
        <v>16728946</v>
      </c>
      <c r="G68" s="16" t="s">
        <v>68</v>
      </c>
      <c r="H68" s="17">
        <v>6000.0</v>
      </c>
      <c r="I68" s="20">
        <f>ROUNDUP(($E$60*I64*4), 0)</f>
        <v>800</v>
      </c>
      <c r="J68" s="38">
        <f t="shared" si="8"/>
        <v>4800000</v>
      </c>
    </row>
    <row r="69" ht="15.75" customHeight="1">
      <c r="B69" s="36" t="s">
        <v>63</v>
      </c>
      <c r="C69" s="22"/>
      <c r="D69" s="37"/>
      <c r="E69" s="38">
        <f>E68/C60</f>
        <v>83644.73</v>
      </c>
      <c r="G69" s="16" t="s">
        <v>73</v>
      </c>
      <c r="H69" s="17">
        <v>44000.0</v>
      </c>
      <c r="I69" s="20">
        <f>ROUNDUP(($E$60*I64*11)/160, 0)</f>
        <v>14</v>
      </c>
      <c r="J69" s="38">
        <f t="shared" si="8"/>
        <v>616000</v>
      </c>
    </row>
    <row r="70" ht="15.75" customHeight="1">
      <c r="B70" s="44" t="s">
        <v>76</v>
      </c>
      <c r="C70" s="45"/>
      <c r="D70" s="46"/>
      <c r="E70" s="47">
        <f>(E51*12)+(E58*12)+(E68*12)</f>
        <v>1039651236</v>
      </c>
      <c r="G70" s="16" t="s">
        <v>74</v>
      </c>
      <c r="H70" s="17">
        <v>57900.0</v>
      </c>
      <c r="I70" s="20">
        <f>ROUNDUP(($E$60*I64)/20, 0)</f>
        <v>10</v>
      </c>
      <c r="J70" s="38">
        <f t="shared" si="8"/>
        <v>579000</v>
      </c>
    </row>
    <row r="71" ht="15.75" customHeight="1">
      <c r="G71" s="16" t="s">
        <v>75</v>
      </c>
      <c r="H71" s="17">
        <v>200.0</v>
      </c>
      <c r="I71" s="20">
        <f>ROUNDUP(($E$60*I64*8), 0)</f>
        <v>1600</v>
      </c>
      <c r="J71" s="38">
        <f t="shared" si="8"/>
        <v>320000</v>
      </c>
    </row>
    <row r="72" ht="15.75" customHeight="1">
      <c r="B72" s="6" t="s">
        <v>77</v>
      </c>
      <c r="C72" s="7"/>
      <c r="D72" s="7"/>
      <c r="E72" s="8"/>
      <c r="G72" s="36" t="s">
        <v>62</v>
      </c>
      <c r="H72" s="22"/>
      <c r="I72" s="37"/>
      <c r="J72" s="38">
        <f>SUM(J65:J71)</f>
        <v>16728946</v>
      </c>
    </row>
    <row r="73" ht="15.75" customHeight="1">
      <c r="B73" s="81" t="s">
        <v>4</v>
      </c>
      <c r="C73" s="20" t="s">
        <v>5</v>
      </c>
      <c r="D73" s="20" t="s">
        <v>78</v>
      </c>
      <c r="E73" s="19" t="s">
        <v>79</v>
      </c>
      <c r="G73" s="36" t="s">
        <v>63</v>
      </c>
      <c r="H73" s="22"/>
      <c r="I73" s="37"/>
      <c r="J73" s="38">
        <f>J72/H64</f>
        <v>55763.15333</v>
      </c>
    </row>
    <row r="74" ht="15.75" customHeight="1">
      <c r="B74" s="16" t="s">
        <v>80</v>
      </c>
      <c r="C74" s="63">
        <v>2270034.0</v>
      </c>
      <c r="D74" s="82">
        <v>4.0</v>
      </c>
      <c r="E74" s="38">
        <f>D74*C74</f>
        <v>9080136</v>
      </c>
      <c r="G74" s="44" t="s">
        <v>76</v>
      </c>
      <c r="H74" s="45"/>
      <c r="I74" s="46"/>
      <c r="J74" s="47">
        <f>(J55*12)+(J62*12)+(J72*12)</f>
        <v>1160424036</v>
      </c>
    </row>
    <row r="75" ht="15.75" customHeight="1">
      <c r="B75" s="83" t="s">
        <v>81</v>
      </c>
      <c r="C75" s="84">
        <v>245472.0</v>
      </c>
      <c r="D75" s="85">
        <v>1.0</v>
      </c>
      <c r="E75" s="78">
        <f>C75</f>
        <v>245472</v>
      </c>
    </row>
    <row r="76" ht="15.75" customHeight="1">
      <c r="B76" s="44" t="s">
        <v>82</v>
      </c>
      <c r="C76" s="45"/>
      <c r="D76" s="46"/>
      <c r="E76" s="47">
        <f>SUM(E74:E75)</f>
        <v>9325608</v>
      </c>
      <c r="G76" s="86" t="s">
        <v>77</v>
      </c>
      <c r="H76" s="3"/>
      <c r="I76" s="3"/>
      <c r="J76" s="4"/>
    </row>
    <row r="77" ht="15.75" customHeight="1">
      <c r="G77" s="87" t="s">
        <v>4</v>
      </c>
      <c r="H77" s="88" t="s">
        <v>5</v>
      </c>
      <c r="I77" s="88" t="s">
        <v>78</v>
      </c>
      <c r="J77" s="89" t="s">
        <v>79</v>
      </c>
    </row>
    <row r="78" ht="15.75" customHeight="1">
      <c r="G78" s="16" t="s">
        <v>80</v>
      </c>
      <c r="H78" s="63">
        <v>2270034.0</v>
      </c>
      <c r="I78" s="82">
        <v>12.0</v>
      </c>
      <c r="J78" s="38">
        <f>I78*H78</f>
        <v>27240408</v>
      </c>
    </row>
    <row r="79" ht="15.75" customHeight="1">
      <c r="G79" s="83" t="s">
        <v>81</v>
      </c>
      <c r="H79" s="84">
        <v>245472.0</v>
      </c>
      <c r="I79" s="85">
        <v>1.0</v>
      </c>
      <c r="J79" s="78">
        <f>H79</f>
        <v>245472</v>
      </c>
    </row>
    <row r="80" ht="15.75" customHeight="1">
      <c r="B80" s="90" t="s">
        <v>83</v>
      </c>
      <c r="C80" s="7"/>
      <c r="D80" s="7"/>
      <c r="E80" s="8"/>
      <c r="G80" s="44" t="s">
        <v>82</v>
      </c>
      <c r="H80" s="45"/>
      <c r="I80" s="46"/>
      <c r="J80" s="47">
        <f>SUM(J78:J79)</f>
        <v>27485880</v>
      </c>
    </row>
    <row r="81" ht="15.75" customHeight="1">
      <c r="B81" s="81" t="s">
        <v>4</v>
      </c>
      <c r="C81" s="20" t="s">
        <v>84</v>
      </c>
      <c r="D81" s="20" t="s">
        <v>85</v>
      </c>
      <c r="E81" s="19" t="s">
        <v>86</v>
      </c>
    </row>
    <row r="82" ht="15.75" customHeight="1">
      <c r="B82" s="81" t="s">
        <v>87</v>
      </c>
      <c r="C82" s="17">
        <f>2*E52</f>
        <v>179256.785</v>
      </c>
      <c r="D82" s="20">
        <f>C45*12</f>
        <v>4800</v>
      </c>
      <c r="E82" s="91">
        <f>(C82-E52)*D82</f>
        <v>430216284</v>
      </c>
      <c r="G82" s="90" t="s">
        <v>83</v>
      </c>
      <c r="H82" s="7"/>
      <c r="I82" s="7"/>
      <c r="J82" s="8"/>
    </row>
    <row r="83" ht="15.75" customHeight="1">
      <c r="B83" s="81" t="s">
        <v>88</v>
      </c>
      <c r="C83" s="92">
        <f>2*E59</f>
        <v>227048.6667</v>
      </c>
      <c r="D83" s="20">
        <f>C53*12</f>
        <v>3600</v>
      </c>
      <c r="E83" s="91">
        <f>D83*(C83-E59)</f>
        <v>408687600</v>
      </c>
      <c r="G83" s="81" t="s">
        <v>4</v>
      </c>
      <c r="H83" s="20" t="s">
        <v>84</v>
      </c>
      <c r="I83" s="20" t="s">
        <v>85</v>
      </c>
      <c r="J83" s="19" t="s">
        <v>86</v>
      </c>
    </row>
    <row r="84" ht="15.75" customHeight="1">
      <c r="B84" s="81" t="s">
        <v>89</v>
      </c>
      <c r="C84" s="17">
        <f>2*E69</f>
        <v>167289.46</v>
      </c>
      <c r="D84" s="20">
        <f>C60*12</f>
        <v>2400</v>
      </c>
      <c r="E84" s="91">
        <f>D84*(C84-E69)</f>
        <v>200747352</v>
      </c>
      <c r="G84" s="81" t="s">
        <v>87</v>
      </c>
      <c r="H84" s="17">
        <f>2*J56</f>
        <v>179256.785</v>
      </c>
      <c r="I84" s="20">
        <f>H49*12</f>
        <v>4800</v>
      </c>
      <c r="J84" s="91">
        <f>I84*(H84-J56)</f>
        <v>430216284</v>
      </c>
    </row>
    <row r="85" ht="15.75" customHeight="1">
      <c r="B85" s="36" t="s">
        <v>90</v>
      </c>
      <c r="C85" s="22"/>
      <c r="D85" s="37"/>
      <c r="E85" s="38">
        <f>SUM(E82:E84)</f>
        <v>1039651236</v>
      </c>
      <c r="G85" s="81" t="s">
        <v>88</v>
      </c>
      <c r="H85" s="17">
        <f>2*J63</f>
        <v>220608.5</v>
      </c>
      <c r="I85" s="20">
        <f>H57*12</f>
        <v>4800</v>
      </c>
      <c r="J85" s="91">
        <f>I85*(H85-J63)</f>
        <v>529460400</v>
      </c>
    </row>
    <row r="86" ht="15.75" customHeight="1">
      <c r="B86" s="44" t="s">
        <v>83</v>
      </c>
      <c r="C86" s="45"/>
      <c r="D86" s="46"/>
      <c r="E86" s="47">
        <f>-E37-E39+E85-E76</f>
        <v>110165157.4</v>
      </c>
      <c r="G86" s="81" t="s">
        <v>89</v>
      </c>
      <c r="H86" s="17">
        <f>2*J73</f>
        <v>111526.3067</v>
      </c>
      <c r="I86" s="20">
        <f>H64*12</f>
        <v>3600</v>
      </c>
      <c r="J86" s="91">
        <f>I86*(H86-J73)</f>
        <v>200747352</v>
      </c>
    </row>
    <row r="87" ht="15.75" customHeight="1">
      <c r="G87" s="36" t="s">
        <v>90</v>
      </c>
      <c r="H87" s="22"/>
      <c r="I87" s="37"/>
      <c r="J87" s="38">
        <f>SUM(J84:J86)</f>
        <v>1160424036</v>
      </c>
    </row>
    <row r="88" ht="15.75" customHeight="1">
      <c r="B88" s="2" t="s">
        <v>91</v>
      </c>
      <c r="C88" s="3"/>
      <c r="D88" s="93"/>
      <c r="E88" s="94">
        <f>E38</f>
        <v>174366591.8</v>
      </c>
      <c r="G88" s="44" t="s">
        <v>83</v>
      </c>
      <c r="H88" s="45"/>
      <c r="I88" s="46"/>
      <c r="J88" s="47">
        <f>-J42-J44+J87-J80</f>
        <v>258861067.7</v>
      </c>
    </row>
    <row r="89" ht="15.75" customHeight="1"/>
    <row r="90" ht="15.75" customHeight="1">
      <c r="G90" s="95" t="s">
        <v>91</v>
      </c>
      <c r="H90" s="7"/>
      <c r="I90" s="96"/>
      <c r="J90" s="97">
        <f>J43</f>
        <v>442268812.6</v>
      </c>
    </row>
    <row r="91" ht="15.75" customHeight="1">
      <c r="G91" s="44" t="s">
        <v>92</v>
      </c>
      <c r="H91" s="45"/>
      <c r="I91" s="46"/>
      <c r="J91" s="47">
        <f>J90-E88</f>
        <v>267902220.9</v>
      </c>
    </row>
    <row r="92" ht="15.75" customHeight="1"/>
    <row r="93" ht="15.75" customHeight="1"/>
    <row r="94" ht="15.75" customHeight="1"/>
    <row r="95" ht="15.75" customHeight="1">
      <c r="C95" s="9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B4:E4"/>
    <mergeCell ref="G4:J4"/>
    <mergeCell ref="B6:E6"/>
    <mergeCell ref="G6:J6"/>
    <mergeCell ref="B17:E17"/>
    <mergeCell ref="G17:J17"/>
    <mergeCell ref="J18:J31"/>
    <mergeCell ref="E18:E27"/>
    <mergeCell ref="B28:E28"/>
    <mergeCell ref="C35:E36"/>
    <mergeCell ref="B37:D37"/>
    <mergeCell ref="B38:D38"/>
    <mergeCell ref="B39:D39"/>
    <mergeCell ref="B40:D40"/>
    <mergeCell ref="G55:I55"/>
    <mergeCell ref="G56:I56"/>
    <mergeCell ref="G62:I62"/>
    <mergeCell ref="G63:I63"/>
    <mergeCell ref="G32:J32"/>
    <mergeCell ref="H40:J41"/>
    <mergeCell ref="G42:I42"/>
    <mergeCell ref="G43:I43"/>
    <mergeCell ref="G44:I44"/>
    <mergeCell ref="G45:I45"/>
    <mergeCell ref="G47:J47"/>
    <mergeCell ref="B43:E43"/>
    <mergeCell ref="B51:D51"/>
    <mergeCell ref="B52:D52"/>
    <mergeCell ref="B58:D58"/>
    <mergeCell ref="B59:D59"/>
    <mergeCell ref="B68:D68"/>
    <mergeCell ref="B69:D69"/>
    <mergeCell ref="B70:D70"/>
    <mergeCell ref="B72:E72"/>
    <mergeCell ref="G72:I72"/>
    <mergeCell ref="G73:I73"/>
    <mergeCell ref="G74:I74"/>
    <mergeCell ref="B76:D76"/>
    <mergeCell ref="G76:J76"/>
    <mergeCell ref="G88:I88"/>
    <mergeCell ref="G90:I90"/>
    <mergeCell ref="G91:I91"/>
    <mergeCell ref="B80:E80"/>
    <mergeCell ref="G80:I80"/>
    <mergeCell ref="G82:J82"/>
    <mergeCell ref="B85:D85"/>
    <mergeCell ref="B86:D86"/>
    <mergeCell ref="G87:I87"/>
    <mergeCell ref="B88:D8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71"/>
    <col customWidth="1" min="3" max="3" width="22.14"/>
    <col customWidth="1" min="4" max="4" width="18.86"/>
    <col customWidth="1" min="5" max="5" width="10.71"/>
    <col customWidth="1" min="6" max="6" width="18.29"/>
    <col customWidth="1" min="7" max="7" width="12.29"/>
    <col customWidth="1" min="8" max="8" width="29.0"/>
    <col customWidth="1" min="9" max="26" width="10.71"/>
  </cols>
  <sheetData>
    <row r="2">
      <c r="B2" s="99" t="s">
        <v>93</v>
      </c>
      <c r="C2" s="3"/>
      <c r="D2" s="3"/>
      <c r="E2" s="3"/>
      <c r="F2" s="3"/>
      <c r="G2" s="3"/>
      <c r="H2" s="4"/>
    </row>
    <row r="4">
      <c r="B4" s="20"/>
      <c r="C4" s="11" t="s">
        <v>94</v>
      </c>
      <c r="D4" s="11" t="s">
        <v>95</v>
      </c>
      <c r="F4" s="11" t="s">
        <v>96</v>
      </c>
      <c r="G4" s="11"/>
      <c r="H4" s="100" t="s">
        <v>97</v>
      </c>
    </row>
    <row r="5">
      <c r="B5" s="20" t="s">
        <v>98</v>
      </c>
      <c r="C5" s="101">
        <v>4.0</v>
      </c>
      <c r="D5" s="37"/>
      <c r="F5" s="20" t="s">
        <v>99</v>
      </c>
      <c r="G5" s="102">
        <v>22442.78</v>
      </c>
    </row>
    <row r="6">
      <c r="B6" s="20" t="s">
        <v>100</v>
      </c>
      <c r="C6" s="20">
        <v>20.0</v>
      </c>
      <c r="D6" s="20">
        <v>17.0</v>
      </c>
      <c r="F6" s="20" t="s">
        <v>101</v>
      </c>
      <c r="G6" s="102">
        <v>4511.39</v>
      </c>
    </row>
    <row r="7">
      <c r="B7" s="20" t="s">
        <v>102</v>
      </c>
      <c r="C7" s="20">
        <f>C6*C5</f>
        <v>80</v>
      </c>
      <c r="D7" s="20">
        <f>D6*C5</f>
        <v>68</v>
      </c>
      <c r="F7" s="11" t="s">
        <v>103</v>
      </c>
      <c r="G7" s="11"/>
    </row>
    <row r="8">
      <c r="B8" s="20" t="s">
        <v>5</v>
      </c>
      <c r="C8" s="17">
        <f>G5+(G6*C7)+G8+(G9*C7)</f>
        <v>784945.18</v>
      </c>
      <c r="D8" s="17">
        <f>G5+(G6*D7)+G8+(G9*D7)</f>
        <v>672182.26</v>
      </c>
      <c r="F8" s="20" t="s">
        <v>99</v>
      </c>
      <c r="G8" s="102">
        <v>10749.6</v>
      </c>
    </row>
    <row r="9">
      <c r="F9" s="20" t="s">
        <v>101</v>
      </c>
      <c r="G9" s="102">
        <v>4885.52</v>
      </c>
    </row>
    <row r="11">
      <c r="B11" s="103" t="s">
        <v>104</v>
      </c>
      <c r="C11" s="3"/>
      <c r="D11" s="3"/>
      <c r="E11" s="3"/>
      <c r="F11" s="3"/>
      <c r="G11" s="3"/>
      <c r="H11" s="4"/>
    </row>
    <row r="13">
      <c r="B13" s="101" t="s">
        <v>99</v>
      </c>
      <c r="C13" s="37"/>
      <c r="D13" s="63">
        <v>3530.0</v>
      </c>
      <c r="F13" s="18" t="s">
        <v>105</v>
      </c>
    </row>
    <row r="14">
      <c r="B14" s="101" t="s">
        <v>106</v>
      </c>
      <c r="C14" s="37"/>
      <c r="D14" s="63">
        <v>1685.0</v>
      </c>
    </row>
    <row r="15">
      <c r="B15" s="101" t="s">
        <v>107</v>
      </c>
      <c r="C15" s="37"/>
      <c r="D15" s="63">
        <f>SUM(D13:D14)</f>
        <v>5215</v>
      </c>
    </row>
    <row r="17">
      <c r="B17" s="103" t="s">
        <v>108</v>
      </c>
      <c r="C17" s="3"/>
      <c r="D17" s="3"/>
      <c r="E17" s="3"/>
      <c r="F17" s="3"/>
      <c r="G17" s="3"/>
      <c r="H17" s="4"/>
    </row>
    <row r="19">
      <c r="B19" s="14" t="s">
        <v>109</v>
      </c>
      <c r="C19" s="14" t="s">
        <v>110</v>
      </c>
      <c r="D19" s="14" t="s">
        <v>111</v>
      </c>
      <c r="F19" s="14" t="s">
        <v>112</v>
      </c>
      <c r="G19" s="14" t="s">
        <v>113</v>
      </c>
    </row>
    <row r="20">
      <c r="B20" s="20" t="s">
        <v>114</v>
      </c>
      <c r="C20" s="20" t="s">
        <v>115</v>
      </c>
      <c r="D20" s="20">
        <f>157*17</f>
        <v>2669</v>
      </c>
      <c r="F20" s="101">
        <v>817.8182</v>
      </c>
      <c r="G20" s="37"/>
    </row>
    <row r="21" ht="15.75" customHeight="1">
      <c r="B21" s="20" t="s">
        <v>116</v>
      </c>
      <c r="C21" s="20">
        <v>0.96392</v>
      </c>
      <c r="D21" s="20">
        <f t="shared" ref="D21:D28" si="1">C21*8*20</f>
        <v>154.2272</v>
      </c>
    </row>
    <row r="22" ht="15.75" customHeight="1">
      <c r="B22" s="14" t="s">
        <v>117</v>
      </c>
      <c r="C22" s="20">
        <v>0.75</v>
      </c>
      <c r="D22" s="20">
        <f t="shared" si="1"/>
        <v>120</v>
      </c>
    </row>
    <row r="23" ht="15.75" customHeight="1">
      <c r="B23" s="20" t="s">
        <v>118</v>
      </c>
      <c r="C23" s="20">
        <v>2.0</v>
      </c>
      <c r="D23" s="20">
        <f t="shared" si="1"/>
        <v>320</v>
      </c>
      <c r="E23" s="1" t="s">
        <v>119</v>
      </c>
    </row>
    <row r="24" ht="15.75" customHeight="1">
      <c r="B24" s="20" t="s">
        <v>120</v>
      </c>
      <c r="C24" s="20">
        <v>7.5</v>
      </c>
      <c r="D24" s="20">
        <f t="shared" si="1"/>
        <v>1200</v>
      </c>
    </row>
    <row r="25" ht="15.75" customHeight="1">
      <c r="B25" s="14" t="s">
        <v>121</v>
      </c>
      <c r="C25" s="20">
        <v>3.0</v>
      </c>
      <c r="D25" s="20">
        <f t="shared" si="1"/>
        <v>480</v>
      </c>
    </row>
    <row r="26" ht="15.75" customHeight="1">
      <c r="B26" s="20" t="s">
        <v>122</v>
      </c>
      <c r="C26" s="20">
        <f>24/1000</f>
        <v>0.024</v>
      </c>
      <c r="D26" s="20">
        <f t="shared" si="1"/>
        <v>3.84</v>
      </c>
      <c r="E26" s="1" t="s">
        <v>123</v>
      </c>
      <c r="G26" s="1" t="s">
        <v>124</v>
      </c>
      <c r="H26" s="1" t="s">
        <v>125</v>
      </c>
    </row>
    <row r="27" ht="15.75" customHeight="1">
      <c r="B27" s="20" t="s">
        <v>126</v>
      </c>
      <c r="C27" s="20">
        <f>H27/1000</f>
        <v>4.4</v>
      </c>
      <c r="D27" s="20">
        <f t="shared" si="1"/>
        <v>704</v>
      </c>
      <c r="G27" s="1" t="s">
        <v>127</v>
      </c>
      <c r="H27" s="1">
        <f>110*40</f>
        <v>4400</v>
      </c>
    </row>
    <row r="28" ht="15.75" customHeight="1">
      <c r="B28" s="14" t="s">
        <v>128</v>
      </c>
      <c r="C28" s="20"/>
      <c r="D28" s="20">
        <f t="shared" si="1"/>
        <v>0</v>
      </c>
    </row>
    <row r="29" ht="15.75" customHeight="1">
      <c r="B29" s="14" t="s">
        <v>129</v>
      </c>
      <c r="C29" s="20">
        <v>0.2</v>
      </c>
      <c r="D29" s="20">
        <f>C29*8*5*20</f>
        <v>160</v>
      </c>
    </row>
    <row r="30" ht="15.75" customHeight="1">
      <c r="B30" s="104" t="s">
        <v>130</v>
      </c>
      <c r="C30" s="20">
        <v>18.0</v>
      </c>
      <c r="D30" s="20">
        <f>C30*8*20</f>
        <v>2880</v>
      </c>
    </row>
    <row r="31" ht="15.75" customHeight="1">
      <c r="B31" s="20" t="s">
        <v>131</v>
      </c>
      <c r="C31" s="101">
        <f>D20+D21+D23+D24+D26+D27+D30</f>
        <v>7931.0672</v>
      </c>
      <c r="D31" s="37"/>
    </row>
    <row r="32" ht="15.75" customHeight="1">
      <c r="B32" s="20" t="s">
        <v>132</v>
      </c>
      <c r="C32" s="101">
        <f>D20+D22+D23+D24+D25+D27+D28+D30+D29</f>
        <v>8533</v>
      </c>
      <c r="D32" s="37"/>
    </row>
    <row r="33" ht="15.75" customHeight="1">
      <c r="B33" s="20" t="s">
        <v>133</v>
      </c>
      <c r="C33" s="105">
        <f>C31*F20</f>
        <v>6486171.102</v>
      </c>
      <c r="D33" s="37"/>
    </row>
    <row r="34" ht="15.75" customHeight="1">
      <c r="B34" s="20" t="s">
        <v>134</v>
      </c>
      <c r="C34" s="105">
        <f>C32*F20</f>
        <v>6978442.701</v>
      </c>
      <c r="D34" s="37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7:H17"/>
    <mergeCell ref="F20:G20"/>
    <mergeCell ref="C31:D31"/>
    <mergeCell ref="C32:D32"/>
    <mergeCell ref="C33:D33"/>
    <mergeCell ref="C34:D34"/>
    <mergeCell ref="B2:H2"/>
    <mergeCell ref="C5:D5"/>
    <mergeCell ref="B11:H11"/>
    <mergeCell ref="B13:C13"/>
    <mergeCell ref="F13:H13"/>
    <mergeCell ref="B14:C14"/>
    <mergeCell ref="B15:C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9.86"/>
    <col customWidth="1" min="4" max="4" width="16.43"/>
    <col customWidth="1" min="5" max="5" width="10.71"/>
    <col customWidth="1" min="6" max="6" width="18.71"/>
    <col customWidth="1" min="7" max="7" width="15.14"/>
    <col customWidth="1" min="8" max="8" width="15.43"/>
    <col customWidth="1" min="9" max="26" width="10.71"/>
  </cols>
  <sheetData>
    <row r="4">
      <c r="C4" s="20" t="s">
        <v>135</v>
      </c>
      <c r="D4" s="63">
        <f>64050510</f>
        <v>64050510</v>
      </c>
      <c r="F4" s="82" t="s">
        <v>136</v>
      </c>
      <c r="G4" s="63">
        <v>1921515.0</v>
      </c>
    </row>
    <row r="5">
      <c r="C5" s="20" t="s">
        <v>137</v>
      </c>
      <c r="D5" s="63">
        <f>D4+$G$4+$G$5+$G$8+(D4*$G$6)+(D4*$G$7)</f>
        <v>115031859.9</v>
      </c>
      <c r="F5" s="82" t="s">
        <v>138</v>
      </c>
      <c r="G5" s="63">
        <v>1.0675085E7</v>
      </c>
      <c r="H5" s="1" t="s">
        <v>139</v>
      </c>
      <c r="I5" s="1" t="s">
        <v>140</v>
      </c>
    </row>
    <row r="6">
      <c r="C6" s="18"/>
      <c r="D6" s="106"/>
      <c r="F6" s="82" t="s">
        <v>141</v>
      </c>
      <c r="G6" s="107">
        <v>0.19</v>
      </c>
    </row>
    <row r="7">
      <c r="C7" s="20" t="s">
        <v>142</v>
      </c>
      <c r="D7" s="63">
        <v>3629528.0</v>
      </c>
      <c r="F7" s="82" t="s">
        <v>143</v>
      </c>
      <c r="G7" s="107">
        <v>0.3</v>
      </c>
    </row>
    <row r="8">
      <c r="C8" s="20" t="s">
        <v>137</v>
      </c>
      <c r="D8" s="63">
        <f>D7+$G$4+$G$5+$G$8+(D7*$G$6)+(D7*$G$7)</f>
        <v>25004596.72</v>
      </c>
      <c r="F8" s="82" t="s">
        <v>144</v>
      </c>
      <c r="G8" s="61">
        <v>7000000.0</v>
      </c>
    </row>
    <row r="9">
      <c r="C9" s="18"/>
      <c r="D9" s="106"/>
    </row>
    <row r="10">
      <c r="C10" s="20" t="s">
        <v>145</v>
      </c>
      <c r="D10" s="63">
        <v>3.4160272E7</v>
      </c>
    </row>
    <row r="11">
      <c r="C11" s="20" t="s">
        <v>137</v>
      </c>
      <c r="D11" s="63">
        <f>D10+$G$4+$G$5+$G$8+(D10*$G$6)+(D10*$G$7)</f>
        <v>70495405.28</v>
      </c>
    </row>
    <row r="12">
      <c r="D12" s="106"/>
    </row>
    <row r="13">
      <c r="C13" s="20" t="s">
        <v>122</v>
      </c>
      <c r="D13" s="17">
        <v>1503051.0</v>
      </c>
    </row>
    <row r="14">
      <c r="C14" s="20" t="s">
        <v>137</v>
      </c>
      <c r="D14" s="17">
        <f>1076048+D13</f>
        <v>2579099</v>
      </c>
    </row>
    <row r="15">
      <c r="D15" s="106"/>
    </row>
    <row r="16">
      <c r="C16" s="20" t="s">
        <v>130</v>
      </c>
      <c r="D16" s="63">
        <v>2.0752365E7</v>
      </c>
    </row>
    <row r="17">
      <c r="C17" s="20" t="s">
        <v>137</v>
      </c>
      <c r="D17" s="63">
        <f>D16+$G$4+$G$5+$G$8+(D16*$G$6)+(D16*$G$7)</f>
        <v>50517623.85</v>
      </c>
    </row>
    <row r="19">
      <c r="C19" s="102" t="s">
        <v>21</v>
      </c>
      <c r="D19" s="61">
        <f>5*1665313</f>
        <v>8326565</v>
      </c>
    </row>
    <row r="20">
      <c r="C20" s="20" t="s">
        <v>137</v>
      </c>
      <c r="D20" s="63">
        <f>D19+$G$4+$G$5+$G$8+(D19*$G$6)+(D19*$G$7)</f>
        <v>32003181.85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8" t="s">
        <v>146</v>
      </c>
      <c r="B1" s="37"/>
      <c r="D1" s="108" t="s">
        <v>147</v>
      </c>
      <c r="E1" s="37"/>
    </row>
    <row r="2">
      <c r="A2" s="109" t="s">
        <v>148</v>
      </c>
      <c r="B2" s="109" t="s">
        <v>149</v>
      </c>
      <c r="D2" s="109" t="s">
        <v>148</v>
      </c>
      <c r="E2" s="109" t="s">
        <v>149</v>
      </c>
    </row>
    <row r="3">
      <c r="A3" s="109">
        <v>0.0</v>
      </c>
      <c r="B3" s="110">
        <f>-'Balance General'!E88</f>
        <v>-174366591.8</v>
      </c>
      <c r="D3" s="109">
        <v>0.0</v>
      </c>
      <c r="E3" s="110">
        <f>-'Balance General'!J90</f>
        <v>-442268812.6</v>
      </c>
    </row>
    <row r="4">
      <c r="A4" s="109">
        <v>1.0</v>
      </c>
      <c r="B4" s="110">
        <f>'Balance General'!E86</f>
        <v>110165157.4</v>
      </c>
      <c r="D4" s="109">
        <v>1.0</v>
      </c>
      <c r="E4" s="110">
        <f>'Balance General'!J88</f>
        <v>258861067.7</v>
      </c>
    </row>
    <row r="5">
      <c r="A5" s="109">
        <v>2.0</v>
      </c>
      <c r="B5" s="110">
        <f t="shared" ref="B5:B8" si="1">B4</f>
        <v>110165157.4</v>
      </c>
      <c r="D5" s="109">
        <v>2.0</v>
      </c>
      <c r="E5" s="110">
        <f t="shared" ref="E5:E8" si="2">E4</f>
        <v>258861067.7</v>
      </c>
    </row>
    <row r="6">
      <c r="A6" s="109">
        <v>3.0</v>
      </c>
      <c r="B6" s="110">
        <f t="shared" si="1"/>
        <v>110165157.4</v>
      </c>
      <c r="D6" s="109">
        <v>3.0</v>
      </c>
      <c r="E6" s="110">
        <f t="shared" si="2"/>
        <v>258861067.7</v>
      </c>
    </row>
    <row r="7">
      <c r="A7" s="109">
        <v>4.0</v>
      </c>
      <c r="B7" s="110">
        <f t="shared" si="1"/>
        <v>110165157.4</v>
      </c>
      <c r="D7" s="109">
        <v>4.0</v>
      </c>
      <c r="E7" s="110">
        <f t="shared" si="2"/>
        <v>258861067.7</v>
      </c>
    </row>
    <row r="8">
      <c r="A8" s="109">
        <v>5.0</v>
      </c>
      <c r="B8" s="110">
        <f t="shared" si="1"/>
        <v>110165157.4</v>
      </c>
      <c r="D8" s="109">
        <v>5.0</v>
      </c>
      <c r="E8" s="110">
        <f t="shared" si="2"/>
        <v>258861067.7</v>
      </c>
    </row>
    <row r="10">
      <c r="A10" s="111" t="s">
        <v>150</v>
      </c>
      <c r="B10" s="112">
        <f>IRR(B3:B8)</f>
        <v>0.5643664978</v>
      </c>
      <c r="C10" s="113"/>
      <c r="D10" s="111" t="s">
        <v>150</v>
      </c>
      <c r="E10" s="112">
        <f>IRR(E3:E8)</f>
        <v>0.5109876727</v>
      </c>
    </row>
  </sheetData>
  <mergeCells count="2">
    <mergeCell ref="A1:B1"/>
    <mergeCell ref="D1:E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2023-10-15T18:19:08Z</dcterms:created>
  <dc:creator>Camilo Martin Moreno</dc:creator>
</cp:coreProperties>
</file>