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arishkumar.b.r\Desktop\Mine\"/>
    </mc:Choice>
  </mc:AlternateContent>
  <xr:revisionPtr revIDLastSave="0" documentId="13_ncr:1000001_{21A6C445-D52A-DE4B-A414-537F3CC7544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ily Pivot" sheetId="5" r:id="rId1"/>
    <sheet name="RAW" sheetId="8" r:id="rId2"/>
    <sheet name="Daily Expenditure" sheetId="1" r:id="rId3"/>
    <sheet name="House" sheetId="10" r:id="rId4"/>
    <sheet name="HouseGraph" sheetId="16" r:id="rId5"/>
    <sheet name="Car Loan" sheetId="11" r:id="rId6"/>
    <sheet name="Home Loan" sheetId="17" r:id="rId7"/>
    <sheet name="Temple Collection " sheetId="2" r:id="rId8"/>
    <sheet name="Deviramma Banavara" sheetId="3" r:id="rId9"/>
    <sheet name="Ganapati" sheetId="9" r:id="rId10"/>
    <sheet name="Drone" sheetId="12" r:id="rId11"/>
  </sheets>
  <definedNames>
    <definedName name="_xlnm._FilterDatabase" localSheetId="2" hidden="1">'Daily Expenditure'!$A$1:$I$100</definedName>
    <definedName name="_xlnm._FilterDatabase" localSheetId="3" hidden="1">House!$A$1:$I$64</definedName>
    <definedName name="_xlnm._FilterDatabase" localSheetId="7" hidden="1">'Temple Collection '!$B$48:$D$50</definedName>
  </definedNames>
  <calcPr calcId="191028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0" l="1"/>
  <c r="C4" i="17"/>
  <c r="V8" i="1"/>
  <c r="L3" i="10"/>
  <c r="J6" i="11"/>
  <c r="J14" i="11"/>
  <c r="V5" i="1"/>
  <c r="D67" i="10"/>
  <c r="C67" i="10"/>
  <c r="E3" i="17"/>
  <c r="D3" i="17"/>
  <c r="C3" i="17"/>
  <c r="I37" i="10"/>
  <c r="C66" i="10"/>
  <c r="D66" i="10"/>
  <c r="D65" i="10"/>
  <c r="C64" i="10"/>
  <c r="C63" i="10"/>
  <c r="C65" i="10"/>
  <c r="C38" i="10"/>
  <c r="D38" i="10"/>
  <c r="E30" i="11"/>
  <c r="E29" i="11"/>
  <c r="E28" i="11"/>
  <c r="E27" i="11"/>
  <c r="E26" i="11"/>
  <c r="D64" i="10"/>
  <c r="D63" i="10"/>
  <c r="D62" i="10"/>
  <c r="I58" i="10"/>
  <c r="I61" i="10"/>
  <c r="Q17" i="1"/>
  <c r="R17" i="1"/>
  <c r="S17" i="1"/>
  <c r="Q9" i="1"/>
  <c r="R9" i="1"/>
  <c r="S9" i="1"/>
  <c r="Q6" i="1"/>
  <c r="R6" i="1"/>
  <c r="S6" i="1"/>
  <c r="Q2" i="1"/>
  <c r="R2" i="1"/>
  <c r="S2" i="1"/>
  <c r="Q3" i="1"/>
  <c r="R3" i="1"/>
  <c r="S3" i="1"/>
  <c r="V17" i="1"/>
  <c r="V4" i="1"/>
  <c r="F1" i="11"/>
  <c r="V2" i="1"/>
  <c r="V9" i="1"/>
  <c r="E25" i="11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Q20" i="1"/>
  <c r="R20" i="1"/>
  <c r="S20" i="1"/>
  <c r="Q12" i="1"/>
  <c r="R12" i="1"/>
  <c r="S12" i="1"/>
  <c r="D27" i="12"/>
  <c r="C19" i="12"/>
  <c r="Q19" i="1"/>
  <c r="R19" i="1"/>
  <c r="S19" i="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A57" i="11"/>
  <c r="A58" i="11"/>
  <c r="A59" i="11"/>
  <c r="A60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D24" i="11"/>
  <c r="C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H47" i="9"/>
  <c r="H48" i="9"/>
  <c r="H49" i="9"/>
  <c r="H50" i="9"/>
  <c r="H51" i="9"/>
  <c r="H52" i="9"/>
  <c r="H53" i="9"/>
  <c r="H55" i="9"/>
  <c r="C55" i="9"/>
  <c r="C57" i="9"/>
  <c r="D66" i="9"/>
  <c r="D68" i="9"/>
  <c r="D80" i="9"/>
  <c r="D82" i="9"/>
  <c r="D95" i="9"/>
  <c r="D97" i="9"/>
  <c r="D103" i="9"/>
  <c r="D105" i="9"/>
  <c r="D111" i="9"/>
  <c r="D113" i="9"/>
  <c r="D120" i="9"/>
  <c r="D122" i="9"/>
  <c r="D134" i="9"/>
  <c r="D136" i="9"/>
  <c r="D157" i="9"/>
  <c r="D159" i="9"/>
  <c r="D168" i="9"/>
  <c r="D170" i="9"/>
  <c r="D176" i="9"/>
  <c r="D178" i="9"/>
  <c r="D184" i="9"/>
  <c r="D186" i="9"/>
  <c r="G189" i="9"/>
  <c r="H189" i="9"/>
  <c r="I189" i="9"/>
  <c r="G190" i="9"/>
  <c r="H190" i="9"/>
  <c r="I190" i="9"/>
  <c r="G191" i="9"/>
  <c r="H191" i="9"/>
  <c r="I191" i="9"/>
  <c r="G6" i="9"/>
  <c r="G10" i="9"/>
  <c r="G12" i="9"/>
  <c r="G13" i="9"/>
  <c r="G14" i="9"/>
  <c r="G7" i="9"/>
  <c r="G8" i="9"/>
  <c r="G9" i="9"/>
  <c r="G11" i="9"/>
  <c r="L34" i="1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Q18" i="1"/>
  <c r="R18" i="1"/>
  <c r="S18" i="1"/>
  <c r="Q4" i="1"/>
  <c r="R4" i="1"/>
  <c r="S4" i="1"/>
  <c r="Q5" i="1"/>
  <c r="R5" i="1"/>
  <c r="S5" i="1"/>
  <c r="T5" i="1"/>
  <c r="Q7" i="1"/>
  <c r="R7" i="1"/>
  <c r="S7" i="1"/>
  <c r="Q8" i="1"/>
  <c r="R8" i="1"/>
  <c r="S8" i="1"/>
  <c r="Q10" i="1"/>
  <c r="R10" i="1"/>
  <c r="S10" i="1"/>
  <c r="T10" i="1"/>
  <c r="Q11" i="1"/>
  <c r="R11" i="1"/>
  <c r="S11" i="1"/>
  <c r="Q13" i="1"/>
  <c r="R13" i="1"/>
  <c r="S13" i="1"/>
  <c r="T13" i="1"/>
  <c r="Q14" i="1"/>
  <c r="R14" i="1"/>
  <c r="S14" i="1"/>
  <c r="Q15" i="1"/>
  <c r="R15" i="1"/>
  <c r="S15" i="1"/>
  <c r="Q16" i="1"/>
  <c r="R16" i="1"/>
  <c r="S16" i="1"/>
  <c r="U16" i="1"/>
  <c r="X16" i="1"/>
  <c r="L35" i="1"/>
  <c r="L3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P28" i="1"/>
  <c r="D69" i="1"/>
  <c r="C69" i="1"/>
  <c r="D68" i="1"/>
  <c r="C68" i="1"/>
  <c r="D67" i="1"/>
  <c r="C67" i="1"/>
  <c r="D66" i="1"/>
  <c r="C66" i="1"/>
  <c r="C63" i="1"/>
  <c r="D63" i="1"/>
  <c r="C64" i="1"/>
  <c r="D64" i="1"/>
  <c r="C65" i="1"/>
  <c r="D65" i="1"/>
  <c r="C292" i="2"/>
  <c r="C276" i="2"/>
  <c r="C62" i="1"/>
  <c r="D62" i="1"/>
  <c r="D61" i="1"/>
  <c r="C61" i="1"/>
  <c r="D60" i="1"/>
  <c r="C60" i="1"/>
  <c r="C261" i="2"/>
  <c r="C247" i="2"/>
  <c r="C221" i="2"/>
  <c r="C230" i="2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C43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C199" i="2"/>
  <c r="A2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G16" i="9"/>
  <c r="H16" i="9"/>
  <c r="H6" i="9"/>
  <c r="H7" i="9"/>
  <c r="H8" i="9"/>
  <c r="H9" i="9"/>
  <c r="H10" i="9"/>
  <c r="H11" i="9"/>
  <c r="H12" i="9"/>
  <c r="H13" i="9"/>
  <c r="H14" i="9"/>
  <c r="F12" i="5"/>
  <c r="B15" i="5"/>
  <c r="G12" i="5"/>
  <c r="I12" i="5"/>
  <c r="C12" i="5"/>
  <c r="E12" i="5"/>
  <c r="B12" i="5"/>
  <c r="D12" i="5"/>
  <c r="H12" i="5"/>
  <c r="L6" i="10"/>
  <c r="U14" i="1"/>
  <c r="X14" i="1"/>
  <c r="T14" i="1"/>
  <c r="U18" i="1"/>
  <c r="X18" i="1"/>
  <c r="T18" i="1"/>
  <c r="J191" i="9"/>
  <c r="K191" i="9"/>
  <c r="L191" i="9"/>
  <c r="U19" i="1"/>
  <c r="X19" i="1"/>
  <c r="T19" i="1"/>
  <c r="U2" i="1"/>
  <c r="X2" i="1"/>
  <c r="T2" i="1"/>
  <c r="T3" i="1"/>
  <c r="U3" i="1"/>
  <c r="X3" i="1"/>
  <c r="T8" i="1"/>
  <c r="U8" i="1"/>
  <c r="X8" i="1"/>
  <c r="T6" i="1"/>
  <c r="U6" i="1"/>
  <c r="X6" i="1"/>
  <c r="T7" i="1"/>
  <c r="U7" i="1"/>
  <c r="X7" i="1"/>
  <c r="J190" i="9"/>
  <c r="K190" i="9"/>
  <c r="L190" i="9"/>
  <c r="U9" i="1"/>
  <c r="X9" i="1"/>
  <c r="T9" i="1"/>
  <c r="T15" i="1"/>
  <c r="U15" i="1"/>
  <c r="X15" i="1"/>
  <c r="T11" i="1"/>
  <c r="U11" i="1"/>
  <c r="X11" i="1"/>
  <c r="J189" i="9"/>
  <c r="K189" i="9"/>
  <c r="L189" i="9"/>
  <c r="T12" i="1"/>
  <c r="U12" i="1"/>
  <c r="X12" i="1"/>
  <c r="T17" i="1"/>
  <c r="U17" i="1"/>
  <c r="X17" i="1"/>
  <c r="T20" i="1"/>
  <c r="U20" i="1"/>
  <c r="X20" i="1"/>
  <c r="T4" i="1"/>
  <c r="U4" i="1"/>
  <c r="X4" i="1"/>
  <c r="U10" i="1"/>
  <c r="X10" i="1"/>
  <c r="U5" i="1"/>
  <c r="X5" i="1"/>
  <c r="U13" i="1"/>
  <c r="X13" i="1"/>
  <c r="T16" i="1"/>
  <c r="J195" i="9"/>
  <c r="P27" i="1"/>
  <c r="P30" i="1"/>
</calcChain>
</file>

<file path=xl/sharedStrings.xml><?xml version="1.0" encoding="utf-8"?>
<sst xmlns="http://schemas.openxmlformats.org/spreadsheetml/2006/main" count="1438" uniqueCount="430">
  <si>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</si>
  <si>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</si>
  <si>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</si>
  <si>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</si>
  <si>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</si>
  <si>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</si>
  <si>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</si>
  <si>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</si>
  <si>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</si>
  <si>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</si>
  <si>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</si>
  <si>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</si>
  <si>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</si>
  <si>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</si>
  <si>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</si>
  <si>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</si>
  <si>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</si>
  <si>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</si>
  <si>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</si>
  <si>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</si>
  <si>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</si>
  <si>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</si>
  <si>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</si>
  <si>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</si>
  <si>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</si>
  <si>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</si>
  <si>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</si>
  <si>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</si>
  <si>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</si>
  <si>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</si>
  <si>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</si>
  <si>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</si>
  <si>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</si>
  <si>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</si>
  <si>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</si>
  <si>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</si>
  <si>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</si>
  <si>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</si>
  <si>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</si>
  <si>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</si>
  <si>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</si>
  <si>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</si>
  <si>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</si>
  <si>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</si>
  <si>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</si>
  <si>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</si>
  <si>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</si>
  <si>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</si>
  <si>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</si>
  <si>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</si>
  <si>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</si>
  <si>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</si>
  <si>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</si>
  <si>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</si>
  <si>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</si>
  <si>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</si>
  <si>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</si>
  <si>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</si>
  <si>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</si>
  <si>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</si>
  <si>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</si>
  <si>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</si>
  <si>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</si>
  <si>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</si>
  <si>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</si>
  <si>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</si>
  <si>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</si>
  <si>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</si>
  <si>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</si>
  <si>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</si>
  <si>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</si>
  <si>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</si>
  <si>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</si>
  <si>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</si>
  <si>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</si>
  <si>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</si>
  <si>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</si>
  <si>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</si>
  <si>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</si>
  <si>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</si>
  <si>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</si>
  <si>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</si>
  <si>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</si>
  <si>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</si>
  <si>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</si>
  <si>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</si>
  <si>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</si>
  <si>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</si>
  <si>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</si>
  <si>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</si>
  <si>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</si>
  <si>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</si>
  <si>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</si>
  <si>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</si>
  <si>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</si>
  <si>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</si>
  <si>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</si>
  <si>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</si>
  <si>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</si>
  <si>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</si>
  <si>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</si>
  <si>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</si>
  <si>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</si>
  <si>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</si>
  <si>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</si>
  <si>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</si>
  <si>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</si>
  <si>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</si>
  <si>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</si>
  <si>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</si>
  <si>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</si>
  <si>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</si>
  <si>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</si>
  <si>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</si>
  <si>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</si>
  <si>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</si>
  <si>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</si>
  <si>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</si>
  <si>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</si>
  <si>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</si>
  <si>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</si>
  <si>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</si>
  <si>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</si>
  <si>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</si>
  <si>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</si>
  <si>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</si>
  <si>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</si>
  <si>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</si>
  <si>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</si>
  <si>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</si>
  <si>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</si>
  <si>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</si>
  <si>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</si>
  <si>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</si>
  <si>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</si>
  <si>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</si>
  <si>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</si>
  <si>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</si>
  <si>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</si>
  <si>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</si>
  <si>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</si>
  <si>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</si>
  <si>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</si>
  <si>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</si>
  <si>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</si>
  <si>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</si>
  <si>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</si>
  <si>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</si>
  <si>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</si>
  <si>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</si>
  <si>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</si>
  <si>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</si>
  <si>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</si>
  <si>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</si>
  <si>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</si>
  <si>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</si>
  <si>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</si>
  <si>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</si>
  <si>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</si>
  <si>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</si>
  <si>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</si>
  <si>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</si>
  <si>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</si>
  <si>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</si>
  <si>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</si>
  <si>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</si>
  <si>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</si>
  <si>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</si>
  <si>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</si>
  <si>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</si>
  <si>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</si>
  <si>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</si>
  <si>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</si>
  <si>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</si>
  <si>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</si>
  <si>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</si>
  <si>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</si>
  <si>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</si>
  <si>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</si>
  <si>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</si>
  <si>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</si>
  <si>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</si>
  <si>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</si>
  <si>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</si>
  <si>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</si>
  <si>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</si>
  <si>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</si>
  <si>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</si>
  <si>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</si>
  <si>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</si>
  <si>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</si>
  <si>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</si>
  <si>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</si>
  <si>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</si>
  <si>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</si>
  <si>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</si>
  <si>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</si>
  <si>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</si>
  <si>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</si>
  <si>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</si>
  <si>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</si>
  <si>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</si>
  <si>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</si>
  <si>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</si>
  <si>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</si>
  <si>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</si>
  <si>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</si>
  <si>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</si>
  <si>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</si>
  <si>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</si>
  <si>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</si>
  <si>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</si>
  <si>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</si>
  <si>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</si>
  <si>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</si>
  <si>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</si>
  <si>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</si>
  <si>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</si>
  <si>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</si>
  <si>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</si>
  <si>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</si>
  <si>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</si>
  <si>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</si>
  <si>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</si>
  <si>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</si>
  <si>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</si>
  <si>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>yashwanth</t>
  </si>
  <si>
    <t>9 Members</t>
  </si>
  <si>
    <t xml:space="preserve">chart </t>
  </si>
  <si>
    <t>TechM settled up</t>
  </si>
  <si>
    <t xml:space="preserve">Amount </t>
  </si>
  <si>
    <t>Transaction</t>
  </si>
  <si>
    <t>July Salary</t>
  </si>
  <si>
    <t xml:space="preserve">Ganapati Advance </t>
  </si>
  <si>
    <t xml:space="preserve">Phonepe </t>
  </si>
  <si>
    <t xml:space="preserve">Ganapati </t>
  </si>
  <si>
    <t>Decoration</t>
  </si>
  <si>
    <t>Estimate Amount</t>
  </si>
  <si>
    <t>Income - Expense</t>
  </si>
  <si>
    <t xml:space="preserve">ChanduBirthday </t>
  </si>
  <si>
    <t>DharmeGowda B S</t>
  </si>
  <si>
    <t>Udde Gowda</t>
  </si>
  <si>
    <t>Sunil</t>
  </si>
  <si>
    <t>Chiru Birthday</t>
  </si>
  <si>
    <t>Theertha</t>
  </si>
  <si>
    <t>Rahul</t>
  </si>
  <si>
    <t>Shiv Kumar B R</t>
  </si>
  <si>
    <t>Jagadish B R</t>
  </si>
  <si>
    <t>Ganpati Collection</t>
  </si>
  <si>
    <t>ಕೊ.Manje Gowda B S</t>
  </si>
  <si>
    <t>DharmeGowda B M</t>
  </si>
  <si>
    <t>RameGowda Mestru</t>
  </si>
  <si>
    <t>Prakash B R</t>
  </si>
  <si>
    <t>Minchu Mayura</t>
  </si>
  <si>
    <t>Samrud</t>
  </si>
  <si>
    <t>Deve Gowda</t>
  </si>
  <si>
    <t>Sharvan B S</t>
  </si>
  <si>
    <t>Puttannaakka Ajji</t>
  </si>
  <si>
    <t>Prasanna B R</t>
  </si>
  <si>
    <t>Xerox</t>
  </si>
  <si>
    <t>Tarpaulin</t>
  </si>
  <si>
    <t>Ahuja Speaker</t>
  </si>
  <si>
    <t>Lightings</t>
  </si>
  <si>
    <t xml:space="preserve">Sudharshan </t>
  </si>
  <si>
    <t xml:space="preserve">Nanjesh </t>
  </si>
  <si>
    <t>Ashok</t>
  </si>
  <si>
    <t>Viledelle</t>
  </si>
  <si>
    <t>Raghu B D</t>
  </si>
  <si>
    <t>Dankshine</t>
  </si>
  <si>
    <t>Mic</t>
  </si>
  <si>
    <t>Items - Flowers</t>
  </si>
  <si>
    <t>ParvatheGowda</t>
  </si>
  <si>
    <t>Day 1</t>
  </si>
  <si>
    <t>Day 2</t>
  </si>
  <si>
    <t>Day 3</t>
  </si>
  <si>
    <t>Pendrive</t>
  </si>
  <si>
    <t>ManjeGowda</t>
  </si>
  <si>
    <t>Day 4</t>
  </si>
  <si>
    <t xml:space="preserve">Fruits items </t>
  </si>
  <si>
    <t>Day 5</t>
  </si>
  <si>
    <t xml:space="preserve">Seeds 2kg </t>
  </si>
  <si>
    <t>Day 6</t>
  </si>
  <si>
    <t>Kesari bath</t>
  </si>
  <si>
    <t>Plates</t>
  </si>
  <si>
    <t>Daily Expenses</t>
  </si>
  <si>
    <t>Temple Money</t>
  </si>
  <si>
    <t>(Multiple Items)</t>
  </si>
  <si>
    <t>Pravith P Gowda</t>
  </si>
  <si>
    <t>ಚಿ Sundresh B P</t>
  </si>
  <si>
    <t>Day 7</t>
  </si>
  <si>
    <t>Day 8</t>
  </si>
  <si>
    <t>Day 10</t>
  </si>
  <si>
    <t>August Salary</t>
  </si>
  <si>
    <t>Plates and Glasses</t>
  </si>
  <si>
    <t>Aux Cables</t>
  </si>
  <si>
    <t>Decoration &amp; Crackers</t>
  </si>
  <si>
    <t>Balloon</t>
  </si>
  <si>
    <t xml:space="preserve">Onion </t>
  </si>
  <si>
    <t>Darshine</t>
  </si>
  <si>
    <t>Drashine</t>
  </si>
  <si>
    <t>Rupees</t>
  </si>
  <si>
    <t>Count</t>
  </si>
  <si>
    <t>Yashodamma</t>
  </si>
  <si>
    <t>Girish</t>
  </si>
  <si>
    <t>Putswami Gowda Huluvali</t>
  </si>
  <si>
    <t>Pradvin Gowda</t>
  </si>
  <si>
    <t>Nimith B M</t>
  </si>
  <si>
    <t xml:space="preserve">Chandrakka </t>
  </si>
  <si>
    <t>JCB</t>
  </si>
  <si>
    <t>Sommanna</t>
  </si>
  <si>
    <t xml:space="preserve">Flowers </t>
  </si>
  <si>
    <t xml:space="preserve">Coconut </t>
  </si>
  <si>
    <t>Bannana</t>
  </si>
  <si>
    <t xml:space="preserve">Vegetables </t>
  </si>
  <si>
    <t>Bele</t>
  </si>
  <si>
    <t>Cova</t>
  </si>
  <si>
    <t>Milk</t>
  </si>
  <si>
    <t xml:space="preserve">Chilly </t>
  </si>
  <si>
    <t xml:space="preserve">Cable </t>
  </si>
  <si>
    <t>Poojari</t>
  </si>
  <si>
    <t>Mahesh MuddeGowda</t>
  </si>
  <si>
    <t xml:space="preserve">Police </t>
  </si>
  <si>
    <t>Jelebi</t>
  </si>
  <si>
    <t>Petrol Genarator</t>
  </si>
  <si>
    <t>Gas</t>
  </si>
  <si>
    <t xml:space="preserve">Crackers Petrol </t>
  </si>
  <si>
    <t>Breakfast</t>
  </si>
  <si>
    <t>Poojari Pooje</t>
  </si>
  <si>
    <t>Balance Left after interest</t>
  </si>
  <si>
    <t>Silvara</t>
  </si>
  <si>
    <t>Site Planning</t>
  </si>
  <si>
    <t>September Salary</t>
  </si>
  <si>
    <t>Pooje</t>
  </si>
  <si>
    <t>uta</t>
  </si>
  <si>
    <t>Suntad Pati</t>
  </si>
  <si>
    <t xml:space="preserve">Bele Parihaara </t>
  </si>
  <si>
    <t>BoreWell</t>
  </si>
  <si>
    <t>October Salary</t>
  </si>
  <si>
    <t>Planting</t>
  </si>
  <si>
    <t xml:space="preserve">SL No </t>
  </si>
  <si>
    <t>Advance</t>
  </si>
  <si>
    <t xml:space="preserve">Total amount Paid </t>
  </si>
  <si>
    <t>Amount Paid</t>
  </si>
  <si>
    <t>Bank</t>
  </si>
  <si>
    <t>Car</t>
  </si>
  <si>
    <t>01/14/2021</t>
  </si>
  <si>
    <t>Today</t>
  </si>
  <si>
    <t>Mine</t>
  </si>
  <si>
    <t>Lakshmana</t>
  </si>
  <si>
    <t>Site paper xerox</t>
  </si>
  <si>
    <t>Bale Parihaara</t>
  </si>
  <si>
    <t>Coffee Bill 10</t>
  </si>
  <si>
    <t>Appa</t>
  </si>
  <si>
    <t xml:space="preserve">Site Planning Engineer </t>
  </si>
  <si>
    <t>Aruna</t>
  </si>
  <si>
    <t>Parvathe Gowda</t>
  </si>
  <si>
    <t>HovveGowda</t>
  </si>
  <si>
    <t>Chandan</t>
  </si>
  <si>
    <t>Chethan</t>
  </si>
  <si>
    <t>Crackers  Amount</t>
  </si>
  <si>
    <t xml:space="preserve">Crackers  Amount Received </t>
  </si>
  <si>
    <t>Total Amount Drone</t>
  </si>
  <si>
    <t>Remaining Amount</t>
  </si>
  <si>
    <t xml:space="preserve">Total Drone amount </t>
  </si>
  <si>
    <t>(5500-2280)/15</t>
  </si>
  <si>
    <t>Drone Amount per head</t>
  </si>
  <si>
    <t>Door</t>
  </si>
  <si>
    <t xml:space="preserve">Pillar </t>
  </si>
  <si>
    <t>G Lakshmana Advance</t>
  </si>
  <si>
    <t>Motor Items</t>
  </si>
  <si>
    <t xml:space="preserve">Mains Wire </t>
  </si>
  <si>
    <t>Bore Worker</t>
  </si>
  <si>
    <t>Pillar Iron</t>
  </si>
  <si>
    <t>Others items</t>
  </si>
  <si>
    <t>60 cement</t>
  </si>
  <si>
    <t>Others Loan</t>
  </si>
  <si>
    <t>10 Cement</t>
  </si>
  <si>
    <t>toilet point</t>
  </si>
  <si>
    <t>Weekly Building Materials</t>
  </si>
  <si>
    <t xml:space="preserve">20 Cement </t>
  </si>
  <si>
    <t>Loan</t>
  </si>
  <si>
    <t>KaleGowda</t>
  </si>
  <si>
    <t xml:space="preserve">Iron </t>
  </si>
  <si>
    <t>Cement 40</t>
  </si>
  <si>
    <t>Cement 2</t>
  </si>
  <si>
    <t>Gravels</t>
  </si>
  <si>
    <t>Water Tank</t>
  </si>
  <si>
    <t>Settled</t>
  </si>
  <si>
    <t>Cement 50</t>
  </si>
  <si>
    <t>Bricks long</t>
  </si>
  <si>
    <t>extra</t>
  </si>
  <si>
    <t>Bricks</t>
  </si>
  <si>
    <t>Jan</t>
  </si>
  <si>
    <t>Updates</t>
  </si>
  <si>
    <t xml:space="preserve">Sum of Amount </t>
  </si>
  <si>
    <t>Thinks</t>
  </si>
  <si>
    <t>Foundation</t>
  </si>
  <si>
    <t>Planning</t>
  </si>
  <si>
    <t>Bore</t>
  </si>
  <si>
    <t>Toilet</t>
  </si>
  <si>
    <t>Iron</t>
  </si>
  <si>
    <t>Cement</t>
  </si>
  <si>
    <t>Building Materials</t>
  </si>
  <si>
    <t>Workers</t>
  </si>
  <si>
    <t>workers extra</t>
  </si>
  <si>
    <t>Iron 508.5kg</t>
  </si>
  <si>
    <t>Bricks 10000</t>
  </si>
  <si>
    <t>Electric</t>
  </si>
  <si>
    <t>Electrican Advance</t>
  </si>
  <si>
    <t>Pipe</t>
  </si>
  <si>
    <t xml:space="preserve">Exit pipes </t>
  </si>
  <si>
    <t xml:space="preserve"> Date</t>
  </si>
  <si>
    <t xml:space="preserve">Month </t>
  </si>
  <si>
    <t>year</t>
  </si>
  <si>
    <t>Feb</t>
  </si>
  <si>
    <t>Wire</t>
  </si>
  <si>
    <t>Binding wire</t>
  </si>
  <si>
    <t>Iron RCC</t>
  </si>
  <si>
    <t>Tarpel</t>
  </si>
  <si>
    <t>Electric Materials</t>
  </si>
  <si>
    <t>Cement 100</t>
  </si>
  <si>
    <t>extra RCC</t>
  </si>
  <si>
    <t>Buy</t>
  </si>
  <si>
    <t>Tree</t>
  </si>
  <si>
    <t>Door33*1100</t>
  </si>
  <si>
    <t>Windows 15*2500</t>
  </si>
  <si>
    <t>Ishanna</t>
  </si>
  <si>
    <t>Carpenter</t>
  </si>
  <si>
    <t>rent</t>
  </si>
  <si>
    <t xml:space="preserve">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</si>
</sst>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  <font>
      <b/>
      <i/>
      <u/>
      <sz val="11"/>
      <color theme="5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9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Calibri Light"/>
      <family val="34"/>
      <scheme val="maj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1">
    <xf numFmtId="0" fontId="0" fillId="0" borderId="0"/>
  </cellStyleXfs>
  <cellXfs count="173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6" borderId="0" xfId="0" applyFont="1" applyFill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4" borderId="0" xfId="0" applyFont="1" applyFill="1"/>
    <xf numFmtId="0" fontId="10" fillId="6" borderId="0" xfId="0" applyFont="1" applyFill="1" applyBorder="1"/>
    <xf numFmtId="0" fontId="1" fillId="0" borderId="6" xfId="0" applyFont="1" applyBorder="1" applyAlignment="1">
      <alignment horizontal="right" readingOrder="1"/>
    </xf>
    <xf numFmtId="0" fontId="0" fillId="0" borderId="1" xfId="0" applyBorder="1" applyAlignment="1">
      <alignment horizontal="right" readingOrder="1"/>
    </xf>
    <xf numFmtId="0" fontId="0" fillId="0" borderId="1" xfId="0" applyFont="1" applyBorder="1" applyAlignment="1">
      <alignment horizontal="right" readingOrder="1"/>
    </xf>
    <xf numFmtId="0" fontId="0" fillId="0" borderId="4" xfId="0" applyFont="1" applyBorder="1" applyAlignment="1">
      <alignment horizontal="right" readingOrder="1"/>
    </xf>
    <xf numFmtId="0" fontId="0" fillId="0" borderId="4" xfId="0" applyBorder="1" applyAlignment="1">
      <alignment horizontal="right" readingOrder="1"/>
    </xf>
    <xf numFmtId="0" fontId="13" fillId="16" borderId="1" xfId="0" applyFont="1" applyFill="1" applyBorder="1" applyAlignment="1">
      <alignment horizontal="right" readingOrder="1"/>
    </xf>
    <xf numFmtId="0" fontId="11" fillId="6" borderId="0" xfId="0" applyFont="1" applyFill="1" applyBorder="1" applyAlignment="1">
      <alignment horizontal="right" readingOrder="1"/>
    </xf>
    <xf numFmtId="0" fontId="4" fillId="6" borderId="0" xfId="0" applyFont="1" applyFill="1" applyBorder="1" applyAlignment="1">
      <alignment horizontal="right" readingOrder="1"/>
    </xf>
    <xf numFmtId="0" fontId="0" fillId="0" borderId="0" xfId="0" applyBorder="1" applyAlignment="1">
      <alignment horizontal="right" readingOrder="1"/>
    </xf>
    <xf numFmtId="0" fontId="4" fillId="0" borderId="1" xfId="0" applyFont="1" applyBorder="1" applyAlignment="1">
      <alignment horizontal="right" readingOrder="1"/>
    </xf>
    <xf numFmtId="0" fontId="0" fillId="0" borderId="0" xfId="0" applyAlignment="1">
      <alignment horizontal="right" readingOrder="1"/>
    </xf>
    <xf numFmtId="0" fontId="0" fillId="0" borderId="6" xfId="0" applyBorder="1" applyAlignment="1">
      <alignment horizontal="right" readingOrder="1"/>
    </xf>
    <xf numFmtId="0" fontId="0" fillId="0" borderId="0" xfId="0" applyAlignment="1">
      <alignment horizontal="right"/>
    </xf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14" fontId="0" fillId="21" borderId="1" xfId="0" applyNumberForma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4" fillId="13" borderId="1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Font="1"/>
    <xf numFmtId="0" fontId="0" fillId="0" borderId="6" xfId="0" applyBorder="1"/>
    <xf numFmtId="14" fontId="0" fillId="25" borderId="1" xfId="0" applyNumberFormat="1" applyFill="1" applyBorder="1" applyAlignment="1">
      <alignment horizontal="left"/>
    </xf>
    <xf numFmtId="14" fontId="0" fillId="25" borderId="4" xfId="0" applyNumberFormat="1" applyFill="1" applyBorder="1" applyAlignment="1">
      <alignment horizontal="left"/>
    </xf>
    <xf numFmtId="0" fontId="13" fillId="14" borderId="1" xfId="0" applyFont="1" applyFill="1" applyBorder="1" applyAlignment="1">
      <alignment horizontal="right"/>
    </xf>
    <xf numFmtId="0" fontId="11" fillId="14" borderId="1" xfId="0" applyFont="1" applyFill="1" applyBorder="1" applyAlignment="1">
      <alignment horizontal="right"/>
    </xf>
    <xf numFmtId="0" fontId="14" fillId="14" borderId="1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14" fontId="0" fillId="24" borderId="1" xfId="0" applyNumberFormat="1" applyFill="1" applyBorder="1" applyAlignment="1">
      <alignment horizontal="left"/>
    </xf>
    <xf numFmtId="14" fontId="0" fillId="24" borderId="4" xfId="0" applyNumberFormat="1" applyFill="1" applyBorder="1" applyAlignment="1">
      <alignment horizontal="left"/>
    </xf>
    <xf numFmtId="0" fontId="1" fillId="26" borderId="6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right" readingOrder="1"/>
    </xf>
    <xf numFmtId="0" fontId="0" fillId="0" borderId="7" xfId="0" applyBorder="1" applyAlignment="1">
      <alignment horizontal="right" readingOrder="1"/>
    </xf>
    <xf numFmtId="0" fontId="0" fillId="0" borderId="5" xfId="0" applyBorder="1" applyAlignment="1">
      <alignment horizontal="right" readingOrder="1"/>
    </xf>
    <xf numFmtId="14" fontId="0" fillId="21" borderId="7" xfId="0" applyNumberFormat="1" applyFill="1" applyBorder="1" applyAlignment="1">
      <alignment horizontal="left"/>
    </xf>
    <xf numFmtId="0" fontId="0" fillId="0" borderId="10" xfId="0" applyBorder="1"/>
    <xf numFmtId="14" fontId="0" fillId="21" borderId="4" xfId="0" applyNumberForma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right" vertical="center" readingOrder="1"/>
    </xf>
    <xf numFmtId="0" fontId="0" fillId="0" borderId="1" xfId="0" applyBorder="1" applyAlignment="1">
      <alignment horizontal="right" vertical="top"/>
    </xf>
    <xf numFmtId="0" fontId="15" fillId="8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9" borderId="0" xfId="0" applyFont="1" applyFill="1" applyBorder="1"/>
    <xf numFmtId="0" fontId="18" fillId="16" borderId="1" xfId="0" applyFont="1" applyFill="1" applyBorder="1" applyAlignment="1">
      <alignment horizontal="right"/>
    </xf>
    <xf numFmtId="0" fontId="19" fillId="9" borderId="0" xfId="0" applyFont="1" applyFill="1"/>
    <xf numFmtId="14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20" fillId="0" borderId="0" xfId="0" applyFont="1" applyAlignment="1">
      <alignment wrapText="1"/>
    </xf>
    <xf numFmtId="14" fontId="20" fillId="0" borderId="1" xfId="0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20" fillId="0" borderId="1" xfId="0" applyNumberFormat="1" applyFont="1" applyBorder="1" applyAlignment="1">
      <alignment horizontal="left" wrapText="1"/>
    </xf>
    <xf numFmtId="14" fontId="0" fillId="0" borderId="3" xfId="0" applyNumberFormat="1" applyBorder="1"/>
    <xf numFmtId="0" fontId="1" fillId="8" borderId="0" xfId="0" applyFont="1" applyFill="1"/>
    <xf numFmtId="14" fontId="0" fillId="0" borderId="7" xfId="0" applyNumberFormat="1" applyBorder="1"/>
    <xf numFmtId="0" fontId="1" fillId="2" borderId="0" xfId="0" applyFont="1" applyFill="1"/>
    <xf numFmtId="0" fontId="1" fillId="9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7" fillId="2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pivotCacheDefinition" Target="pivotCache/pivotCacheDefinition2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pivotCacheDefinition" Target="pivotCache/pivotCacheDefinition1.xml" /><Relationship Id="rId17" Type="http://schemas.openxmlformats.org/officeDocument/2006/relationships/calcChain" Target="calcChain.xml" /><Relationship Id="rId2" Type="http://schemas.openxmlformats.org/officeDocument/2006/relationships/worksheet" Target="worksheets/sheet2.xml" /><Relationship Id="rId1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tyles" Target="style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[Raitha Dinachari.xlsx]Daily Pivot!PivotTable1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'Daily Pivot'!$B$5:$B$6</c:f>
              <c:strCache>
                <c:ptCount val="1"/>
                <c:pt idx="0">
                  <c:v>Coffee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Pivot'!$B$7:$B$9</c:f>
              <c:numCache>
                <c:formatCode>General</c:formatCode>
                <c:ptCount val="2"/>
                <c:pt idx="0">
                  <c:v>202550</c:v>
                </c:pt>
                <c:pt idx="1">
                  <c:v>450300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2-DC4E-884D-E7A29EFE3A3F}"/>
            </c:ext>
          </c:extLst>
        </c:ser>
        <c:ser>
          <c:idx val="1"/>
          <c:order val="1"/>
          <c:tx>
            <c:strRef>
              <c:f>'Daily Pivot'!$C$5:$C$6</c:f>
              <c:strCache>
                <c:ptCount val="1"/>
                <c:pt idx="0">
                  <c:v>Jowar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Pivot'!$C$7:$C$9</c:f>
              <c:numCache>
                <c:formatCode>General</c:formatCode>
                <c:ptCount val="2"/>
                <c:pt idx="0">
                  <c:v>4300</c:v>
                </c:pt>
                <c:pt idx="1">
                  <c:v>3960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2-DC4E-884D-E7A29EFE3A3F}"/>
            </c:ext>
          </c:extLst>
        </c:ser>
        <c:ser>
          <c:idx val="2"/>
          <c:order val="2"/>
          <c:tx>
            <c:strRef>
              <c:f>'Daily Pivot'!$D$5:$D$6</c:f>
              <c:strCache>
                <c:ptCount val="1"/>
                <c:pt idx="0">
                  <c:v>Paddy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Pivot'!$D$7:$D$9</c:f>
              <c:numCache>
                <c:formatCode>General</c:formatCode>
                <c:ptCount val="2"/>
                <c:pt idx="0">
                  <c:v>4550</c:v>
                </c:pt>
                <c:pt idx="1">
                  <c:v>51500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2-DC4E-884D-E7A29EFE3A3F}"/>
            </c:ext>
          </c:extLst>
        </c:ser>
        <c:ser>
          <c:idx val="3"/>
          <c:order val="3"/>
          <c:tx>
            <c:strRef>
              <c:f>'Daily Pivot'!$E$5:$E$6</c:f>
              <c:strCache>
                <c:ptCount val="1"/>
                <c:pt idx="0">
                  <c:v>Potato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Pivot'!$E$7:$E$9</c:f>
              <c:numCache>
                <c:formatCode>General</c:formatCode>
                <c:ptCount val="2"/>
                <c:pt idx="0">
                  <c:v>57500</c:v>
                </c:pt>
                <c:pt idx="1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22-DC4E-884D-E7A29EFE3A3F}"/>
            </c:ext>
          </c:extLst>
        </c:ser>
        <c:ser>
          <c:idx val="4"/>
          <c:order val="4"/>
          <c:tx>
            <c:strRef>
              <c:f>'Daily Pivot'!$F$5:$F$6</c:f>
              <c:strCache>
                <c:ptCount val="1"/>
                <c:pt idx="0">
                  <c:v>Ragi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Pivot'!$F$7:$F$9</c:f>
              <c:numCache>
                <c:formatCode>General</c:formatCode>
                <c:ptCount val="2"/>
                <c:pt idx="0">
                  <c:v>5200</c:v>
                </c:pt>
                <c:pt idx="1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22-DC4E-884D-E7A29EFE3A3F}"/>
            </c:ext>
          </c:extLst>
        </c:ser>
        <c:ser>
          <c:idx val="5"/>
          <c:order val="5"/>
          <c:tx>
            <c:strRef>
              <c:f>'Daily Pivot'!$G$5:$G$6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Pivot'!$G$7:$G$9</c:f>
              <c:numCache>
                <c:formatCode>General</c:formatCode>
                <c:ptCount val="2"/>
                <c:pt idx="0">
                  <c:v>75050</c:v>
                </c:pt>
                <c:pt idx="1">
                  <c:v>932136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22-DC4E-884D-E7A29EFE3A3F}"/>
            </c:ext>
          </c:extLst>
        </c:ser>
        <c:ser>
          <c:idx val="6"/>
          <c:order val="6"/>
          <c:tx>
            <c:strRef>
              <c:f>'Daily Pivot'!$H$5:$H$6</c:f>
              <c:strCache>
                <c:ptCount val="1"/>
                <c:pt idx="0">
                  <c:v>Ginger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Pivot'!$H$7:$H$9</c:f>
              <c:numCache>
                <c:formatCode>General</c:formatCode>
                <c:ptCount val="2"/>
                <c:pt idx="0">
                  <c:v>117100</c:v>
                </c:pt>
                <c:pt idx="1">
                  <c:v>140030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22-DC4E-884D-E7A29EFE3A3F}"/>
            </c:ext>
          </c:extLst>
        </c:ser>
        <c:ser>
          <c:idx val="7"/>
          <c:order val="7"/>
          <c:tx>
            <c:strRef>
              <c:f>'Daily Pivot'!$I$5:$I$6</c:f>
              <c:strCache>
                <c:ptCount val="1"/>
                <c:pt idx="0">
                  <c:v>Areca</c:v>
                </c:pt>
              </c:strCache>
            </c:strRef>
          </c:tx>
          <c:invertIfNegative val="0"/>
          <c:cat>
            <c:strRef>
              <c:f>'Daily Pivot'!$A$7:$A$9</c:f>
              <c:strCache>
                <c:ptCount val="2"/>
                <c:pt idx="0">
                  <c:v>Expense</c:v>
                </c:pt>
                <c:pt idx="1">
                  <c:v>Income</c:v>
                </c:pt>
              </c:strCache>
            </c:strRef>
          </c:cat>
          <c:val>
            <c:numRef>
              <c:f>'Daily Pivot'!$I$7:$I$9</c:f>
              <c:numCache>
                <c:formatCode>General</c:formatCode>
                <c:ptCount val="2"/>
                <c:pt idx="0">
                  <c:v>35100</c:v>
                </c:pt>
                <c:pt idx="1">
                  <c:v>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22-DC4E-884D-E7A29EFE3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401664"/>
        <c:axId val="114403200"/>
        <c:axId val="0"/>
      </c:bar3DChart>
      <c:catAx>
        <c:axId val="114401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4403200"/>
        <c:crosses val="autoZero"/>
        <c:auto val="1"/>
        <c:lblAlgn val="ctr"/>
        <c:lblOffset val="100"/>
        <c:noMultiLvlLbl val="0"/>
      </c:catAx>
      <c:valAx>
        <c:axId val="11440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01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4</xdr:row>
      <xdr:rowOff>76200</xdr:rowOff>
    </xdr:from>
    <xdr:to>
      <xdr:col>22</xdr:col>
      <xdr:colOff>190500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 R, HarishKumar" refreshedDate="44960.837714351852" createdVersion="3" refreshedVersion="8" minRefreshableVersion="3" recordCount="100" xr:uid="{00000000-000A-0000-FFFF-FFFF1C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100"/>
    </cacheField>
    <cacheField name="Date" numFmtId="0">
      <sharedItems containsNonDate="0" containsDate="1" containsString="0" containsBlank="1" minDate="2018-09-12T00:00:00" maxDate="2023-01-31T00:00:00" count="9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d v="2022-06-02T00:00:00"/>
        <d v="2022-06-09T00:00:00"/>
        <d v="2022-06-20T00:00:00"/>
        <d v="2022-07-12T00:00:00"/>
        <d v="2022-06-30T00:00:00"/>
        <d v="2022-07-21T00:00:00"/>
        <d v="2022-07-28T00:00:00"/>
        <d v="2022-08-17T00:00:00"/>
        <d v="2022-08-18T00:00:00"/>
        <d v="2022-07-29T00:00:00"/>
        <d v="2022-08-30T00:00:00"/>
        <d v="2022-02-02T00:00:00"/>
        <d v="2022-09-05T00:00:00"/>
        <d v="2022-09-30T00:00:00"/>
        <d v="2022-10-01T00:00:00"/>
        <d v="2022-10-19T00:00:00"/>
        <d v="2022-10-20T00:00:00"/>
        <d v="2022-10-28T00:00:00"/>
        <d v="2022-10-30T00:00:00"/>
        <d v="2022-10-29T00:00:00"/>
        <d v="2022-11-01T00:00:00"/>
        <d v="2022-11-22T00:00:00"/>
        <d v="2022-11-29T00:00:00"/>
        <d v="2022-12-10T00:00:00"/>
        <d v="2022-12-12T00:00:00"/>
        <d v="2022-12-29T00:00:00"/>
        <d v="2023-01-04T00:00:00"/>
        <d v="2023-01-30T00:00:00"/>
        <d v="2023-01-20T00:00:00"/>
        <d v="2019-01-08T00:00:00"/>
        <d v="2018-11-10T00:00:00"/>
        <d v="2018-09-12T00:00:00"/>
        <m/>
        <d v="2020-12-16T00:00:00" u="1"/>
        <d v="2020-10-18T00:00:00" u="1"/>
        <d v="2019-12-28T00:00:00" u="1"/>
        <d v="2020-08-20T00:00:00" u="1"/>
        <d v="2019-10-30T00:00:00" u="1"/>
        <d v="2020-06-22T00:00:00" u="1"/>
        <d v="2020-04-24T00:00:00" u="1"/>
        <d v="2021-12-05T00:00:00" u="1"/>
        <d v="2019-07-04T00:00:00" u="1"/>
        <d v="2021-10-07T00:00:00" u="1"/>
        <d v="2019-05-06T00:00:00" u="1"/>
        <d v="2021-08-09T00:00:00" u="1"/>
        <d v="2019-03-08T00:00:00" u="1"/>
        <d v="2021-06-11T00:00:00" u="1"/>
        <d v="2021-04-13T00:00:00" u="1"/>
        <d v="2022-03-20T00:00:00" u="1"/>
        <d v="2021-02-13T00:00:00" u="1"/>
        <d v="2022-01-01T00:00:00" u="1"/>
        <d v="2020-02-25T00:00:00" u="1"/>
        <d v="2022-04-02T00:00:00" u="1"/>
        <d v="2019-09-01T00:00:00" u="1"/>
      </sharedItems>
    </cacheField>
    <cacheField name="Month" numFmtId="0">
      <sharedItems containsBlank="1" count="13">
        <s v="Oct"/>
        <s v="Nov"/>
        <s v="Dec"/>
        <s v="Jan"/>
        <s v="Feb"/>
        <s v="Aug"/>
        <s v="Mar"/>
        <s v="Apr"/>
        <s v="May"/>
        <s v="Jun"/>
        <s v="Jul"/>
        <s v="Sep"/>
        <m/>
      </sharedItems>
    </cacheField>
    <cacheField name="Year" numFmtId="0">
      <sharedItems containsBlank="1" count="7">
        <s v="2021"/>
        <s v="2022"/>
        <s v="2023"/>
        <s v="2019"/>
        <s v="2018"/>
        <m/>
        <s v="2020" u="1"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30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 R, HarishKumar" refreshedDate="44960.837714814814" createdVersion="8" refreshedVersion="8" minRefreshableVersion="3" recordCount="64" xr:uid="{3C98EBBC-B75E-41EC-8BC8-3A59A3317A47}">
  <cacheSource type="worksheet">
    <worksheetSource ref="A1:I65" sheet="House"/>
  </cacheSource>
  <cacheFields count="9">
    <cacheField name="SL No" numFmtId="0">
      <sharedItems containsSemiMixedTypes="0" containsString="0" containsNumber="1" containsInteger="1" minValue="1" maxValue="64"/>
    </cacheField>
    <cacheField name="Date" numFmtId="14">
      <sharedItems containsSemiMixedTypes="0" containsNonDate="0" containsDate="1" containsString="0" minDate="2022-09-12T00:00:00" maxDate="2023-02-04T00:00:00"/>
    </cacheField>
    <cacheField name="Month" numFmtId="14">
      <sharedItems containsBlank="1" count="7">
        <s v="Sep"/>
        <s v="Oct"/>
        <s v="Nov"/>
        <s v="Dec"/>
        <s v="Jan"/>
        <s v="Feb"/>
        <m u="1"/>
      </sharedItems>
    </cacheField>
    <cacheField name="Year" numFmtId="14">
      <sharedItems containsBlank="1" count="3">
        <s v="2022"/>
        <s v="2023"/>
        <m u="1"/>
      </sharedItems>
    </cacheField>
    <cacheField name="Thinks" numFmtId="14">
      <sharedItems containsBlank="1" count="15">
        <s v="Foundation"/>
        <s v="Planning"/>
        <s v="Bore"/>
        <s v="Loan"/>
        <s v="Toilet"/>
        <s v="Lakshmana"/>
        <s v="Iron"/>
        <s v="Cement"/>
        <s v="Others"/>
        <s v="Building Materials"/>
        <s v="Workers"/>
        <s v="JCB"/>
        <s v="Bricks"/>
        <s v="Electric"/>
        <m u="1"/>
      </sharedItems>
    </cacheField>
    <cacheField name="Title" numFmtId="0">
      <sharedItems/>
    </cacheField>
    <cacheField name="Expenditure" numFmtId="0">
      <sharedItems/>
    </cacheField>
    <cacheField name="Transaction" numFmtId="0">
      <sharedItems containsBlank="1" count="4">
        <s v="Appa"/>
        <s v="Harish"/>
        <s v="Bank"/>
        <m u="1"/>
      </sharedItems>
    </cacheField>
    <cacheField name="Amount " numFmtId="0">
      <sharedItems containsSemiMixedTypes="0" containsString="0" containsNumber="1" containsInteger="1" minValue="145" maxValue="10346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6"/>
    <x v="43"/>
    <x v="9"/>
    <x v="1"/>
    <x v="0"/>
    <x v="0"/>
    <s v="Fertiliser"/>
    <n v="15000"/>
  </r>
  <r>
    <n v="67"/>
    <x v="42"/>
    <x v="8"/>
    <x v="1"/>
    <x v="1"/>
    <x v="6"/>
    <s v="Fertiliser"/>
    <n v="3660"/>
  </r>
  <r>
    <n v="68"/>
    <x v="44"/>
    <x v="9"/>
    <x v="1"/>
    <x v="0"/>
    <x v="0"/>
    <s v="Medicine"/>
    <n v="1500"/>
  </r>
  <r>
    <n v="69"/>
    <x v="45"/>
    <x v="9"/>
    <x v="1"/>
    <x v="0"/>
    <x v="3"/>
    <s v="Medicine"/>
    <n v="1000"/>
  </r>
  <r>
    <n v="70"/>
    <x v="46"/>
    <x v="10"/>
    <x v="1"/>
    <x v="1"/>
    <x v="1"/>
    <s v="TechM settled up"/>
    <n v="110006"/>
  </r>
  <r>
    <n v="71"/>
    <x v="47"/>
    <x v="9"/>
    <x v="1"/>
    <x v="0"/>
    <x v="6"/>
    <s v="Medicine"/>
    <n v="2000"/>
  </r>
  <r>
    <n v="72"/>
    <x v="48"/>
    <x v="10"/>
    <x v="1"/>
    <x v="0"/>
    <x v="6"/>
    <s v="Medicine"/>
    <n v="5000"/>
  </r>
  <r>
    <n v="73"/>
    <x v="49"/>
    <x v="10"/>
    <x v="1"/>
    <x v="1"/>
    <x v="1"/>
    <s v="July Salary"/>
    <n v="230601"/>
  </r>
  <r>
    <n v="74"/>
    <x v="50"/>
    <x v="5"/>
    <x v="1"/>
    <x v="0"/>
    <x v="0"/>
    <s v="Fertiliser"/>
    <n v="22000"/>
  </r>
  <r>
    <n v="75"/>
    <x v="51"/>
    <x v="5"/>
    <x v="1"/>
    <x v="0"/>
    <x v="6"/>
    <s v="Grass Cutting"/>
    <n v="3000"/>
  </r>
  <r>
    <n v="76"/>
    <x v="52"/>
    <x v="10"/>
    <x v="1"/>
    <x v="0"/>
    <x v="0"/>
    <s v="Seeds"/>
    <n v="9000"/>
  </r>
  <r>
    <n v="77"/>
    <x v="42"/>
    <x v="8"/>
    <x v="1"/>
    <x v="0"/>
    <x v="0"/>
    <s v="Farm"/>
    <n v="5000"/>
  </r>
  <r>
    <n v="78"/>
    <x v="53"/>
    <x v="5"/>
    <x v="1"/>
    <x v="1"/>
    <x v="1"/>
    <s v="August Salary"/>
    <n v="73974"/>
  </r>
  <r>
    <n v="79"/>
    <x v="54"/>
    <x v="4"/>
    <x v="1"/>
    <x v="0"/>
    <x v="0"/>
    <s v="Medicine"/>
    <n v="2000"/>
  </r>
  <r>
    <n v="80"/>
    <x v="55"/>
    <x v="11"/>
    <x v="1"/>
    <x v="0"/>
    <x v="0"/>
    <s v="Silvara"/>
    <n v="2000"/>
  </r>
  <r>
    <n v="81"/>
    <x v="56"/>
    <x v="11"/>
    <x v="1"/>
    <x v="1"/>
    <x v="1"/>
    <s v="September Salary"/>
    <n v="74956"/>
  </r>
  <r>
    <n v="82"/>
    <x v="57"/>
    <x v="0"/>
    <x v="1"/>
    <x v="0"/>
    <x v="0"/>
    <s v="Medicine"/>
    <n v="12000"/>
  </r>
  <r>
    <n v="83"/>
    <x v="58"/>
    <x v="0"/>
    <x v="1"/>
    <x v="1"/>
    <x v="0"/>
    <s v="Bele Parihaara "/>
    <n v="43500"/>
  </r>
  <r>
    <n v="84"/>
    <x v="59"/>
    <x v="0"/>
    <x v="1"/>
    <x v="0"/>
    <x v="0"/>
    <s v="Medicine"/>
    <n v="2000"/>
  </r>
  <r>
    <n v="85"/>
    <x v="60"/>
    <x v="0"/>
    <x v="1"/>
    <x v="1"/>
    <x v="1"/>
    <s v="October Salary"/>
    <n v="74956"/>
  </r>
  <r>
    <n v="86"/>
    <x v="61"/>
    <x v="0"/>
    <x v="1"/>
    <x v="1"/>
    <x v="7"/>
    <s v="Planting"/>
    <n v="48000"/>
  </r>
  <r>
    <n v="87"/>
    <x v="62"/>
    <x v="0"/>
    <x v="1"/>
    <x v="1"/>
    <x v="0"/>
    <s v="Bale Parihaara"/>
    <n v="37000"/>
  </r>
  <r>
    <n v="88"/>
    <x v="63"/>
    <x v="1"/>
    <x v="1"/>
    <x v="1"/>
    <x v="0"/>
    <s v="Coffee Bill 10"/>
    <n v="150000"/>
  </r>
  <r>
    <n v="89"/>
    <x v="64"/>
    <x v="1"/>
    <x v="1"/>
    <x v="0"/>
    <x v="0"/>
    <s v="Coffee Cutting"/>
    <n v="9450"/>
  </r>
  <r>
    <n v="90"/>
    <x v="65"/>
    <x v="1"/>
    <x v="1"/>
    <x v="1"/>
    <x v="1"/>
    <s v="November Salary"/>
    <n v="86957"/>
  </r>
  <r>
    <n v="91"/>
    <x v="64"/>
    <x v="1"/>
    <x v="1"/>
    <x v="0"/>
    <x v="0"/>
    <s v="Coffee Cutting"/>
    <n v="1000"/>
  </r>
  <r>
    <n v="92"/>
    <x v="66"/>
    <x v="2"/>
    <x v="1"/>
    <x v="0"/>
    <x v="0"/>
    <s v="Coffee Cutting"/>
    <n v="16000"/>
  </r>
  <r>
    <n v="93"/>
    <x v="67"/>
    <x v="2"/>
    <x v="1"/>
    <x v="0"/>
    <x v="0"/>
    <s v="Palper"/>
    <n v="3000"/>
  </r>
  <r>
    <n v="94"/>
    <x v="68"/>
    <x v="2"/>
    <x v="1"/>
    <x v="0"/>
    <x v="1"/>
    <s v="December Salary"/>
    <n v="75050"/>
  </r>
  <r>
    <n v="95"/>
    <x v="69"/>
    <x v="3"/>
    <x v="2"/>
    <x v="0"/>
    <x v="0"/>
    <s v="Plants"/>
    <n v="2000"/>
  </r>
  <r>
    <n v="96"/>
    <x v="70"/>
    <x v="3"/>
    <x v="2"/>
    <x v="1"/>
    <x v="1"/>
    <s v="January Salary"/>
    <n v="82455"/>
  </r>
  <r>
    <n v="97"/>
    <x v="71"/>
    <x v="3"/>
    <x v="2"/>
    <x v="1"/>
    <x v="6"/>
    <s v="Sales"/>
    <n v="200000"/>
  </r>
  <r>
    <n v="98"/>
    <x v="72"/>
    <x v="3"/>
    <x v="3"/>
    <x v="0"/>
    <x v="8"/>
    <m/>
    <m/>
  </r>
  <r>
    <n v="99"/>
    <x v="73"/>
    <x v="1"/>
    <x v="4"/>
    <x v="1"/>
    <x v="8"/>
    <m/>
    <m/>
  </r>
  <r>
    <n v="100"/>
    <x v="74"/>
    <x v="11"/>
    <x v="4"/>
    <x v="0"/>
    <x v="8"/>
    <m/>
    <m/>
  </r>
  <r>
    <m/>
    <x v="75"/>
    <x v="12"/>
    <x v="5"/>
    <x v="2"/>
    <x v="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n v="1"/>
    <d v="2022-09-12T00:00:00"/>
    <x v="0"/>
    <x v="0"/>
    <x v="0"/>
    <s v="Poojari Pooje"/>
    <s v="Expense"/>
    <x v="0"/>
    <n v="5000"/>
  </r>
  <r>
    <n v="2"/>
    <d v="2022-09-12T00:00:00"/>
    <x v="0"/>
    <x v="0"/>
    <x v="0"/>
    <s v="Breakfast"/>
    <s v="Expense"/>
    <x v="0"/>
    <n v="3000"/>
  </r>
  <r>
    <n v="3"/>
    <d v="2022-10-01T00:00:00"/>
    <x v="1"/>
    <x v="0"/>
    <x v="1"/>
    <s v="Site Planning"/>
    <s v="Expense"/>
    <x v="1"/>
    <n v="5000"/>
  </r>
  <r>
    <n v="4"/>
    <d v="2022-10-21T00:00:00"/>
    <x v="1"/>
    <x v="0"/>
    <x v="2"/>
    <s v="BoreWell"/>
    <s v="Expense"/>
    <x v="1"/>
    <n v="50000"/>
  </r>
  <r>
    <n v="5"/>
    <d v="2022-10-31T00:00:00"/>
    <x v="1"/>
    <x v="0"/>
    <x v="3"/>
    <s v="Site paper xerox"/>
    <s v="Expense"/>
    <x v="1"/>
    <n v="270"/>
  </r>
  <r>
    <n v="6"/>
    <d v="2022-10-28T00:00:00"/>
    <x v="1"/>
    <x v="0"/>
    <x v="2"/>
    <s v="BoreWell"/>
    <s v="Expense"/>
    <x v="0"/>
    <n v="35500"/>
  </r>
  <r>
    <n v="7"/>
    <d v="2022-10-31T00:00:00"/>
    <x v="1"/>
    <x v="0"/>
    <x v="1"/>
    <s v="Site Planning Engineer "/>
    <s v="Expense"/>
    <x v="1"/>
    <n v="4000"/>
  </r>
  <r>
    <n v="8"/>
    <d v="2022-11-03T00:00:00"/>
    <x v="2"/>
    <x v="0"/>
    <x v="0"/>
    <s v="Door"/>
    <s v="Expense"/>
    <x v="0"/>
    <n v="2000"/>
  </r>
  <r>
    <n v="9"/>
    <d v="2022-11-15T00:00:00"/>
    <x v="2"/>
    <x v="0"/>
    <x v="4"/>
    <s v="Pillar "/>
    <s v="Expense"/>
    <x v="0"/>
    <n v="11500"/>
  </r>
  <r>
    <n v="10"/>
    <d v="2022-11-15T00:00:00"/>
    <x v="2"/>
    <x v="0"/>
    <x v="5"/>
    <s v="G Lakshmana Advance"/>
    <s v="Expense"/>
    <x v="0"/>
    <n v="10000"/>
  </r>
  <r>
    <n v="11"/>
    <d v="2022-11-19T00:00:00"/>
    <x v="2"/>
    <x v="0"/>
    <x v="2"/>
    <s v="Motor Items"/>
    <s v="Expense"/>
    <x v="0"/>
    <n v="39200"/>
  </r>
  <r>
    <n v="12"/>
    <d v="2022-11-19T00:00:00"/>
    <x v="2"/>
    <x v="0"/>
    <x v="2"/>
    <s v="Mains Wire "/>
    <s v="Expense"/>
    <x v="0"/>
    <n v="1800"/>
  </r>
  <r>
    <n v="13"/>
    <d v="2022-11-19T00:00:00"/>
    <x v="2"/>
    <x v="0"/>
    <x v="2"/>
    <s v="Bore Worker"/>
    <s v="Expense"/>
    <x v="0"/>
    <n v="1200"/>
  </r>
  <r>
    <n v="14"/>
    <d v="2022-11-21T00:00:00"/>
    <x v="2"/>
    <x v="0"/>
    <x v="6"/>
    <s v="Pillar Iron"/>
    <s v="Expense"/>
    <x v="0"/>
    <n v="51588"/>
  </r>
  <r>
    <n v="15"/>
    <d v="2022-11-21T00:00:00"/>
    <x v="2"/>
    <x v="0"/>
    <x v="7"/>
    <s v="10 Cement"/>
    <s v="Expense"/>
    <x v="0"/>
    <n v="4200"/>
  </r>
  <r>
    <n v="16"/>
    <d v="2022-11-21T00:00:00"/>
    <x v="2"/>
    <x v="0"/>
    <x v="8"/>
    <s v="Others items"/>
    <s v="Expense"/>
    <x v="0"/>
    <n v="2812"/>
  </r>
  <r>
    <n v="17"/>
    <d v="2022-11-24T00:00:00"/>
    <x v="2"/>
    <x v="0"/>
    <x v="7"/>
    <s v="60 cement"/>
    <s v="Expense"/>
    <x v="0"/>
    <n v="25200"/>
  </r>
  <r>
    <n v="18"/>
    <d v="2022-11-24T00:00:00"/>
    <x v="2"/>
    <x v="0"/>
    <x v="3"/>
    <s v="Others Loan"/>
    <s v="Expense"/>
    <x v="0"/>
    <n v="1000"/>
  </r>
  <r>
    <n v="19"/>
    <d v="2022-11-24T00:00:00"/>
    <x v="2"/>
    <x v="0"/>
    <x v="8"/>
    <s v="Others"/>
    <s v="Expense"/>
    <x v="0"/>
    <n v="600"/>
  </r>
  <r>
    <n v="20"/>
    <d v="2022-11-25T00:00:00"/>
    <x v="2"/>
    <x v="0"/>
    <x v="5"/>
    <s v="G Lakshmana Advance"/>
    <s v="Expense"/>
    <x v="0"/>
    <n v="5000"/>
  </r>
  <r>
    <n v="21"/>
    <d v="2022-11-24T00:00:00"/>
    <x v="2"/>
    <x v="0"/>
    <x v="8"/>
    <s v="Others items"/>
    <s v="Expense"/>
    <x v="0"/>
    <n v="1200"/>
  </r>
  <r>
    <n v="22"/>
    <d v="2022-11-25T00:00:00"/>
    <x v="2"/>
    <x v="0"/>
    <x v="7"/>
    <s v="10 Cement"/>
    <s v="Expense"/>
    <x v="0"/>
    <n v="4050"/>
  </r>
  <r>
    <n v="23"/>
    <d v="2022-11-24T00:00:00"/>
    <x v="2"/>
    <x v="0"/>
    <x v="9"/>
    <s v="Weekly Building Materials"/>
    <s v="Expense"/>
    <x v="0"/>
    <n v="43000"/>
  </r>
  <r>
    <n v="24"/>
    <d v="2022-11-25T00:00:00"/>
    <x v="2"/>
    <x v="0"/>
    <x v="8"/>
    <s v="Others"/>
    <s v="Expense"/>
    <x v="0"/>
    <n v="200"/>
  </r>
  <r>
    <n v="25"/>
    <d v="2022-11-25T00:00:00"/>
    <x v="2"/>
    <x v="0"/>
    <x v="3"/>
    <s v="Others Loan"/>
    <s v="Expense"/>
    <x v="0"/>
    <n v="1400"/>
  </r>
  <r>
    <n v="26"/>
    <d v="2022-11-28T00:00:00"/>
    <x v="2"/>
    <x v="0"/>
    <x v="4"/>
    <s v="toilet point"/>
    <s v="Expense"/>
    <x v="0"/>
    <n v="4000"/>
  </r>
  <r>
    <n v="27"/>
    <d v="2022-11-28T00:00:00"/>
    <x v="2"/>
    <x v="0"/>
    <x v="8"/>
    <s v="Others"/>
    <s v="Expense"/>
    <x v="0"/>
    <n v="145"/>
  </r>
  <r>
    <n v="28"/>
    <d v="2022-11-30T00:00:00"/>
    <x v="2"/>
    <x v="0"/>
    <x v="5"/>
    <s v="G Lakshmana Advance"/>
    <s v="Expense"/>
    <x v="0"/>
    <n v="15000"/>
  </r>
  <r>
    <n v="29"/>
    <d v="2022-11-30T00:00:00"/>
    <x v="2"/>
    <x v="0"/>
    <x v="4"/>
    <s v="toilet point"/>
    <s v="Expense"/>
    <x v="0"/>
    <n v="8100"/>
  </r>
  <r>
    <n v="30"/>
    <d v="2022-11-30T00:00:00"/>
    <x v="2"/>
    <x v="0"/>
    <x v="7"/>
    <s v="20 Cement "/>
    <s v="Expense"/>
    <x v="0"/>
    <n v="8400"/>
  </r>
  <r>
    <n v="31"/>
    <d v="2022-11-30T00:00:00"/>
    <x v="2"/>
    <x v="0"/>
    <x v="9"/>
    <s v="Weekly Building Materials"/>
    <s v="Expense"/>
    <x v="1"/>
    <n v="25000"/>
  </r>
  <r>
    <n v="32"/>
    <d v="2022-12-04T00:00:00"/>
    <x v="3"/>
    <x v="0"/>
    <x v="9"/>
    <s v="Weekly Building Materials"/>
    <s v="Expense"/>
    <x v="1"/>
    <n v="20000"/>
  </r>
  <r>
    <n v="33"/>
    <d v="2022-12-06T00:00:00"/>
    <x v="3"/>
    <x v="0"/>
    <x v="5"/>
    <s v="G Lakshmana Advance"/>
    <s v="Expense"/>
    <x v="0"/>
    <n v="10000"/>
  </r>
  <r>
    <n v="34"/>
    <d v="2022-12-07T00:00:00"/>
    <x v="3"/>
    <x v="0"/>
    <x v="9"/>
    <s v="Weekly Building Materials"/>
    <s v="Expense"/>
    <x v="1"/>
    <n v="22000"/>
  </r>
  <r>
    <n v="35"/>
    <d v="2022-12-13T00:00:00"/>
    <x v="3"/>
    <x v="0"/>
    <x v="3"/>
    <s v="Loan"/>
    <s v="Expense"/>
    <x v="1"/>
    <n v="999"/>
  </r>
  <r>
    <n v="36"/>
    <d v="2022-12-13T00:00:00"/>
    <x v="3"/>
    <x v="0"/>
    <x v="3"/>
    <s v="Others Loan"/>
    <s v="Expense"/>
    <x v="1"/>
    <n v="200"/>
  </r>
  <r>
    <n v="63"/>
    <d v="2022-12-14T00:00:00"/>
    <x v="3"/>
    <x v="0"/>
    <x v="9"/>
    <s v="Weekly Building Materials"/>
    <s v="Expense"/>
    <x v="1"/>
    <n v="10000"/>
  </r>
  <r>
    <n v="37"/>
    <d v="2022-12-16T00:00:00"/>
    <x v="3"/>
    <x v="0"/>
    <x v="1"/>
    <s v="Site Planning Engineer "/>
    <s v="Expense"/>
    <x v="1"/>
    <n v="3000"/>
  </r>
  <r>
    <n v="38"/>
    <d v="2022-12-19T00:00:00"/>
    <x v="3"/>
    <x v="0"/>
    <x v="6"/>
    <s v="Iron 508.5kg"/>
    <s v="Expense"/>
    <x v="0"/>
    <n v="31780"/>
  </r>
  <r>
    <n v="39"/>
    <d v="2022-12-19T00:00:00"/>
    <x v="3"/>
    <x v="0"/>
    <x v="8"/>
    <s v="Others items"/>
    <s v="Expense"/>
    <x v="0"/>
    <n v="1320"/>
  </r>
  <r>
    <n v="40"/>
    <d v="2022-12-19T00:00:00"/>
    <x v="3"/>
    <x v="0"/>
    <x v="10"/>
    <s v="workers extra"/>
    <s v="Expense"/>
    <x v="0"/>
    <n v="5800"/>
  </r>
  <r>
    <n v="41"/>
    <d v="2022-12-19T00:00:00"/>
    <x v="3"/>
    <x v="0"/>
    <x v="8"/>
    <s v="Others"/>
    <s v="Expense"/>
    <x v="0"/>
    <n v="2760"/>
  </r>
  <r>
    <n v="42"/>
    <d v="2022-12-22T00:00:00"/>
    <x v="3"/>
    <x v="0"/>
    <x v="7"/>
    <s v="Cement 40"/>
    <s v="Expense"/>
    <x v="0"/>
    <n v="18700"/>
  </r>
  <r>
    <n v="43"/>
    <d v="2022-12-22T00:00:00"/>
    <x v="3"/>
    <x v="0"/>
    <x v="5"/>
    <s v="G Lakshmana Advance"/>
    <s v="Expense"/>
    <x v="0"/>
    <n v="19000"/>
  </r>
  <r>
    <n v="44"/>
    <d v="2022-12-22T00:00:00"/>
    <x v="3"/>
    <x v="0"/>
    <x v="8"/>
    <s v="Others"/>
    <s v="Expense"/>
    <x v="0"/>
    <n v="1510"/>
  </r>
  <r>
    <n v="45"/>
    <d v="2022-12-22T00:00:00"/>
    <x v="3"/>
    <x v="0"/>
    <x v="8"/>
    <s v="Others items"/>
    <s v="Expense"/>
    <x v="0"/>
    <n v="1090"/>
  </r>
  <r>
    <n v="46"/>
    <d v="2022-12-28T00:00:00"/>
    <x v="3"/>
    <x v="0"/>
    <x v="5"/>
    <s v="G Lakshmana Advance"/>
    <s v="Expense"/>
    <x v="0"/>
    <n v="20000"/>
  </r>
  <r>
    <n v="47"/>
    <d v="2022-12-27T00:00:00"/>
    <x v="3"/>
    <x v="0"/>
    <x v="7"/>
    <s v="Cement 2"/>
    <s v="Expense"/>
    <x v="0"/>
    <n v="900"/>
  </r>
  <r>
    <n v="48"/>
    <d v="2022-12-31T00:00:00"/>
    <x v="3"/>
    <x v="0"/>
    <x v="11"/>
    <s v="Gravels"/>
    <s v="Expense"/>
    <x v="1"/>
    <n v="23000"/>
  </r>
  <r>
    <n v="49"/>
    <d v="2023-01-03T00:00:00"/>
    <x v="4"/>
    <x v="1"/>
    <x v="9"/>
    <s v="Weekly Building Materials"/>
    <s v="Expense"/>
    <x v="1"/>
    <n v="22000"/>
  </r>
  <r>
    <n v="50"/>
    <d v="2023-01-03T00:00:00"/>
    <x v="4"/>
    <x v="1"/>
    <x v="10"/>
    <s v="Water Tank"/>
    <s v="Expense"/>
    <x v="0"/>
    <n v="1200"/>
  </r>
  <r>
    <n v="51"/>
    <d v="2023-01-04T00:00:00"/>
    <x v="4"/>
    <x v="1"/>
    <x v="3"/>
    <s v="Loan"/>
    <s v="Income"/>
    <x v="2"/>
    <n v="1034674"/>
  </r>
  <r>
    <n v="52"/>
    <d v="2023-01-18T00:00:00"/>
    <x v="4"/>
    <x v="1"/>
    <x v="9"/>
    <s v="Weekly Building Materials"/>
    <s v="Expense"/>
    <x v="1"/>
    <n v="16000"/>
  </r>
  <r>
    <n v="53"/>
    <d v="2023-01-19T00:00:00"/>
    <x v="4"/>
    <x v="1"/>
    <x v="7"/>
    <s v="Cement 50"/>
    <s v="Expense"/>
    <x v="0"/>
    <n v="20250"/>
  </r>
  <r>
    <n v="54"/>
    <d v="2023-01-20T00:00:00"/>
    <x v="4"/>
    <x v="1"/>
    <x v="1"/>
    <s v="Site Planning Engineer "/>
    <s v="Expense"/>
    <x v="1"/>
    <n v="3000"/>
  </r>
  <r>
    <n v="55"/>
    <d v="2023-01-25T00:00:00"/>
    <x v="4"/>
    <x v="1"/>
    <x v="5"/>
    <s v="G Lakshmana Advance"/>
    <s v="Expense"/>
    <x v="1"/>
    <n v="21000"/>
  </r>
  <r>
    <n v="56"/>
    <d v="2023-01-31T00:00:00"/>
    <x v="4"/>
    <x v="1"/>
    <x v="6"/>
    <s v="Iron "/>
    <s v="Expense"/>
    <x v="0"/>
    <n v="29000"/>
  </r>
  <r>
    <n v="57"/>
    <d v="2023-01-25T00:00:00"/>
    <x v="4"/>
    <x v="1"/>
    <x v="12"/>
    <s v="Bricks long"/>
    <s v="Expense"/>
    <x v="0"/>
    <n v="6500"/>
  </r>
  <r>
    <n v="58"/>
    <d v="2023-01-29T00:00:00"/>
    <x v="4"/>
    <x v="1"/>
    <x v="8"/>
    <s v="extra"/>
    <s v="Expense"/>
    <x v="0"/>
    <n v="1500"/>
  </r>
  <r>
    <n v="59"/>
    <d v="2023-01-30T00:00:00"/>
    <x v="4"/>
    <x v="1"/>
    <x v="12"/>
    <s v="Bricks 10000"/>
    <s v="Expense"/>
    <x v="1"/>
    <n v="100000"/>
  </r>
  <r>
    <n v="60"/>
    <d v="2023-01-30T00:00:00"/>
    <x v="4"/>
    <x v="1"/>
    <x v="5"/>
    <s v="G Lakshmana Advance"/>
    <s v="Expense"/>
    <x v="0"/>
    <n v="5000"/>
  </r>
  <r>
    <n v="61"/>
    <d v="2023-02-01T00:00:00"/>
    <x v="5"/>
    <x v="1"/>
    <x v="5"/>
    <s v="G Lakshmana Advance"/>
    <s v="Expense"/>
    <x v="0"/>
    <n v="15000"/>
  </r>
  <r>
    <n v="62"/>
    <d v="2023-02-02T00:00:00"/>
    <x v="5"/>
    <x v="1"/>
    <x v="1"/>
    <s v="Site Planning Engineer "/>
    <s v="Expense"/>
    <x v="1"/>
    <n v="4000"/>
  </r>
  <r>
    <n v="64"/>
    <d v="2023-02-03T00:00:00"/>
    <x v="5"/>
    <x v="1"/>
    <x v="13"/>
    <s v="Electrican Advance"/>
    <s v="Expense"/>
    <x v="0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8" minRefreshableVersion="3" showCalcMbrs="0" useAutoFormatting="1" itemPrintTitles="1" createdVersion="3" indent="0" outline="1" outlineData="1" multipleFieldFilters="0" chartFormat="7" rowHeaderCaption="Expenditure" colHeaderCaption="Title">
  <location ref="A5:J9" firstHeaderRow="1" firstDataRow="2" firstDataCol="1" rowPageCount="3" colPageCount="1"/>
  <pivotFields count="8">
    <pivotField showAll="0"/>
    <pivotField axis="axisPage" numFmtId="14" showAll="0">
      <items count="9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75"/>
        <item m="1" x="91"/>
        <item m="1" x="93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95"/>
        <item x="54"/>
        <item m="1" x="83"/>
        <item m="1" x="85"/>
        <item m="1" x="87"/>
        <item m="1" x="89"/>
        <item m="1" x="90"/>
        <item m="1" x="92"/>
        <item m="1" x="76"/>
        <item m="1" x="77"/>
        <item m="1" x="79"/>
        <item m="1" x="81"/>
        <item m="1" x="82"/>
        <item m="1" x="94"/>
        <item m="1" x="78"/>
        <item m="1" x="80"/>
        <item m="1" x="96"/>
        <item m="1" x="84"/>
        <item m="1" x="86"/>
        <item m="1" x="88"/>
        <item x="72"/>
        <item x="73"/>
        <item x="74"/>
        <item x="50"/>
        <item x="51"/>
        <item x="5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axis="axisPage" multipleItemSelectionAllowed="1" showAll="0" defaultSubtotal="0">
      <items count="13">
        <item x="0"/>
        <item x="1"/>
        <item x="2"/>
        <item x="3"/>
        <item x="4"/>
        <item x="5"/>
        <item x="6"/>
        <item x="7"/>
        <item h="1" x="12"/>
        <item x="8"/>
        <item x="9"/>
        <item x="10"/>
        <item x="11"/>
      </items>
    </pivotField>
    <pivotField axis="axisPage" multipleItemSelectionAllowed="1" showAll="0" defaultSubtotal="0">
      <items count="7">
        <item x="0"/>
        <item x="1"/>
        <item h="1" x="5"/>
        <item m="1" x="6"/>
        <item x="3"/>
        <item x="4"/>
        <item h="1" x="2"/>
      </items>
    </pivotField>
    <pivotField axis="axisRow" showAll="0">
      <items count="4">
        <item x="0"/>
        <item x="1"/>
        <item h="1"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h="1" x="8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9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93"/>
        <item x="75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9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2"/>
        <item m="1" x="95"/>
        <item x="54"/>
        <item m="1" x="83"/>
        <item m="1" x="85"/>
        <item m="1" x="87"/>
        <item m="1" x="89"/>
        <item m="1" x="90"/>
        <item m="1" x="92"/>
        <item m="1" x="76"/>
        <item m="1" x="77"/>
        <item m="1" x="79"/>
        <item m="1" x="81"/>
        <item m="1" x="82"/>
        <item m="1" x="94"/>
        <item m="1" x="78"/>
        <item m="1" x="80"/>
        <item m="1" x="96"/>
        <item m="1" x="84"/>
        <item m="1" x="86"/>
        <item m="1" x="88"/>
        <item x="72"/>
        <item x="73"/>
        <item x="74"/>
        <item x="50"/>
        <item x="51"/>
        <item x="5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axis="axisPage" showAll="0">
      <items count="14">
        <item x="3"/>
        <item x="0"/>
        <item x="1"/>
        <item x="2"/>
        <item x="12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0F450-D315-4F45-A5F0-A21B7F8C51F6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5:E21" firstHeaderRow="1" firstDataRow="2" firstDataCol="1" rowPageCount="2" colPageCount="1"/>
  <pivotFields count="9">
    <pivotField showAll="0"/>
    <pivotField showAll="0"/>
    <pivotField axis="axisPage" showAll="0">
      <items count="8">
        <item x="4"/>
        <item x="0"/>
        <item x="1"/>
        <item x="2"/>
        <item x="3"/>
        <item m="1" x="6"/>
        <item x="5"/>
        <item t="default"/>
      </items>
    </pivotField>
    <pivotField axis="axisPage" showAll="0">
      <items count="4">
        <item x="0"/>
        <item x="1"/>
        <item m="1" x="2"/>
        <item t="default"/>
      </items>
    </pivotField>
    <pivotField axis="axisRow" showAll="0">
      <items count="16">
        <item x="2"/>
        <item x="12"/>
        <item x="9"/>
        <item x="7"/>
        <item x="0"/>
        <item x="6"/>
        <item x="11"/>
        <item x="5"/>
        <item x="3"/>
        <item x="8"/>
        <item x="1"/>
        <item x="4"/>
        <item x="10"/>
        <item m="1" x="14"/>
        <item x="13"/>
        <item t="default"/>
      </items>
    </pivotField>
    <pivotField showAll="0"/>
    <pivotField showAll="0"/>
    <pivotField axis="axisCol" showAll="0">
      <items count="5">
        <item x="0"/>
        <item x="2"/>
        <item x="1"/>
        <item h="1" m="1" x="3"/>
        <item t="default"/>
      </items>
    </pivotField>
    <pivotField dataField="1"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2">
    <pageField fld="3" hier="-1"/>
    <pageField fld="2" hier="-1"/>
  </pageFields>
  <dataFields count="1">
    <dataField name="Sum of Amount 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 /><Relationship Id="rId1" Type="http://schemas.openxmlformats.org/officeDocument/2006/relationships/pivotTable" Target="../pivotTables/pivotTable3.xm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I14" sqref="I14"/>
    </sheetView>
  </sheetViews>
  <sheetFormatPr defaultRowHeight="15" x14ac:dyDescent="0.2"/>
  <cols>
    <col min="1" max="1" width="13.98828125" bestFit="1" customWidth="1"/>
    <col min="2" max="2" width="16.41015625" bestFit="1" customWidth="1"/>
    <col min="3" max="3" width="5.78125" bestFit="1" customWidth="1"/>
    <col min="4" max="4" width="6.05078125" bestFit="1" customWidth="1"/>
    <col min="5" max="5" width="6.58984375" bestFit="1" customWidth="1"/>
    <col min="6" max="6" width="5.78125" bestFit="1" customWidth="1"/>
    <col min="7" max="7" width="7.80078125" bestFit="1" customWidth="1"/>
    <col min="8" max="8" width="6.859375" bestFit="1" customWidth="1"/>
    <col min="9" max="9" width="5.78125" bestFit="1" customWidth="1"/>
    <col min="10" max="10" width="10.76171875" bestFit="1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0" x14ac:dyDescent="0.2">
      <c r="A1" s="56" t="s">
        <v>1</v>
      </c>
      <c r="B1" t="s">
        <v>183</v>
      </c>
    </row>
    <row r="2" spans="1:10" x14ac:dyDescent="0.2">
      <c r="A2" s="56" t="s">
        <v>208</v>
      </c>
      <c r="B2" t="s">
        <v>286</v>
      </c>
    </row>
    <row r="3" spans="1:10" x14ac:dyDescent="0.2">
      <c r="A3" s="56" t="s">
        <v>188</v>
      </c>
      <c r="B3" t="s">
        <v>286</v>
      </c>
    </row>
    <row r="5" spans="1:10" x14ac:dyDescent="0.2">
      <c r="A5" s="56" t="s">
        <v>186</v>
      </c>
      <c r="B5" s="56" t="s">
        <v>123</v>
      </c>
    </row>
    <row r="6" spans="1:10" x14ac:dyDescent="0.2">
      <c r="A6" s="59" t="s">
        <v>122</v>
      </c>
      <c r="B6" s="60" t="s">
        <v>125</v>
      </c>
      <c r="C6" s="60" t="s">
        <v>137</v>
      </c>
      <c r="D6" s="60" t="s">
        <v>169</v>
      </c>
      <c r="E6" s="60" t="s">
        <v>141</v>
      </c>
      <c r="F6" s="60" t="s">
        <v>180</v>
      </c>
      <c r="G6" s="60" t="s">
        <v>128</v>
      </c>
      <c r="H6" s="60" t="s">
        <v>201</v>
      </c>
      <c r="I6" s="60" t="s">
        <v>203</v>
      </c>
      <c r="J6" s="60" t="s">
        <v>185</v>
      </c>
    </row>
    <row r="7" spans="1:10" x14ac:dyDescent="0.2">
      <c r="A7" s="61" t="s">
        <v>36</v>
      </c>
      <c r="B7" s="62">
        <v>202550</v>
      </c>
      <c r="C7" s="62">
        <v>4300</v>
      </c>
      <c r="D7" s="62">
        <v>4550</v>
      </c>
      <c r="E7" s="62">
        <v>57500</v>
      </c>
      <c r="F7" s="62">
        <v>5200</v>
      </c>
      <c r="G7" s="62">
        <v>75050</v>
      </c>
      <c r="H7" s="62">
        <v>117100</v>
      </c>
      <c r="I7" s="62">
        <v>35100</v>
      </c>
      <c r="J7" s="62">
        <v>501350</v>
      </c>
    </row>
    <row r="8" spans="1:10" ht="12" customHeight="1" x14ac:dyDescent="0.2">
      <c r="A8" s="61" t="s">
        <v>127</v>
      </c>
      <c r="B8" s="62">
        <v>450300</v>
      </c>
      <c r="C8" s="62">
        <v>3960</v>
      </c>
      <c r="D8" s="62">
        <v>51500</v>
      </c>
      <c r="E8" s="62">
        <v>13000</v>
      </c>
      <c r="F8" s="62">
        <v>11900</v>
      </c>
      <c r="G8" s="62">
        <v>932136</v>
      </c>
      <c r="H8" s="62">
        <v>140030</v>
      </c>
      <c r="I8" s="62">
        <v>48000</v>
      </c>
      <c r="J8" s="62">
        <v>1650826</v>
      </c>
    </row>
    <row r="9" spans="1:10" hidden="1" x14ac:dyDescent="0.2">
      <c r="A9" s="63" t="s">
        <v>185</v>
      </c>
      <c r="B9" s="64">
        <v>652850</v>
      </c>
      <c r="C9" s="64">
        <v>8260</v>
      </c>
      <c r="D9" s="64">
        <v>56050</v>
      </c>
      <c r="E9" s="64">
        <v>70500</v>
      </c>
      <c r="F9" s="64">
        <v>17100</v>
      </c>
      <c r="G9" s="64">
        <v>1007186</v>
      </c>
      <c r="H9" s="64">
        <v>257130</v>
      </c>
      <c r="I9" s="64">
        <v>83100</v>
      </c>
      <c r="J9" s="64">
        <v>2152176</v>
      </c>
    </row>
    <row r="12" spans="1:10" x14ac:dyDescent="0.2">
      <c r="A12" s="65" t="s">
        <v>90</v>
      </c>
      <c r="B12" s="66" t="str">
        <f>IMSUB(GETPIVOTDATA("Amount",$A$5,"Expenditure","Income","Title","Coffee"),GETPIVOTDATA("Amount",$A$5,"Expenditure","Expense","Title","Coffee"))</f>
        <v>247750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-44500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932136</v>
      </c>
      <c r="H12" s="66" t="str">
        <f>IMSUB(GETPIVOTDATA("Amount",$A$5,"Expenditure","Income","Title","Ginger"),GETPIVOTDATA("Amount",$A$5,"Expenditure","Expense","Title","Ginger"))</f>
        <v>22930</v>
      </c>
      <c r="I12" s="66" t="str">
        <f>IMSUB(GETPIVOTDATA("Amount",$A$5,"Expenditure","Income"),GETPIVOTDATA("Amount",$A$5,"Expenditure","Expense"))</f>
        <v>1149476</v>
      </c>
    </row>
    <row r="15" spans="1:10" x14ac:dyDescent="0.2">
      <c r="A15" t="s">
        <v>238</v>
      </c>
      <c r="B15" t="str">
        <f>IMSUB(GETPIVOTDATA("Amount",$A$5,"Expenditure","Income"),GETPIVOTDATA("Amount",$A$5,"Expenditure","Expense"))</f>
        <v>1149476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16" sqref="D16"/>
    </sheetView>
  </sheetViews>
  <sheetFormatPr defaultRowHeight="15" x14ac:dyDescent="0.2"/>
  <cols>
    <col min="1" max="1" width="13.98828125" bestFit="1" customWidth="1"/>
    <col min="2" max="2" width="15.33203125" bestFit="1" customWidth="1"/>
    <col min="3" max="3" width="5.78125" bestFit="1" customWidth="1"/>
    <col min="4" max="4" width="6.05078125" bestFit="1" customWidth="1"/>
    <col min="5" max="5" width="6.58984375" bestFit="1" customWidth="1"/>
    <col min="6" max="6" width="5.78125" bestFit="1" customWidth="1"/>
    <col min="7" max="7" width="7.80078125" bestFit="1" customWidth="1"/>
    <col min="8" max="8" width="6.72265625" bestFit="1" customWidth="1"/>
    <col min="9" max="9" width="6.859375" bestFit="1" customWidth="1"/>
    <col min="10" max="10" width="5.78125" bestFit="1" customWidth="1"/>
    <col min="11" max="11" width="10.76171875" bestFit="1" customWidth="1"/>
  </cols>
  <sheetData>
    <row r="1" spans="1:11" x14ac:dyDescent="0.2">
      <c r="A1" s="56" t="s">
        <v>1</v>
      </c>
      <c r="B1" t="s">
        <v>183</v>
      </c>
    </row>
    <row r="2" spans="1:11" x14ac:dyDescent="0.2">
      <c r="A2" s="56" t="s">
        <v>188</v>
      </c>
      <c r="B2" t="s">
        <v>183</v>
      </c>
    </row>
    <row r="4" spans="1:11" x14ac:dyDescent="0.2">
      <c r="A4" s="56" t="s">
        <v>186</v>
      </c>
      <c r="B4" s="56" t="s">
        <v>187</v>
      </c>
    </row>
    <row r="5" spans="1:11" x14ac:dyDescent="0.2">
      <c r="A5" s="56" t="s">
        <v>184</v>
      </c>
      <c r="B5" t="s">
        <v>125</v>
      </c>
      <c r="C5" t="s">
        <v>137</v>
      </c>
      <c r="D5" t="s">
        <v>169</v>
      </c>
      <c r="E5" t="s">
        <v>141</v>
      </c>
      <c r="F5" t="s">
        <v>180</v>
      </c>
      <c r="G5" t="s">
        <v>128</v>
      </c>
      <c r="H5" t="s">
        <v>189</v>
      </c>
      <c r="I5" t="s">
        <v>201</v>
      </c>
      <c r="J5" t="s">
        <v>203</v>
      </c>
      <c r="K5" t="s">
        <v>185</v>
      </c>
    </row>
    <row r="6" spans="1:11" x14ac:dyDescent="0.2">
      <c r="A6" s="57" t="s">
        <v>36</v>
      </c>
      <c r="B6" s="58">
        <v>204550</v>
      </c>
      <c r="C6" s="58">
        <v>4300</v>
      </c>
      <c r="D6" s="58">
        <v>4550</v>
      </c>
      <c r="E6" s="58">
        <v>57500</v>
      </c>
      <c r="F6" s="58">
        <v>5200</v>
      </c>
      <c r="G6" s="58">
        <v>75050</v>
      </c>
      <c r="H6" s="58"/>
      <c r="I6" s="58">
        <v>117100</v>
      </c>
      <c r="J6" s="58">
        <v>35100</v>
      </c>
      <c r="K6" s="58">
        <v>503350</v>
      </c>
    </row>
    <row r="7" spans="1:11" x14ac:dyDescent="0.2">
      <c r="A7" s="57" t="s">
        <v>127</v>
      </c>
      <c r="B7" s="58">
        <v>450300</v>
      </c>
      <c r="C7" s="58">
        <v>3960</v>
      </c>
      <c r="D7" s="58">
        <v>51500</v>
      </c>
      <c r="E7" s="58">
        <v>13000</v>
      </c>
      <c r="F7" s="58">
        <v>11900</v>
      </c>
      <c r="G7" s="58">
        <v>1014591</v>
      </c>
      <c r="H7" s="58"/>
      <c r="I7" s="58">
        <v>340030</v>
      </c>
      <c r="J7" s="58">
        <v>48000</v>
      </c>
      <c r="K7" s="58">
        <v>1933281</v>
      </c>
    </row>
    <row r="8" spans="1:11" x14ac:dyDescent="0.2">
      <c r="A8" s="57" t="s">
        <v>189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185</v>
      </c>
      <c r="B9" s="58">
        <v>654850</v>
      </c>
      <c r="C9" s="58">
        <v>8260</v>
      </c>
      <c r="D9" s="58">
        <v>56050</v>
      </c>
      <c r="E9" s="58">
        <v>70500</v>
      </c>
      <c r="F9" s="58">
        <v>17100</v>
      </c>
      <c r="G9" s="58">
        <v>1089641</v>
      </c>
      <c r="H9" s="58"/>
      <c r="I9" s="58">
        <v>457130</v>
      </c>
      <c r="J9" s="58">
        <v>83100</v>
      </c>
      <c r="K9" s="58">
        <v>2436631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"/>
  <sheetViews>
    <sheetView tabSelected="1" topLeftCell="V1" zoomScale="90" zoomScaleNormal="90" zoomScaleSheetLayoutView="100" workbookViewId="0">
      <selection activeCell="V14" sqref="V14"/>
    </sheetView>
  </sheetViews>
  <sheetFormatPr defaultRowHeight="15" x14ac:dyDescent="0.2"/>
  <cols>
    <col min="2" max="5" width="12.10546875" customWidth="1"/>
    <col min="6" max="6" width="11.1640625" customWidth="1"/>
    <col min="7" max="7" width="17.21875" customWidth="1"/>
    <col min="10" max="10" width="11.97265625" bestFit="1" customWidth="1"/>
    <col min="12" max="12" width="12.23828125" bestFit="1" customWidth="1"/>
    <col min="14" max="14" width="13.44921875" customWidth="1"/>
    <col min="15" max="15" width="12.5078125" bestFit="1" customWidth="1"/>
    <col min="16" max="16" width="12.64453125" customWidth="1"/>
    <col min="17" max="17" width="13.046875" customWidth="1"/>
    <col min="19" max="19" width="13.31640625" bestFit="1" customWidth="1"/>
    <col min="20" max="22" width="11.97265625" customWidth="1"/>
    <col min="23" max="23" width="13.046875" customWidth="1"/>
    <col min="24" max="24" width="12.9140625" customWidth="1"/>
  </cols>
  <sheetData>
    <row r="1" spans="1:25" x14ac:dyDescent="0.2">
      <c r="A1" s="3" t="s">
        <v>2</v>
      </c>
      <c r="B1" s="3" t="s">
        <v>1</v>
      </c>
      <c r="C1" s="3" t="s">
        <v>188</v>
      </c>
      <c r="D1" s="3" t="s">
        <v>208</v>
      </c>
      <c r="E1" s="3" t="s">
        <v>122</v>
      </c>
      <c r="F1" s="3" t="s">
        <v>123</v>
      </c>
      <c r="G1" s="3" t="s">
        <v>124</v>
      </c>
      <c r="H1" s="3" t="s">
        <v>4</v>
      </c>
      <c r="I1" s="19" t="s">
        <v>228</v>
      </c>
      <c r="K1" s="36" t="s">
        <v>132</v>
      </c>
      <c r="L1" s="36" t="s">
        <v>1</v>
      </c>
      <c r="M1" s="36" t="s">
        <v>123</v>
      </c>
      <c r="N1" s="36" t="s">
        <v>124</v>
      </c>
      <c r="O1" s="36" t="s">
        <v>4</v>
      </c>
      <c r="P1" s="36" t="s">
        <v>142</v>
      </c>
      <c r="Q1" s="36" t="s">
        <v>147</v>
      </c>
      <c r="R1" s="36" t="s">
        <v>145</v>
      </c>
      <c r="S1" s="36" t="s">
        <v>146</v>
      </c>
      <c r="T1" s="36" t="s">
        <v>224</v>
      </c>
      <c r="U1" s="36" t="s">
        <v>149</v>
      </c>
      <c r="V1" s="36" t="s">
        <v>195</v>
      </c>
      <c r="W1" s="36" t="s">
        <v>196</v>
      </c>
      <c r="X1" s="36" t="s">
        <v>143</v>
      </c>
      <c r="Y1" s="36" t="s">
        <v>393</v>
      </c>
    </row>
    <row r="2" spans="1:25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36</v>
      </c>
      <c r="F2" s="2" t="s">
        <v>125</v>
      </c>
      <c r="G2" s="2" t="s">
        <v>126</v>
      </c>
      <c r="H2" s="2">
        <v>2000</v>
      </c>
      <c r="I2" s="6"/>
      <c r="K2" s="2">
        <v>1</v>
      </c>
      <c r="L2" s="20">
        <v>44193</v>
      </c>
      <c r="M2" s="2" t="s">
        <v>148</v>
      </c>
      <c r="N2" s="2" t="s">
        <v>150</v>
      </c>
      <c r="O2" s="2">
        <v>100000</v>
      </c>
      <c r="P2" s="2">
        <v>2</v>
      </c>
      <c r="Q2" s="20">
        <f ca="1">TODAY()</f>
        <v>44998</v>
      </c>
      <c r="R2" s="2">
        <f ca="1">Q2-L2</f>
        <v>805</v>
      </c>
      <c r="S2" s="2">
        <f ca="1">(R2/365)*12</f>
        <v>26.465753424657535</v>
      </c>
      <c r="T2" s="2">
        <f ca="1">ROUND(S2,1)</f>
        <v>26.5</v>
      </c>
      <c r="U2" s="2">
        <f ca="1">(O2*S2*P2) /100</f>
        <v>52931.506849315076</v>
      </c>
      <c r="V2" s="2">
        <f>24000+124000</f>
        <v>148000</v>
      </c>
      <c r="W2" s="20">
        <v>44934</v>
      </c>
      <c r="X2" s="143">
        <f ca="1">(O2+U2-V2)*0</f>
        <v>0</v>
      </c>
      <c r="Y2" s="60" t="s">
        <v>387</v>
      </c>
    </row>
    <row r="3" spans="1:25" x14ac:dyDescent="0.2">
      <c r="A3" s="2">
        <v>2</v>
      </c>
      <c r="B3" s="20">
        <v>44501</v>
      </c>
      <c r="C3" s="20" t="str">
        <f t="shared" ref="C3:C30" si="0">TEXT(B3, "mmm")</f>
        <v>Nov</v>
      </c>
      <c r="D3" s="20" t="str">
        <f t="shared" ref="D3:D51" si="1">TEXT(B3, "yyyy")</f>
        <v>2021</v>
      </c>
      <c r="E3" s="20" t="s">
        <v>36</v>
      </c>
      <c r="F3" s="2" t="s">
        <v>125</v>
      </c>
      <c r="G3" s="2" t="s">
        <v>126</v>
      </c>
      <c r="H3" s="2">
        <v>1350</v>
      </c>
      <c r="I3" s="6"/>
      <c r="K3" s="2">
        <v>2</v>
      </c>
      <c r="L3" s="20">
        <v>44200</v>
      </c>
      <c r="M3" s="2" t="s">
        <v>148</v>
      </c>
      <c r="N3" s="2" t="s">
        <v>151</v>
      </c>
      <c r="O3" s="2">
        <v>100000</v>
      </c>
      <c r="P3" s="2">
        <v>2.5</v>
      </c>
      <c r="Q3" s="20">
        <f t="shared" ref="Q3" ca="1" si="2">TODAY()</f>
        <v>44998</v>
      </c>
      <c r="R3" s="2">
        <f t="shared" ref="R3" ca="1" si="3">Q3-L3</f>
        <v>798</v>
      </c>
      <c r="S3" s="2">
        <f t="shared" ref="S3" ca="1" si="4">(R3/365)*12</f>
        <v>26.235616438356168</v>
      </c>
      <c r="T3" s="2">
        <f ca="1">ROUND(S3,1)</f>
        <v>26.2</v>
      </c>
      <c r="U3" s="2">
        <f t="shared" ref="U3" ca="1" si="5">(O3*S3*P3) /100</f>
        <v>65589.041095890425</v>
      </c>
      <c r="V3" s="2">
        <v>160246</v>
      </c>
      <c r="W3" s="20">
        <v>44934</v>
      </c>
      <c r="X3" s="143">
        <f ca="1">(O3+U3-V3)*0</f>
        <v>0</v>
      </c>
      <c r="Y3" s="60" t="s">
        <v>387</v>
      </c>
    </row>
    <row r="4" spans="1:25" x14ac:dyDescent="0.2">
      <c r="A4" s="2">
        <v>3</v>
      </c>
      <c r="B4" s="20">
        <v>44514</v>
      </c>
      <c r="C4" s="20" t="str">
        <f t="shared" si="0"/>
        <v>Nov</v>
      </c>
      <c r="D4" s="20" t="str">
        <f t="shared" si="1"/>
        <v>2021</v>
      </c>
      <c r="E4" s="20" t="s">
        <v>36</v>
      </c>
      <c r="F4" s="2" t="s">
        <v>125</v>
      </c>
      <c r="G4" s="2" t="s">
        <v>82</v>
      </c>
      <c r="H4" s="2">
        <v>1000</v>
      </c>
      <c r="I4" s="6"/>
      <c r="K4" s="2">
        <v>3</v>
      </c>
      <c r="L4" s="20">
        <v>44206</v>
      </c>
      <c r="M4" s="2" t="s">
        <v>148</v>
      </c>
      <c r="N4" s="2" t="s">
        <v>152</v>
      </c>
      <c r="O4" s="2">
        <v>50000</v>
      </c>
      <c r="P4" s="2">
        <v>2</v>
      </c>
      <c r="Q4" s="20">
        <f t="shared" ref="Q4:Q20" ca="1" si="6">TODAY()</f>
        <v>44998</v>
      </c>
      <c r="R4" s="2">
        <f ca="1">Q4-L4</f>
        <v>792</v>
      </c>
      <c r="S4" s="2">
        <f t="shared" ref="S4:S11" ca="1" si="7">(R4/365)*12</f>
        <v>26.038356164383561</v>
      </c>
      <c r="T4" s="2">
        <f t="shared" ref="T4:T18" ca="1" si="8">ROUND(S4,1)</f>
        <v>26</v>
      </c>
      <c r="U4" s="2">
        <f ca="1">(O4*S4*P4) /100</f>
        <v>26038.356164383564</v>
      </c>
      <c r="V4" s="2">
        <f>12000+12000</f>
        <v>24000</v>
      </c>
      <c r="W4" s="20">
        <v>44952</v>
      </c>
      <c r="X4" s="143">
        <f t="shared" ref="X4:X10" ca="1" si="9">O4+U4-V4</f>
        <v>52038.356164383556</v>
      </c>
      <c r="Y4" s="60"/>
    </row>
    <row r="5" spans="1:25" x14ac:dyDescent="0.2">
      <c r="A5" s="2">
        <v>4</v>
      </c>
      <c r="B5" s="20">
        <v>44520</v>
      </c>
      <c r="C5" s="20" t="str">
        <f t="shared" si="0"/>
        <v>Nov</v>
      </c>
      <c r="D5" s="20" t="str">
        <f t="shared" si="1"/>
        <v>2021</v>
      </c>
      <c r="E5" s="20" t="s">
        <v>36</v>
      </c>
      <c r="F5" s="2" t="s">
        <v>125</v>
      </c>
      <c r="G5" s="2" t="s">
        <v>126</v>
      </c>
      <c r="H5" s="2">
        <v>6480</v>
      </c>
      <c r="I5" s="6"/>
      <c r="K5" s="2">
        <v>4</v>
      </c>
      <c r="L5" s="20">
        <v>44214</v>
      </c>
      <c r="M5" s="2" t="s">
        <v>148</v>
      </c>
      <c r="N5" s="2" t="s">
        <v>153</v>
      </c>
      <c r="O5" s="2">
        <v>100000</v>
      </c>
      <c r="P5" s="2">
        <v>2</v>
      </c>
      <c r="Q5" s="20">
        <f t="shared" ca="1" si="6"/>
        <v>44998</v>
      </c>
      <c r="R5" s="2">
        <f ca="1">Q5-L5</f>
        <v>784</v>
      </c>
      <c r="S5" s="2">
        <f t="shared" ca="1" si="7"/>
        <v>25.775342465753425</v>
      </c>
      <c r="T5" s="2">
        <f t="shared" ca="1" si="8"/>
        <v>25.8</v>
      </c>
      <c r="U5" s="2">
        <f ca="1">(O5*S5*P5) /100</f>
        <v>51550.684931506847</v>
      </c>
      <c r="V5" s="2">
        <f>24000+24000</f>
        <v>48000</v>
      </c>
      <c r="W5" s="20">
        <v>44975</v>
      </c>
      <c r="X5" s="143">
        <f t="shared" ca="1" si="9"/>
        <v>103550.68493150684</v>
      </c>
      <c r="Y5" s="60"/>
    </row>
    <row r="6" spans="1:25" x14ac:dyDescent="0.2">
      <c r="A6" s="2">
        <v>5</v>
      </c>
      <c r="B6" s="20">
        <v>44522</v>
      </c>
      <c r="C6" s="20" t="str">
        <f t="shared" si="0"/>
        <v>Nov</v>
      </c>
      <c r="D6" s="20" t="str">
        <f t="shared" si="1"/>
        <v>2021</v>
      </c>
      <c r="E6" s="20" t="s">
        <v>36</v>
      </c>
      <c r="F6" s="2" t="s">
        <v>125</v>
      </c>
      <c r="G6" s="2" t="s">
        <v>81</v>
      </c>
      <c r="H6" s="2">
        <v>2790</v>
      </c>
      <c r="I6" s="6"/>
      <c r="K6" s="2">
        <v>5</v>
      </c>
      <c r="L6" s="20">
        <v>44202</v>
      </c>
      <c r="M6" s="2" t="s">
        <v>148</v>
      </c>
      <c r="N6" s="2" t="s">
        <v>154</v>
      </c>
      <c r="O6" s="2">
        <v>100000</v>
      </c>
      <c r="P6" s="2">
        <v>2</v>
      </c>
      <c r="Q6" s="20">
        <f t="shared" ca="1" si="6"/>
        <v>44998</v>
      </c>
      <c r="R6" s="2">
        <f t="shared" ref="R6:R9" ca="1" si="10">Q6-L6</f>
        <v>796</v>
      </c>
      <c r="S6" s="2">
        <f t="shared" ca="1" si="7"/>
        <v>26.169863013698631</v>
      </c>
      <c r="T6" s="2">
        <f t="shared" ca="1" si="8"/>
        <v>26.2</v>
      </c>
      <c r="U6" s="2">
        <f t="shared" ref="U6:U9" ca="1" si="11">(O6*S6*P6) /100</f>
        <v>52339.726027397264</v>
      </c>
      <c r="V6" s="2">
        <v>148000</v>
      </c>
      <c r="W6" s="20">
        <v>44934</v>
      </c>
      <c r="X6" s="143">
        <f ca="1">(O6+U6-V6)*0</f>
        <v>0</v>
      </c>
      <c r="Y6" s="60" t="s">
        <v>387</v>
      </c>
    </row>
    <row r="7" spans="1:25" x14ac:dyDescent="0.2">
      <c r="A7" s="2">
        <v>6</v>
      </c>
      <c r="B7" s="20">
        <v>44530</v>
      </c>
      <c r="C7" s="20" t="str">
        <f t="shared" si="0"/>
        <v>Nov</v>
      </c>
      <c r="D7" s="20" t="str">
        <f t="shared" si="1"/>
        <v>2021</v>
      </c>
      <c r="E7" s="20" t="s">
        <v>36</v>
      </c>
      <c r="F7" s="2" t="s">
        <v>125</v>
      </c>
      <c r="G7" s="2" t="s">
        <v>126</v>
      </c>
      <c r="H7" s="2">
        <v>4100</v>
      </c>
      <c r="I7" s="6"/>
      <c r="K7" s="2">
        <v>6</v>
      </c>
      <c r="L7" s="20">
        <v>44226</v>
      </c>
      <c r="M7" s="2" t="s">
        <v>148</v>
      </c>
      <c r="N7" s="2" t="s">
        <v>155</v>
      </c>
      <c r="O7" s="2">
        <v>50000</v>
      </c>
      <c r="P7" s="2">
        <v>2</v>
      </c>
      <c r="Q7" s="20">
        <f t="shared" ca="1" si="6"/>
        <v>44998</v>
      </c>
      <c r="R7" s="2">
        <f t="shared" ca="1" si="10"/>
        <v>772</v>
      </c>
      <c r="S7" s="2">
        <f t="shared" ca="1" si="7"/>
        <v>25.38082191780822</v>
      </c>
      <c r="T7" s="2">
        <f t="shared" ca="1" si="8"/>
        <v>25.4</v>
      </c>
      <c r="U7" s="2">
        <f t="shared" ca="1" si="11"/>
        <v>25380.821917808218</v>
      </c>
      <c r="V7" s="2">
        <v>12000</v>
      </c>
      <c r="W7" s="20">
        <v>44587</v>
      </c>
      <c r="X7" s="143">
        <f t="shared" ca="1" si="9"/>
        <v>63380.821917808222</v>
      </c>
      <c r="Y7" s="60"/>
    </row>
    <row r="8" spans="1:25" x14ac:dyDescent="0.2">
      <c r="A8" s="11">
        <v>7</v>
      </c>
      <c r="B8" s="27">
        <v>44530</v>
      </c>
      <c r="C8" s="20" t="str">
        <f t="shared" si="0"/>
        <v>Nov</v>
      </c>
      <c r="D8" s="20" t="str">
        <f t="shared" si="1"/>
        <v>2021</v>
      </c>
      <c r="E8" s="11" t="s">
        <v>127</v>
      </c>
      <c r="F8" s="36" t="s">
        <v>128</v>
      </c>
      <c r="G8" s="11" t="s">
        <v>129</v>
      </c>
      <c r="H8" s="11">
        <v>43960</v>
      </c>
      <c r="I8" s="6"/>
      <c r="K8" s="2">
        <v>7</v>
      </c>
      <c r="L8" s="20">
        <v>44236</v>
      </c>
      <c r="M8" s="2" t="s">
        <v>148</v>
      </c>
      <c r="N8" s="2" t="s">
        <v>150</v>
      </c>
      <c r="O8" s="2">
        <v>50000</v>
      </c>
      <c r="P8" s="2">
        <v>2</v>
      </c>
      <c r="Q8" s="20">
        <f t="shared" ca="1" si="6"/>
        <v>44998</v>
      </c>
      <c r="R8" s="2">
        <f t="shared" ca="1" si="10"/>
        <v>762</v>
      </c>
      <c r="S8" s="2">
        <f t="shared" ca="1" si="7"/>
        <v>25.052054794520551</v>
      </c>
      <c r="T8" s="2">
        <f t="shared" ca="1" si="8"/>
        <v>25.1</v>
      </c>
      <c r="U8" s="2">
        <f t="shared" ca="1" si="11"/>
        <v>25052.054794520551</v>
      </c>
      <c r="V8" s="2">
        <f>12000+12000</f>
        <v>24000</v>
      </c>
      <c r="W8" s="20">
        <v>44981</v>
      </c>
      <c r="X8" s="143">
        <f t="shared" ca="1" si="9"/>
        <v>51052.054794520547</v>
      </c>
      <c r="Y8" s="60"/>
    </row>
    <row r="9" spans="1:25" x14ac:dyDescent="0.2">
      <c r="A9" s="11">
        <v>8</v>
      </c>
      <c r="B9" s="27">
        <v>44530</v>
      </c>
      <c r="C9" s="20" t="str">
        <f t="shared" si="0"/>
        <v>Nov</v>
      </c>
      <c r="D9" s="20" t="str">
        <f t="shared" si="1"/>
        <v>2021</v>
      </c>
      <c r="E9" s="20" t="s">
        <v>36</v>
      </c>
      <c r="F9" s="11" t="s">
        <v>125</v>
      </c>
      <c r="G9" s="11" t="s">
        <v>134</v>
      </c>
      <c r="H9" s="11">
        <v>25000</v>
      </c>
      <c r="I9" s="6"/>
      <c r="K9" s="2">
        <v>8</v>
      </c>
      <c r="L9" s="20">
        <v>44227</v>
      </c>
      <c r="M9" s="2" t="s">
        <v>148</v>
      </c>
      <c r="N9" s="2" t="s">
        <v>156</v>
      </c>
      <c r="O9" s="2">
        <v>50000</v>
      </c>
      <c r="P9" s="2">
        <v>2</v>
      </c>
      <c r="Q9" s="20">
        <f t="shared" ca="1" si="6"/>
        <v>44998</v>
      </c>
      <c r="R9" s="2">
        <f t="shared" ca="1" si="10"/>
        <v>771</v>
      </c>
      <c r="S9" s="2">
        <f t="shared" ca="1" si="7"/>
        <v>25.347945205479455</v>
      </c>
      <c r="T9" s="2">
        <f t="shared" ca="1" si="8"/>
        <v>25.3</v>
      </c>
      <c r="U9" s="2">
        <f t="shared" ca="1" si="11"/>
        <v>25347.945205479456</v>
      </c>
      <c r="V9" s="2">
        <f>12000+61000</f>
        <v>73000</v>
      </c>
      <c r="W9" s="20">
        <v>44934</v>
      </c>
      <c r="X9" s="143">
        <f ca="1">(O9+U9-V9)*0</f>
        <v>0</v>
      </c>
      <c r="Y9" s="60" t="s">
        <v>387</v>
      </c>
    </row>
    <row r="10" spans="1:25" x14ac:dyDescent="0.2">
      <c r="A10" s="11">
        <v>9</v>
      </c>
      <c r="B10" s="27">
        <v>44530</v>
      </c>
      <c r="C10" s="20" t="str">
        <f t="shared" si="0"/>
        <v>Nov</v>
      </c>
      <c r="D10" s="20" t="str">
        <f t="shared" si="1"/>
        <v>2021</v>
      </c>
      <c r="E10" s="20" t="s">
        <v>36</v>
      </c>
      <c r="F10" s="11" t="s">
        <v>125</v>
      </c>
      <c r="G10" s="11" t="s">
        <v>135</v>
      </c>
      <c r="H10" s="11">
        <v>8000</v>
      </c>
      <c r="I10" s="6"/>
      <c r="K10" s="2">
        <v>9</v>
      </c>
      <c r="L10" s="20">
        <v>44513</v>
      </c>
      <c r="M10" s="2" t="s">
        <v>148</v>
      </c>
      <c r="N10" s="2" t="s">
        <v>157</v>
      </c>
      <c r="O10" s="2">
        <v>100000</v>
      </c>
      <c r="P10" s="2">
        <v>2</v>
      </c>
      <c r="Q10" s="20">
        <f t="shared" ca="1" si="6"/>
        <v>44998</v>
      </c>
      <c r="R10" s="2">
        <f ca="1">Q10-L10</f>
        <v>485</v>
      </c>
      <c r="S10" s="2">
        <f t="shared" ca="1" si="7"/>
        <v>15.945205479452055</v>
      </c>
      <c r="T10" s="2">
        <f t="shared" ca="1" si="8"/>
        <v>15.9</v>
      </c>
      <c r="U10" s="2">
        <f ca="1">(O10*S10*P10) /100</f>
        <v>31890.410958904107</v>
      </c>
      <c r="V10" s="2">
        <v>24000</v>
      </c>
      <c r="W10" s="20">
        <v>44882</v>
      </c>
      <c r="X10" s="143">
        <f t="shared" ca="1" si="9"/>
        <v>107890.4109589041</v>
      </c>
      <c r="Y10" s="60"/>
    </row>
    <row r="11" spans="1:25" x14ac:dyDescent="0.2">
      <c r="A11" s="11">
        <v>10</v>
      </c>
      <c r="B11" s="27">
        <v>44530</v>
      </c>
      <c r="C11" s="20" t="str">
        <f t="shared" si="0"/>
        <v>Nov</v>
      </c>
      <c r="D11" s="20" t="str">
        <f t="shared" si="1"/>
        <v>2021</v>
      </c>
      <c r="E11" s="20" t="s">
        <v>36</v>
      </c>
      <c r="F11" s="11" t="s">
        <v>125</v>
      </c>
      <c r="G11" s="11" t="s">
        <v>136</v>
      </c>
      <c r="H11" s="11">
        <v>5000</v>
      </c>
      <c r="I11" s="6"/>
      <c r="K11" s="2">
        <v>10</v>
      </c>
      <c r="L11" s="20">
        <v>44159</v>
      </c>
      <c r="M11" s="2" t="s">
        <v>148</v>
      </c>
      <c r="N11" s="2" t="s">
        <v>166</v>
      </c>
      <c r="O11" s="2">
        <v>200000</v>
      </c>
      <c r="P11" s="2">
        <v>0.5</v>
      </c>
      <c r="Q11" s="20">
        <f t="shared" ca="1" si="6"/>
        <v>44998</v>
      </c>
      <c r="R11" s="2">
        <f ca="1">Q11-L11</f>
        <v>839</v>
      </c>
      <c r="S11" s="2">
        <f t="shared" ca="1" si="7"/>
        <v>27.583561643835619</v>
      </c>
      <c r="T11" s="2">
        <f t="shared" ca="1" si="8"/>
        <v>27.6</v>
      </c>
      <c r="U11" s="2">
        <f ca="1">(O11*S11*P11) /100</f>
        <v>27583.561643835619</v>
      </c>
      <c r="V11" s="55"/>
      <c r="W11" s="55"/>
      <c r="X11" s="143">
        <f t="shared" ref="X11:X15" ca="1" si="12">O11+U11-V11</f>
        <v>227583.56164383562</v>
      </c>
      <c r="Y11" s="60"/>
    </row>
    <row r="12" spans="1:25" x14ac:dyDescent="0.2">
      <c r="A12" s="11">
        <v>12</v>
      </c>
      <c r="B12" s="27">
        <v>44530</v>
      </c>
      <c r="C12" s="20" t="str">
        <f t="shared" si="0"/>
        <v>Nov</v>
      </c>
      <c r="D12" s="20" t="str">
        <f t="shared" si="1"/>
        <v>2021</v>
      </c>
      <c r="E12" s="20" t="s">
        <v>36</v>
      </c>
      <c r="F12" s="11" t="s">
        <v>137</v>
      </c>
      <c r="G12" s="11" t="s">
        <v>139</v>
      </c>
      <c r="H12" s="11">
        <v>1000</v>
      </c>
      <c r="I12" s="6"/>
      <c r="K12" s="2">
        <v>11</v>
      </c>
      <c r="L12" s="20">
        <v>44888</v>
      </c>
      <c r="M12" s="2" t="s">
        <v>148</v>
      </c>
      <c r="N12" s="2" t="s">
        <v>168</v>
      </c>
      <c r="O12" s="2">
        <v>100000</v>
      </c>
      <c r="P12" s="2">
        <v>2</v>
      </c>
      <c r="Q12" s="20">
        <f t="shared" ca="1" si="6"/>
        <v>44998</v>
      </c>
      <c r="R12" s="2">
        <f t="shared" ref="R12:R13" ca="1" si="13">Q12-L12</f>
        <v>110</v>
      </c>
      <c r="S12" s="2">
        <f t="shared" ref="S12:S13" ca="1" si="14">(R12/365)*12</f>
        <v>3.6164383561643834</v>
      </c>
      <c r="T12" s="2">
        <f t="shared" ca="1" si="8"/>
        <v>3.6</v>
      </c>
      <c r="U12" s="2">
        <f t="shared" ref="U12:U13" ca="1" si="15">(O12*S12*P12) /100</f>
        <v>7232.8767123287671</v>
      </c>
      <c r="V12" s="55"/>
      <c r="W12" s="158"/>
      <c r="X12" s="143">
        <f ca="1">O12+U12-V12</f>
        <v>107232.87671232877</v>
      </c>
      <c r="Y12" s="60"/>
    </row>
    <row r="13" spans="1:25" x14ac:dyDescent="0.2">
      <c r="A13" s="11">
        <v>13</v>
      </c>
      <c r="B13" s="27">
        <v>44530</v>
      </c>
      <c r="C13" s="20" t="str">
        <f t="shared" si="0"/>
        <v>Nov</v>
      </c>
      <c r="D13" s="20" t="str">
        <f t="shared" si="1"/>
        <v>2021</v>
      </c>
      <c r="E13" s="20" t="s">
        <v>36</v>
      </c>
      <c r="F13" s="11" t="s">
        <v>137</v>
      </c>
      <c r="G13" s="11" t="s">
        <v>134</v>
      </c>
      <c r="H13" s="11">
        <v>2400</v>
      </c>
      <c r="I13" s="6"/>
      <c r="K13" s="2">
        <v>12</v>
      </c>
      <c r="L13" s="20">
        <v>44552</v>
      </c>
      <c r="M13" s="2" t="s">
        <v>148</v>
      </c>
      <c r="N13" s="2" t="s">
        <v>171</v>
      </c>
      <c r="O13" s="2">
        <v>100000</v>
      </c>
      <c r="P13" s="2">
        <v>0.5</v>
      </c>
      <c r="Q13" s="20">
        <f t="shared" ca="1" si="6"/>
        <v>44998</v>
      </c>
      <c r="R13" s="2">
        <f t="shared" ca="1" si="13"/>
        <v>446</v>
      </c>
      <c r="S13" s="2">
        <f t="shared" ca="1" si="14"/>
        <v>14.663013698630138</v>
      </c>
      <c r="T13" s="2">
        <f t="shared" ca="1" si="8"/>
        <v>14.7</v>
      </c>
      <c r="U13" s="2">
        <f t="shared" ca="1" si="15"/>
        <v>7331.5068493150684</v>
      </c>
      <c r="V13" s="55"/>
      <c r="W13" s="55"/>
      <c r="X13" s="143">
        <f t="shared" ca="1" si="12"/>
        <v>107331.50684931508</v>
      </c>
      <c r="Y13" s="60"/>
    </row>
    <row r="14" spans="1:25" x14ac:dyDescent="0.2">
      <c r="A14" s="11">
        <v>14</v>
      </c>
      <c r="B14" s="27">
        <v>44530</v>
      </c>
      <c r="C14" s="20" t="str">
        <f t="shared" si="0"/>
        <v>Nov</v>
      </c>
      <c r="D14" s="20" t="str">
        <f t="shared" si="1"/>
        <v>2021</v>
      </c>
      <c r="E14" s="20" t="s">
        <v>36</v>
      </c>
      <c r="F14" s="11" t="s">
        <v>137</v>
      </c>
      <c r="G14" s="11" t="s">
        <v>140</v>
      </c>
      <c r="H14" s="11">
        <v>400</v>
      </c>
      <c r="I14" s="6"/>
      <c r="K14" s="2">
        <v>13</v>
      </c>
      <c r="L14" s="20">
        <v>44645</v>
      </c>
      <c r="M14" s="2" t="s">
        <v>148</v>
      </c>
      <c r="N14" s="2" t="s">
        <v>207</v>
      </c>
      <c r="O14" s="2">
        <v>200000</v>
      </c>
      <c r="P14" s="2">
        <v>0</v>
      </c>
      <c r="Q14" s="20">
        <f t="shared" ca="1" si="6"/>
        <v>44998</v>
      </c>
      <c r="R14" s="2">
        <f t="shared" ref="R14" ca="1" si="16">Q14-L14</f>
        <v>353</v>
      </c>
      <c r="S14" s="2">
        <f t="shared" ref="S14" ca="1" si="17">(R14/365)*12</f>
        <v>11.605479452054794</v>
      </c>
      <c r="T14" s="2">
        <f t="shared" ca="1" si="8"/>
        <v>11.6</v>
      </c>
      <c r="U14" s="2">
        <f t="shared" ref="U14" ca="1" si="18">(O14*S14*P14) /100</f>
        <v>0</v>
      </c>
      <c r="V14" s="55">
        <v>100000</v>
      </c>
      <c r="W14" s="158">
        <v>44998</v>
      </c>
      <c r="X14" s="143">
        <f t="shared" ca="1" si="12"/>
        <v>100000</v>
      </c>
      <c r="Y14" s="60"/>
    </row>
    <row r="15" spans="1:25" x14ac:dyDescent="0.2">
      <c r="A15" s="11">
        <v>15</v>
      </c>
      <c r="B15" s="27">
        <v>44530</v>
      </c>
      <c r="C15" s="20" t="str">
        <f t="shared" si="0"/>
        <v>Nov</v>
      </c>
      <c r="D15" s="20" t="str">
        <f t="shared" si="1"/>
        <v>2021</v>
      </c>
      <c r="E15" s="20" t="s">
        <v>36</v>
      </c>
      <c r="F15" s="11" t="s">
        <v>141</v>
      </c>
      <c r="G15" s="11" t="s">
        <v>138</v>
      </c>
      <c r="H15" s="11">
        <v>19000</v>
      </c>
      <c r="I15" s="6"/>
      <c r="K15" s="2">
        <v>14</v>
      </c>
      <c r="L15" s="20">
        <v>44651</v>
      </c>
      <c r="M15" s="2" t="s">
        <v>148</v>
      </c>
      <c r="N15" s="2" t="s">
        <v>166</v>
      </c>
      <c r="O15" s="2">
        <v>75000</v>
      </c>
      <c r="P15" s="2">
        <v>0.5</v>
      </c>
      <c r="Q15" s="20">
        <f t="shared" ca="1" si="6"/>
        <v>44998</v>
      </c>
      <c r="R15" s="2">
        <f t="shared" ref="R15" ca="1" si="19">Q15-L15</f>
        <v>347</v>
      </c>
      <c r="S15" s="2">
        <f t="shared" ref="S15" ca="1" si="20">(R15/365)*12</f>
        <v>11.408219178082192</v>
      </c>
      <c r="T15" s="2">
        <f t="shared" ca="1" si="8"/>
        <v>11.4</v>
      </c>
      <c r="U15" s="2">
        <f t="shared" ref="U15" ca="1" si="21">(O15*S15*P15) /100</f>
        <v>4278.0821917808216</v>
      </c>
      <c r="V15" s="55"/>
      <c r="W15" s="55"/>
      <c r="X15" s="143">
        <f t="shared" ca="1" si="12"/>
        <v>79278.082191780821</v>
      </c>
      <c r="Y15" s="60"/>
    </row>
    <row r="16" spans="1:25" x14ac:dyDescent="0.2">
      <c r="A16" s="11">
        <v>16</v>
      </c>
      <c r="B16" s="27">
        <v>44530</v>
      </c>
      <c r="C16" s="20" t="str">
        <f t="shared" si="0"/>
        <v>Nov</v>
      </c>
      <c r="D16" s="20" t="str">
        <f t="shared" si="1"/>
        <v>2021</v>
      </c>
      <c r="E16" s="20" t="s">
        <v>36</v>
      </c>
      <c r="F16" s="11" t="s">
        <v>141</v>
      </c>
      <c r="G16" s="11" t="s">
        <v>134</v>
      </c>
      <c r="H16" s="11">
        <v>7000</v>
      </c>
      <c r="I16" s="6"/>
      <c r="K16" s="2">
        <v>15</v>
      </c>
      <c r="L16" s="20">
        <v>44667</v>
      </c>
      <c r="M16" s="2" t="s">
        <v>148</v>
      </c>
      <c r="N16" s="2" t="s">
        <v>156</v>
      </c>
      <c r="O16" s="2">
        <v>100000</v>
      </c>
      <c r="P16" s="2">
        <v>2</v>
      </c>
      <c r="Q16" s="20">
        <f t="shared" ca="1" si="6"/>
        <v>44998</v>
      </c>
      <c r="R16" s="2">
        <f ca="1">Q16-L16</f>
        <v>331</v>
      </c>
      <c r="S16" s="2">
        <f ca="1">(R16/365)*12</f>
        <v>10.882191780821918</v>
      </c>
      <c r="T16" s="2">
        <f t="shared" ca="1" si="8"/>
        <v>10.9</v>
      </c>
      <c r="U16" s="2">
        <f ca="1">(O16*S16*P16) /100</f>
        <v>21764.383561643837</v>
      </c>
      <c r="V16" s="55"/>
      <c r="W16" s="55"/>
      <c r="X16" s="143">
        <f ca="1">O16+U16-V16</f>
        <v>121764.38356164383</v>
      </c>
      <c r="Y16" s="60"/>
    </row>
    <row r="17" spans="1:25" x14ac:dyDescent="0.2">
      <c r="A17" s="11">
        <v>17</v>
      </c>
      <c r="B17" s="27">
        <v>44530</v>
      </c>
      <c r="C17" s="20" t="str">
        <f t="shared" si="0"/>
        <v>Nov</v>
      </c>
      <c r="D17" s="20" t="str">
        <f t="shared" si="1"/>
        <v>2021</v>
      </c>
      <c r="E17" s="20" t="s">
        <v>36</v>
      </c>
      <c r="F17" s="11" t="s">
        <v>141</v>
      </c>
      <c r="G17" s="11" t="s">
        <v>139</v>
      </c>
      <c r="H17" s="11">
        <v>1000</v>
      </c>
      <c r="I17" s="6"/>
      <c r="K17" s="2">
        <v>16</v>
      </c>
      <c r="L17" s="20">
        <v>44678</v>
      </c>
      <c r="M17" s="2" t="s">
        <v>148</v>
      </c>
      <c r="N17" s="2" t="s">
        <v>161</v>
      </c>
      <c r="O17" s="2">
        <v>100000</v>
      </c>
      <c r="P17" s="2">
        <v>1.5</v>
      </c>
      <c r="Q17" s="20">
        <f t="shared" ca="1" si="6"/>
        <v>44998</v>
      </c>
      <c r="R17" s="2">
        <f ca="1">Q17-L17</f>
        <v>320</v>
      </c>
      <c r="S17" s="2">
        <f ca="1">(R17/365)*12</f>
        <v>10.520547945205479</v>
      </c>
      <c r="T17" s="2">
        <f t="shared" ca="1" si="8"/>
        <v>10.5</v>
      </c>
      <c r="U17" s="2">
        <f ca="1">(O17*S17*P17) /100</f>
        <v>15780.821917808218</v>
      </c>
      <c r="V17" s="55">
        <f>1500+112210</f>
        <v>113710</v>
      </c>
      <c r="W17" s="55"/>
      <c r="X17" s="143">
        <f ca="1">(O17+U17-V17)*0</f>
        <v>0</v>
      </c>
      <c r="Y17" s="60" t="s">
        <v>387</v>
      </c>
    </row>
    <row r="18" spans="1:25" x14ac:dyDescent="0.2">
      <c r="A18" s="11">
        <v>18</v>
      </c>
      <c r="B18" s="27">
        <v>44530</v>
      </c>
      <c r="C18" s="20" t="str">
        <f t="shared" si="0"/>
        <v>Nov</v>
      </c>
      <c r="D18" s="20" t="str">
        <f t="shared" si="1"/>
        <v>2021</v>
      </c>
      <c r="E18" s="11" t="s">
        <v>127</v>
      </c>
      <c r="F18" s="11" t="s">
        <v>141</v>
      </c>
      <c r="G18" s="11" t="s">
        <v>144</v>
      </c>
      <c r="H18" s="11">
        <v>13000</v>
      </c>
      <c r="I18" s="6"/>
      <c r="K18" s="2">
        <v>17</v>
      </c>
      <c r="L18" s="20">
        <v>44713</v>
      </c>
      <c r="M18" s="2" t="s">
        <v>148</v>
      </c>
      <c r="N18" s="2" t="s">
        <v>285</v>
      </c>
      <c r="O18" s="2">
        <v>10000</v>
      </c>
      <c r="P18" s="2">
        <v>2</v>
      </c>
      <c r="Q18" s="20">
        <f t="shared" ca="1" si="6"/>
        <v>44998</v>
      </c>
      <c r="R18" s="2">
        <f ca="1">Q18-L18</f>
        <v>285</v>
      </c>
      <c r="S18" s="2">
        <f ca="1">(R18/365)*12</f>
        <v>9.3698630136986303</v>
      </c>
      <c r="T18" s="2">
        <f t="shared" ca="1" si="8"/>
        <v>9.4</v>
      </c>
      <c r="U18" s="2">
        <f ca="1">(O18*S18*P18) /100</f>
        <v>1873.9726027397262</v>
      </c>
      <c r="V18" s="55">
        <v>600</v>
      </c>
      <c r="W18" s="55"/>
      <c r="X18" s="143">
        <f ca="1">O18+U18-V18</f>
        <v>11273.972602739726</v>
      </c>
      <c r="Y18" s="60"/>
    </row>
    <row r="19" spans="1:25" x14ac:dyDescent="0.2">
      <c r="A19" s="11">
        <v>19</v>
      </c>
      <c r="B19" s="27">
        <v>44538</v>
      </c>
      <c r="C19" s="20" t="str">
        <f t="shared" si="0"/>
        <v>Dec</v>
      </c>
      <c r="D19" s="20" t="str">
        <f t="shared" si="1"/>
        <v>2021</v>
      </c>
      <c r="E19" s="11" t="s">
        <v>127</v>
      </c>
      <c r="F19" s="11" t="s">
        <v>137</v>
      </c>
      <c r="G19" s="11" t="s">
        <v>144</v>
      </c>
      <c r="H19" s="11">
        <v>3960</v>
      </c>
      <c r="I19" s="6"/>
      <c r="K19" s="2">
        <v>18</v>
      </c>
      <c r="L19" s="20">
        <v>44859</v>
      </c>
      <c r="M19" s="2" t="s">
        <v>148</v>
      </c>
      <c r="N19" s="2" t="s">
        <v>348</v>
      </c>
      <c r="O19" s="2">
        <v>100000</v>
      </c>
      <c r="P19" s="2">
        <v>0</v>
      </c>
      <c r="Q19" s="20">
        <f t="shared" ca="1" si="6"/>
        <v>44998</v>
      </c>
      <c r="R19" s="2">
        <f ca="1">Q19-L19</f>
        <v>139</v>
      </c>
      <c r="S19" s="2">
        <f ca="1">(R19/365)*12</f>
        <v>4.5698630136986296</v>
      </c>
      <c r="T19" s="2">
        <f t="shared" ref="T19" ca="1" si="22">ROUND(S19,1)</f>
        <v>4.5999999999999996</v>
      </c>
      <c r="U19" s="2">
        <f ca="1">(O19*S19*P19) /100</f>
        <v>0</v>
      </c>
      <c r="V19" s="55">
        <v>100000</v>
      </c>
      <c r="W19" s="158">
        <v>44988</v>
      </c>
      <c r="X19" s="143">
        <f ca="1">O19+U19-V19</f>
        <v>0</v>
      </c>
      <c r="Y19" s="60" t="s">
        <v>387</v>
      </c>
    </row>
    <row r="20" spans="1:25" x14ac:dyDescent="0.2">
      <c r="A20" s="11">
        <v>20</v>
      </c>
      <c r="B20" s="27">
        <v>44538</v>
      </c>
      <c r="C20" s="20" t="str">
        <f t="shared" si="0"/>
        <v>Dec</v>
      </c>
      <c r="D20" s="20" t="str">
        <f t="shared" si="1"/>
        <v>2021</v>
      </c>
      <c r="E20" s="20" t="s">
        <v>36</v>
      </c>
      <c r="F20" s="11" t="s">
        <v>137</v>
      </c>
      <c r="G20" s="11" t="s">
        <v>167</v>
      </c>
      <c r="H20" s="11">
        <v>500</v>
      </c>
      <c r="I20" s="6"/>
      <c r="K20" s="2">
        <v>18</v>
      </c>
      <c r="L20" s="20">
        <v>44915</v>
      </c>
      <c r="M20" s="2" t="s">
        <v>148</v>
      </c>
      <c r="N20" s="2" t="s">
        <v>381</v>
      </c>
      <c r="O20" s="2">
        <v>50000</v>
      </c>
      <c r="P20" s="2">
        <v>2</v>
      </c>
      <c r="Q20" s="20">
        <f t="shared" ca="1" si="6"/>
        <v>44998</v>
      </c>
      <c r="R20" s="2">
        <f ca="1">Q20-L20</f>
        <v>83</v>
      </c>
      <c r="S20" s="2">
        <f ca="1">(R20/365)*12</f>
        <v>2.7287671232876711</v>
      </c>
      <c r="T20" s="2">
        <f t="shared" ref="T20" ca="1" si="23">ROUND(S20,1)</f>
        <v>2.7</v>
      </c>
      <c r="U20" s="2">
        <f ca="1">(O20*S20*P20) /100</f>
        <v>2728.767123287671</v>
      </c>
      <c r="V20" s="55"/>
      <c r="W20" s="55"/>
      <c r="X20" s="143">
        <f ca="1">O20+U20-V20</f>
        <v>52728.767123287675</v>
      </c>
      <c r="Y20" s="60"/>
    </row>
    <row r="21" spans="1:25" x14ac:dyDescent="0.2">
      <c r="A21" s="11">
        <v>21</v>
      </c>
      <c r="B21" s="27">
        <v>44501</v>
      </c>
      <c r="C21" s="20" t="str">
        <f t="shared" si="0"/>
        <v>Nov</v>
      </c>
      <c r="D21" s="20" t="str">
        <f t="shared" si="1"/>
        <v>2021</v>
      </c>
      <c r="E21" s="20" t="s">
        <v>36</v>
      </c>
      <c r="F21" s="11" t="s">
        <v>125</v>
      </c>
      <c r="G21" s="11" t="s">
        <v>81</v>
      </c>
      <c r="H21" s="11">
        <v>800</v>
      </c>
      <c r="I21" s="6"/>
      <c r="K21" s="2">
        <v>20</v>
      </c>
      <c r="L21" s="20"/>
      <c r="M21" s="2"/>
      <c r="N21" s="2"/>
      <c r="O21" s="2"/>
      <c r="P21" s="2"/>
      <c r="Q21" s="20"/>
      <c r="R21" s="2"/>
      <c r="S21" s="2"/>
      <c r="T21" s="2"/>
      <c r="U21" s="2"/>
      <c r="V21" s="55"/>
      <c r="W21" s="55"/>
      <c r="X21" s="2"/>
    </row>
    <row r="22" spans="1:25" x14ac:dyDescent="0.2">
      <c r="A22" s="2">
        <v>22</v>
      </c>
      <c r="B22" s="20">
        <v>44509</v>
      </c>
      <c r="C22" s="20" t="str">
        <f t="shared" si="0"/>
        <v>Nov</v>
      </c>
      <c r="D22" s="20" t="str">
        <f t="shared" si="1"/>
        <v>2021</v>
      </c>
      <c r="E22" s="20" t="s">
        <v>36</v>
      </c>
      <c r="F22" s="2" t="s">
        <v>125</v>
      </c>
      <c r="G22" s="2" t="s">
        <v>126</v>
      </c>
      <c r="H22" s="2">
        <v>2420</v>
      </c>
      <c r="I22" s="6"/>
      <c r="K22" s="2">
        <v>21</v>
      </c>
      <c r="L22" s="20"/>
      <c r="M22" s="2"/>
      <c r="N22" s="2"/>
      <c r="O22" s="2"/>
      <c r="P22" s="2"/>
      <c r="Q22" s="20"/>
      <c r="R22" s="2"/>
      <c r="S22" s="2"/>
      <c r="T22" s="2"/>
      <c r="U22" s="2"/>
      <c r="V22" s="55"/>
      <c r="W22" s="55"/>
      <c r="X22" s="2"/>
    </row>
    <row r="23" spans="1:25" x14ac:dyDescent="0.2">
      <c r="A23" s="2">
        <v>23</v>
      </c>
      <c r="B23" s="20">
        <v>44513</v>
      </c>
      <c r="C23" s="20" t="str">
        <f t="shared" si="0"/>
        <v>Nov</v>
      </c>
      <c r="D23" s="20" t="str">
        <f t="shared" si="1"/>
        <v>2021</v>
      </c>
      <c r="E23" s="20" t="s">
        <v>36</v>
      </c>
      <c r="F23" s="2" t="s">
        <v>125</v>
      </c>
      <c r="G23" s="2" t="s">
        <v>81</v>
      </c>
      <c r="H23" s="2">
        <v>400</v>
      </c>
      <c r="I23" s="6"/>
      <c r="K23" s="2">
        <v>22</v>
      </c>
      <c r="L23" s="20"/>
      <c r="M23" s="2"/>
      <c r="N23" s="2"/>
      <c r="O23" s="2"/>
      <c r="P23" s="2"/>
      <c r="Q23" s="20"/>
      <c r="R23" s="2"/>
      <c r="S23" s="2"/>
      <c r="T23" s="2"/>
      <c r="U23" s="2"/>
      <c r="V23" s="55"/>
      <c r="W23" s="55"/>
      <c r="X23" s="2"/>
    </row>
    <row r="24" spans="1:25" x14ac:dyDescent="0.2">
      <c r="A24" s="2">
        <v>24</v>
      </c>
      <c r="B24" s="20">
        <v>44515</v>
      </c>
      <c r="C24" s="20" t="str">
        <f t="shared" si="0"/>
        <v>Nov</v>
      </c>
      <c r="D24" s="20" t="str">
        <f t="shared" si="1"/>
        <v>2021</v>
      </c>
      <c r="E24" s="20" t="s">
        <v>36</v>
      </c>
      <c r="F24" s="2" t="s">
        <v>125</v>
      </c>
      <c r="G24" s="2" t="s">
        <v>139</v>
      </c>
      <c r="H24" s="2">
        <v>900</v>
      </c>
      <c r="I24" s="6"/>
    </row>
    <row r="25" spans="1:25" x14ac:dyDescent="0.2">
      <c r="A25" s="2">
        <v>25</v>
      </c>
      <c r="B25" s="20">
        <v>44516</v>
      </c>
      <c r="C25" s="20" t="str">
        <f t="shared" si="0"/>
        <v>Nov</v>
      </c>
      <c r="D25" s="20" t="str">
        <f t="shared" si="1"/>
        <v>2021</v>
      </c>
      <c r="E25" s="20" t="s">
        <v>36</v>
      </c>
      <c r="F25" s="2" t="s">
        <v>125</v>
      </c>
      <c r="G25" s="2" t="s">
        <v>81</v>
      </c>
      <c r="H25" s="2">
        <v>360</v>
      </c>
      <c r="I25" s="6"/>
    </row>
    <row r="26" spans="1:25" x14ac:dyDescent="0.2">
      <c r="A26" s="2">
        <f>SUM(A25,1)</f>
        <v>26</v>
      </c>
      <c r="B26" s="20">
        <v>44517</v>
      </c>
      <c r="C26" s="20" t="str">
        <f t="shared" si="0"/>
        <v>Nov</v>
      </c>
      <c r="D26" s="20" t="str">
        <f t="shared" si="1"/>
        <v>2021</v>
      </c>
      <c r="E26" s="20" t="s">
        <v>36</v>
      </c>
      <c r="F26" s="2" t="s">
        <v>169</v>
      </c>
      <c r="G26" s="2" t="s">
        <v>170</v>
      </c>
      <c r="H26" s="2">
        <v>4550</v>
      </c>
      <c r="I26" s="6"/>
      <c r="O26" s="54"/>
      <c r="P26" s="51"/>
    </row>
    <row r="27" spans="1:25" x14ac:dyDescent="0.2">
      <c r="A27" s="2">
        <v>27</v>
      </c>
      <c r="B27" s="20">
        <v>44552</v>
      </c>
      <c r="C27" s="20" t="str">
        <f t="shared" si="0"/>
        <v>Dec</v>
      </c>
      <c r="D27" s="20" t="str">
        <f t="shared" si="1"/>
        <v>2021</v>
      </c>
      <c r="E27" s="20" t="s">
        <v>36</v>
      </c>
      <c r="F27" s="2" t="s">
        <v>125</v>
      </c>
      <c r="G27" s="2" t="s">
        <v>81</v>
      </c>
      <c r="H27" s="2">
        <v>200</v>
      </c>
      <c r="I27" s="6"/>
      <c r="O27" s="54" t="s">
        <v>158</v>
      </c>
      <c r="P27" s="51">
        <f ca="1">SUMIF(M2:M23,"Debt",X2:X23)</f>
        <v>1185105.4794520549</v>
      </c>
    </row>
    <row r="28" spans="1:25" x14ac:dyDescent="0.2">
      <c r="A28" s="2">
        <v>28</v>
      </c>
      <c r="B28" s="20">
        <v>44560</v>
      </c>
      <c r="C28" s="20" t="str">
        <f t="shared" si="0"/>
        <v>Dec</v>
      </c>
      <c r="D28" s="20" t="str">
        <f t="shared" si="1"/>
        <v>2021</v>
      </c>
      <c r="E28" s="20" t="s">
        <v>36</v>
      </c>
      <c r="F28" s="2" t="s">
        <v>125</v>
      </c>
      <c r="G28" s="2" t="s">
        <v>126</v>
      </c>
      <c r="H28" s="2">
        <v>2000</v>
      </c>
      <c r="I28" s="6"/>
      <c r="O28" s="52" t="s">
        <v>159</v>
      </c>
      <c r="P28" s="53">
        <f>SUMIF(M2:M30,"Gave",X2:X30)</f>
        <v>0</v>
      </c>
    </row>
    <row r="29" spans="1:25" x14ac:dyDescent="0.2">
      <c r="A29" s="2">
        <v>29</v>
      </c>
      <c r="B29" s="20">
        <v>44560</v>
      </c>
      <c r="C29" s="20" t="str">
        <f t="shared" si="0"/>
        <v>Dec</v>
      </c>
      <c r="D29" s="20" t="str">
        <f t="shared" si="1"/>
        <v>2021</v>
      </c>
      <c r="E29" s="20" t="s">
        <v>36</v>
      </c>
      <c r="F29" s="2" t="s">
        <v>180</v>
      </c>
      <c r="G29" s="2" t="s">
        <v>181</v>
      </c>
      <c r="H29" s="2">
        <v>2700</v>
      </c>
      <c r="I29" s="6"/>
      <c r="O29" s="3"/>
      <c r="P29" s="3"/>
    </row>
    <row r="30" spans="1:25" x14ac:dyDescent="0.2">
      <c r="A30" s="2">
        <v>30</v>
      </c>
      <c r="B30" s="20">
        <v>44560</v>
      </c>
      <c r="C30" s="20" t="str">
        <f t="shared" si="0"/>
        <v>Dec</v>
      </c>
      <c r="D30" s="20" t="str">
        <f t="shared" si="1"/>
        <v>2021</v>
      </c>
      <c r="E30" s="20" t="s">
        <v>36</v>
      </c>
      <c r="F30" s="2" t="s">
        <v>125</v>
      </c>
      <c r="G30" s="2" t="s">
        <v>81</v>
      </c>
      <c r="H30" s="2">
        <v>200</v>
      </c>
      <c r="I30" s="6"/>
      <c r="O30" s="48" t="s">
        <v>160</v>
      </c>
      <c r="P30" s="8">
        <f ca="1">P28-P27</f>
        <v>-1185105.4794520549</v>
      </c>
    </row>
    <row r="31" spans="1:25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1"/>
        <v>2021</v>
      </c>
      <c r="E31" s="2" t="s">
        <v>127</v>
      </c>
      <c r="F31" s="3" t="s">
        <v>128</v>
      </c>
      <c r="G31" s="2" t="s">
        <v>182</v>
      </c>
      <c r="H31" s="2">
        <v>44685</v>
      </c>
      <c r="I31" s="6"/>
    </row>
    <row r="32" spans="1:25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1"/>
        <v>2022</v>
      </c>
      <c r="E32" s="20" t="s">
        <v>36</v>
      </c>
      <c r="F32" s="2" t="s">
        <v>125</v>
      </c>
      <c r="G32" s="2" t="s">
        <v>81</v>
      </c>
      <c r="H32" s="2">
        <v>200</v>
      </c>
      <c r="I32" s="6"/>
    </row>
    <row r="33" spans="1:12" x14ac:dyDescent="0.2">
      <c r="A33" s="2">
        <v>33</v>
      </c>
      <c r="B33" s="20">
        <v>44577</v>
      </c>
      <c r="C33" s="20" t="str">
        <f t="shared" ref="C33:C39" si="24">TEXT(B33, "mmm")</f>
        <v>Jan</v>
      </c>
      <c r="D33" s="20" t="str">
        <f t="shared" si="1"/>
        <v>2022</v>
      </c>
      <c r="E33" s="2" t="s">
        <v>127</v>
      </c>
      <c r="F33" s="2" t="s">
        <v>125</v>
      </c>
      <c r="G33" s="2" t="s">
        <v>194</v>
      </c>
      <c r="H33" s="2">
        <v>219800</v>
      </c>
      <c r="I33" s="6"/>
    </row>
    <row r="34" spans="1:12" x14ac:dyDescent="0.2">
      <c r="A34" s="2">
        <v>34</v>
      </c>
      <c r="B34" s="20">
        <v>44587</v>
      </c>
      <c r="C34" s="20" t="str">
        <f t="shared" si="24"/>
        <v>Jan</v>
      </c>
      <c r="D34" s="20" t="str">
        <f t="shared" si="1"/>
        <v>2022</v>
      </c>
      <c r="E34" s="20" t="s">
        <v>36</v>
      </c>
      <c r="F34" s="2" t="s">
        <v>125</v>
      </c>
      <c r="G34" s="2" t="s">
        <v>81</v>
      </c>
      <c r="H34" s="2">
        <v>400</v>
      </c>
      <c r="I34" s="6"/>
      <c r="K34" s="45" t="s">
        <v>130</v>
      </c>
      <c r="L34" s="48">
        <f>SUMIF(E2:E100,"Expense",H2:H100)</f>
        <v>513350</v>
      </c>
    </row>
    <row r="35" spans="1:12" x14ac:dyDescent="0.2">
      <c r="A35" s="2">
        <v>35</v>
      </c>
      <c r="B35" s="20">
        <v>44586</v>
      </c>
      <c r="C35" s="20" t="str">
        <f t="shared" si="24"/>
        <v>Jan</v>
      </c>
      <c r="D35" s="20" t="str">
        <f t="shared" si="1"/>
        <v>2022</v>
      </c>
      <c r="E35" s="20" t="s">
        <v>36</v>
      </c>
      <c r="F35" s="2" t="s">
        <v>125</v>
      </c>
      <c r="G35" s="2" t="s">
        <v>126</v>
      </c>
      <c r="H35" s="2">
        <v>6300</v>
      </c>
      <c r="I35" s="6"/>
      <c r="K35" s="46" t="s">
        <v>131</v>
      </c>
      <c r="L35" s="49">
        <f>SUMIF(E2:E100,"Income",H2:H100)</f>
        <v>2162048</v>
      </c>
    </row>
    <row r="36" spans="1:12" x14ac:dyDescent="0.2">
      <c r="A36" s="2">
        <v>36</v>
      </c>
      <c r="B36" s="20">
        <v>44593</v>
      </c>
      <c r="C36" s="20" t="str">
        <f t="shared" si="24"/>
        <v>Feb</v>
      </c>
      <c r="D36" s="20" t="str">
        <f t="shared" si="1"/>
        <v>2022</v>
      </c>
      <c r="E36" s="20" t="s">
        <v>36</v>
      </c>
      <c r="F36" s="2" t="s">
        <v>180</v>
      </c>
      <c r="G36" s="2" t="s">
        <v>197</v>
      </c>
      <c r="H36" s="2">
        <v>2500</v>
      </c>
      <c r="I36" s="6"/>
      <c r="L36" s="12"/>
    </row>
    <row r="37" spans="1:12" x14ac:dyDescent="0.2">
      <c r="A37" s="2">
        <v>37</v>
      </c>
      <c r="B37" s="20">
        <v>44592</v>
      </c>
      <c r="C37" s="20" t="str">
        <f t="shared" si="24"/>
        <v>Jan</v>
      </c>
      <c r="D37" s="20" t="str">
        <f t="shared" si="1"/>
        <v>2022</v>
      </c>
      <c r="E37" s="2" t="s">
        <v>127</v>
      </c>
      <c r="F37" s="3" t="s">
        <v>128</v>
      </c>
      <c r="G37" s="2" t="s">
        <v>198</v>
      </c>
      <c r="H37" s="2">
        <v>43735</v>
      </c>
      <c r="I37" s="6"/>
      <c r="K37" s="47" t="s">
        <v>133</v>
      </c>
      <c r="L37" s="50">
        <f>L35-L34</f>
        <v>1648698</v>
      </c>
    </row>
    <row r="38" spans="1:12" x14ac:dyDescent="0.2">
      <c r="A38" s="2">
        <v>38</v>
      </c>
      <c r="B38" s="20">
        <v>44602</v>
      </c>
      <c r="C38" s="20" t="str">
        <f t="shared" si="24"/>
        <v>Feb</v>
      </c>
      <c r="D38" s="20" t="str">
        <f t="shared" si="1"/>
        <v>2022</v>
      </c>
      <c r="E38" s="20" t="s">
        <v>36</v>
      </c>
      <c r="F38" s="2" t="s">
        <v>125</v>
      </c>
      <c r="G38" s="2" t="s">
        <v>199</v>
      </c>
      <c r="H38" s="2">
        <v>8200</v>
      </c>
      <c r="I38" s="6"/>
    </row>
    <row r="39" spans="1:12" x14ac:dyDescent="0.2">
      <c r="A39" s="2">
        <v>39</v>
      </c>
      <c r="B39" s="20">
        <v>44620</v>
      </c>
      <c r="C39" s="20" t="str">
        <f t="shared" si="24"/>
        <v>Feb</v>
      </c>
      <c r="D39" s="20" t="str">
        <f t="shared" si="1"/>
        <v>2022</v>
      </c>
      <c r="E39" s="2" t="s">
        <v>127</v>
      </c>
      <c r="F39" s="3" t="s">
        <v>128</v>
      </c>
      <c r="G39" s="2" t="s">
        <v>200</v>
      </c>
      <c r="H39" s="2">
        <v>39660</v>
      </c>
      <c r="I39" s="6"/>
    </row>
    <row r="40" spans="1:12" x14ac:dyDescent="0.2">
      <c r="A40" s="2">
        <v>40</v>
      </c>
      <c r="B40" s="20">
        <v>44619</v>
      </c>
      <c r="C40" s="20" t="str">
        <f t="shared" ref="C40:C42" si="25">TEXT(B40, "mmm")</f>
        <v>Feb</v>
      </c>
      <c r="D40" s="20" t="str">
        <f t="shared" si="1"/>
        <v>2022</v>
      </c>
      <c r="E40" s="2" t="s">
        <v>127</v>
      </c>
      <c r="F40" s="2" t="s">
        <v>201</v>
      </c>
      <c r="G40" s="2" t="s">
        <v>144</v>
      </c>
      <c r="H40" s="2">
        <v>73000</v>
      </c>
      <c r="I40" s="6"/>
    </row>
    <row r="41" spans="1:12" x14ac:dyDescent="0.2">
      <c r="A41" s="2">
        <v>41</v>
      </c>
      <c r="B41" s="20">
        <v>44430</v>
      </c>
      <c r="C41" s="20" t="str">
        <f t="shared" si="25"/>
        <v>Aug</v>
      </c>
      <c r="D41" s="20" t="str">
        <f t="shared" si="1"/>
        <v>2021</v>
      </c>
      <c r="E41" s="20" t="s">
        <v>36</v>
      </c>
      <c r="F41" s="2" t="s">
        <v>201</v>
      </c>
      <c r="G41" s="2" t="s">
        <v>202</v>
      </c>
      <c r="H41" s="2">
        <v>60000</v>
      </c>
      <c r="I41" s="6"/>
    </row>
    <row r="42" spans="1:12" x14ac:dyDescent="0.2">
      <c r="A42" s="2">
        <v>42</v>
      </c>
      <c r="B42" s="20">
        <v>44627</v>
      </c>
      <c r="C42" s="20" t="str">
        <f t="shared" si="25"/>
        <v>Mar</v>
      </c>
      <c r="D42" s="20" t="str">
        <f t="shared" si="1"/>
        <v>2022</v>
      </c>
      <c r="E42" s="20" t="s">
        <v>36</v>
      </c>
      <c r="F42" s="2" t="s">
        <v>203</v>
      </c>
      <c r="G42" s="2" t="s">
        <v>204</v>
      </c>
      <c r="H42" s="2">
        <v>7000</v>
      </c>
      <c r="I42" s="6"/>
    </row>
    <row r="43" spans="1:12" x14ac:dyDescent="0.2">
      <c r="A43" s="2">
        <v>43</v>
      </c>
      <c r="B43" s="20">
        <v>44635</v>
      </c>
      <c r="C43" s="20" t="str">
        <f t="shared" ref="C43" si="26">TEXT(B43, "mmm")</f>
        <v>Mar</v>
      </c>
      <c r="D43" s="20" t="str">
        <f t="shared" si="1"/>
        <v>2022</v>
      </c>
      <c r="E43" s="20" t="s">
        <v>36</v>
      </c>
      <c r="F43" s="2" t="s">
        <v>125</v>
      </c>
      <c r="G43" s="2" t="s">
        <v>205</v>
      </c>
      <c r="H43" s="2">
        <v>4500</v>
      </c>
      <c r="I43" s="6"/>
    </row>
    <row r="44" spans="1:12" x14ac:dyDescent="0.2">
      <c r="A44" s="2">
        <v>44</v>
      </c>
      <c r="B44" s="20">
        <v>44643</v>
      </c>
      <c r="C44" s="20" t="str">
        <f t="shared" ref="C44" si="27">TEXT(B44, "mmm")</f>
        <v>Mar</v>
      </c>
      <c r="D44" s="20" t="str">
        <f t="shared" si="1"/>
        <v>2022</v>
      </c>
      <c r="E44" s="2" t="s">
        <v>127</v>
      </c>
      <c r="F44" s="2" t="s">
        <v>180</v>
      </c>
      <c r="G44" s="2" t="s">
        <v>144</v>
      </c>
      <c r="H44" s="2">
        <v>11900</v>
      </c>
      <c r="I44" s="6"/>
    </row>
    <row r="45" spans="1:12" x14ac:dyDescent="0.2">
      <c r="A45" s="2">
        <v>45</v>
      </c>
      <c r="B45" s="20">
        <v>44643</v>
      </c>
      <c r="C45" s="20" t="str">
        <f t="shared" ref="C45" si="28">TEXT(B45, "mmm")</f>
        <v>Mar</v>
      </c>
      <c r="D45" s="20" t="str">
        <f t="shared" si="1"/>
        <v>2022</v>
      </c>
      <c r="E45" s="20" t="s">
        <v>36</v>
      </c>
      <c r="F45" s="2" t="s">
        <v>201</v>
      </c>
      <c r="G45" s="2" t="s">
        <v>215</v>
      </c>
      <c r="H45" s="2">
        <v>20000</v>
      </c>
      <c r="I45" s="6"/>
    </row>
    <row r="46" spans="1:12" x14ac:dyDescent="0.2">
      <c r="A46" s="2">
        <v>46</v>
      </c>
      <c r="B46" s="20">
        <v>44650</v>
      </c>
      <c r="C46" s="20" t="str">
        <f t="shared" ref="C46" si="29">TEXT(B46, "mmm")</f>
        <v>Mar</v>
      </c>
      <c r="D46" s="20" t="str">
        <f t="shared" si="1"/>
        <v>2022</v>
      </c>
      <c r="E46" s="20" t="s">
        <v>36</v>
      </c>
      <c r="F46" s="2" t="s">
        <v>201</v>
      </c>
      <c r="G46" s="2" t="s">
        <v>135</v>
      </c>
      <c r="H46" s="2">
        <v>900</v>
      </c>
      <c r="I46" s="6"/>
    </row>
    <row r="47" spans="1:12" x14ac:dyDescent="0.2">
      <c r="A47" s="2">
        <v>47</v>
      </c>
      <c r="B47" s="20">
        <v>44651</v>
      </c>
      <c r="C47" s="20" t="str">
        <f t="shared" ref="C47" si="30">TEXT(B47, "mmm")</f>
        <v>Mar</v>
      </c>
      <c r="D47" s="20" t="str">
        <f t="shared" si="1"/>
        <v>2022</v>
      </c>
      <c r="E47" s="2" t="s">
        <v>127</v>
      </c>
      <c r="F47" s="2" t="s">
        <v>169</v>
      </c>
      <c r="G47" s="2" t="s">
        <v>144</v>
      </c>
      <c r="H47" s="2">
        <v>51500</v>
      </c>
      <c r="I47" s="6"/>
    </row>
    <row r="48" spans="1:12" x14ac:dyDescent="0.2">
      <c r="A48" s="2">
        <v>48</v>
      </c>
      <c r="B48" s="20">
        <v>44651</v>
      </c>
      <c r="C48" s="20" t="str">
        <f t="shared" ref="C48:C51" si="31">TEXT(B48, "mmm")</f>
        <v>Mar</v>
      </c>
      <c r="D48" s="20" t="str">
        <f t="shared" si="1"/>
        <v>2022</v>
      </c>
      <c r="E48" s="2" t="s">
        <v>127</v>
      </c>
      <c r="F48" s="3" t="s">
        <v>128</v>
      </c>
      <c r="G48" s="2" t="s">
        <v>206</v>
      </c>
      <c r="H48" s="2">
        <v>31712</v>
      </c>
      <c r="I48" s="6"/>
    </row>
    <row r="49" spans="1:9" x14ac:dyDescent="0.2">
      <c r="A49" s="2">
        <v>49</v>
      </c>
      <c r="B49" s="20">
        <v>44667</v>
      </c>
      <c r="C49" s="20" t="str">
        <f t="shared" si="31"/>
        <v>Apr</v>
      </c>
      <c r="D49" s="20" t="str">
        <f t="shared" si="1"/>
        <v>2022</v>
      </c>
      <c r="E49" s="20" t="s">
        <v>36</v>
      </c>
      <c r="F49" s="2" t="s">
        <v>203</v>
      </c>
      <c r="G49" s="2" t="s">
        <v>209</v>
      </c>
      <c r="H49" s="2">
        <v>14000</v>
      </c>
      <c r="I49" s="6"/>
    </row>
    <row r="50" spans="1:9" x14ac:dyDescent="0.2">
      <c r="A50" s="2">
        <v>50</v>
      </c>
      <c r="B50" s="20">
        <v>44650</v>
      </c>
      <c r="C50" s="20" t="str">
        <f t="shared" si="31"/>
        <v>Mar</v>
      </c>
      <c r="D50" s="20" t="str">
        <f t="shared" si="1"/>
        <v>2022</v>
      </c>
      <c r="E50" s="20" t="s">
        <v>36</v>
      </c>
      <c r="F50" s="2" t="s">
        <v>125</v>
      </c>
      <c r="G50" s="2" t="s">
        <v>205</v>
      </c>
      <c r="H50" s="2">
        <v>4000</v>
      </c>
      <c r="I50" s="6"/>
    </row>
    <row r="51" spans="1:9" x14ac:dyDescent="0.2">
      <c r="A51" s="2">
        <v>51</v>
      </c>
      <c r="B51" s="20">
        <v>44670</v>
      </c>
      <c r="C51" s="20" t="str">
        <f t="shared" si="31"/>
        <v>Apr</v>
      </c>
      <c r="D51" s="20" t="str">
        <f t="shared" si="1"/>
        <v>2022</v>
      </c>
      <c r="E51" s="20" t="s">
        <v>36</v>
      </c>
      <c r="F51" s="2" t="s">
        <v>203</v>
      </c>
      <c r="G51" s="2" t="s">
        <v>211</v>
      </c>
      <c r="H51" s="2">
        <v>5000</v>
      </c>
      <c r="I51" s="6"/>
    </row>
    <row r="52" spans="1:9" x14ac:dyDescent="0.2">
      <c r="A52" s="2">
        <v>52</v>
      </c>
      <c r="B52" s="20">
        <v>44673</v>
      </c>
      <c r="C52" s="20" t="str">
        <f t="shared" ref="C52:C53" si="32">TEXT(B52, "mmm")</f>
        <v>Apr</v>
      </c>
      <c r="D52" s="20" t="str">
        <f t="shared" ref="D52:D53" si="33">TEXT(B52, "yyyy")</f>
        <v>2022</v>
      </c>
      <c r="E52" s="20" t="s">
        <v>36</v>
      </c>
      <c r="F52" s="2" t="s">
        <v>125</v>
      </c>
      <c r="G52" s="2" t="s">
        <v>135</v>
      </c>
      <c r="H52" s="2">
        <v>4000</v>
      </c>
      <c r="I52" s="6"/>
    </row>
    <row r="53" spans="1:9" x14ac:dyDescent="0.2">
      <c r="A53" s="2">
        <v>53</v>
      </c>
      <c r="B53" s="20">
        <v>44673</v>
      </c>
      <c r="C53" s="20" t="str">
        <f t="shared" si="32"/>
        <v>Apr</v>
      </c>
      <c r="D53" s="20" t="str">
        <f t="shared" si="33"/>
        <v>2022</v>
      </c>
      <c r="E53" s="20" t="s">
        <v>36</v>
      </c>
      <c r="F53" s="2" t="s">
        <v>201</v>
      </c>
      <c r="G53" s="2" t="s">
        <v>210</v>
      </c>
      <c r="H53" s="2">
        <v>2200</v>
      </c>
      <c r="I53" s="6"/>
    </row>
    <row r="54" spans="1:9" x14ac:dyDescent="0.2">
      <c r="A54" s="2">
        <v>54</v>
      </c>
      <c r="B54" s="20">
        <v>44675</v>
      </c>
      <c r="C54" s="20" t="str">
        <f t="shared" ref="C54:C55" si="34">TEXT(B54, "mmm")</f>
        <v>Apr</v>
      </c>
      <c r="D54" s="20" t="str">
        <f t="shared" ref="D54:D55" si="35">TEXT(B54, "yyyy")</f>
        <v>2022</v>
      </c>
      <c r="E54" s="20" t="s">
        <v>36</v>
      </c>
      <c r="F54" s="2" t="s">
        <v>203</v>
      </c>
      <c r="G54" s="2" t="s">
        <v>209</v>
      </c>
      <c r="H54" s="2">
        <v>3100</v>
      </c>
      <c r="I54" s="6"/>
    </row>
    <row r="55" spans="1:9" x14ac:dyDescent="0.2">
      <c r="A55" s="2">
        <v>55</v>
      </c>
      <c r="B55" s="20">
        <v>44675</v>
      </c>
      <c r="C55" s="20" t="str">
        <f t="shared" si="34"/>
        <v>Apr</v>
      </c>
      <c r="D55" s="20" t="str">
        <f t="shared" si="35"/>
        <v>2022</v>
      </c>
      <c r="E55" s="20" t="s">
        <v>36</v>
      </c>
      <c r="F55" s="2" t="s">
        <v>201</v>
      </c>
      <c r="G55" s="2" t="s">
        <v>212</v>
      </c>
      <c r="H55" s="2">
        <v>15000</v>
      </c>
      <c r="I55" s="6"/>
    </row>
    <row r="56" spans="1:9" x14ac:dyDescent="0.2">
      <c r="A56" s="2">
        <v>56</v>
      </c>
      <c r="B56" s="20">
        <v>44679</v>
      </c>
      <c r="C56" s="20" t="str">
        <f t="shared" ref="C56:C57" si="36">TEXT(B56, "mmm")</f>
        <v>Apr</v>
      </c>
      <c r="D56" s="20" t="str">
        <f t="shared" ref="D56:D57" si="37">TEXT(B56, "yyyy")</f>
        <v>2022</v>
      </c>
      <c r="E56" s="20" t="s">
        <v>36</v>
      </c>
      <c r="F56" s="2" t="s">
        <v>201</v>
      </c>
      <c r="G56" s="2" t="s">
        <v>213</v>
      </c>
      <c r="H56" s="2">
        <v>7500</v>
      </c>
      <c r="I56" s="6"/>
    </row>
    <row r="57" spans="1:9" x14ac:dyDescent="0.2">
      <c r="A57" s="2">
        <v>57</v>
      </c>
      <c r="B57" s="20">
        <v>44680</v>
      </c>
      <c r="C57" s="20" t="str">
        <f t="shared" si="36"/>
        <v>Apr</v>
      </c>
      <c r="D57" s="20" t="str">
        <f t="shared" si="37"/>
        <v>2022</v>
      </c>
      <c r="E57" s="2" t="s">
        <v>127</v>
      </c>
      <c r="F57" s="3" t="s">
        <v>128</v>
      </c>
      <c r="G57" s="2" t="s">
        <v>214</v>
      </c>
      <c r="H57" s="2">
        <v>47984</v>
      </c>
      <c r="I57" s="6"/>
    </row>
    <row r="58" spans="1:9" x14ac:dyDescent="0.2">
      <c r="A58" s="2">
        <v>58</v>
      </c>
      <c r="B58" s="20">
        <v>44691</v>
      </c>
      <c r="C58" s="20" t="str">
        <f t="shared" ref="C58:C59" si="38">TEXT(B58, "mmm")</f>
        <v>May</v>
      </c>
      <c r="D58" s="20" t="str">
        <f t="shared" ref="D58:D59" si="39">TEXT(B58, "yyyy")</f>
        <v>2022</v>
      </c>
      <c r="E58" s="20" t="s">
        <v>36</v>
      </c>
      <c r="F58" s="2" t="s">
        <v>203</v>
      </c>
      <c r="G58" s="2" t="s">
        <v>139</v>
      </c>
      <c r="H58" s="2">
        <v>6000</v>
      </c>
      <c r="I58" s="6"/>
    </row>
    <row r="59" spans="1:9" x14ac:dyDescent="0.2">
      <c r="A59" s="2">
        <v>59</v>
      </c>
      <c r="B59" s="20">
        <v>44691</v>
      </c>
      <c r="C59" s="20" t="str">
        <f t="shared" si="38"/>
        <v>May</v>
      </c>
      <c r="D59" s="20" t="str">
        <f t="shared" si="39"/>
        <v>2022</v>
      </c>
      <c r="E59" s="20" t="s">
        <v>36</v>
      </c>
      <c r="F59" s="2" t="s">
        <v>141</v>
      </c>
      <c r="G59" s="2" t="s">
        <v>139</v>
      </c>
      <c r="H59" s="2">
        <v>3500</v>
      </c>
      <c r="I59" s="6"/>
    </row>
    <row r="60" spans="1:9" x14ac:dyDescent="0.2">
      <c r="A60" s="2">
        <v>60</v>
      </c>
      <c r="B60" s="20">
        <v>44694</v>
      </c>
      <c r="C60" s="20" t="str">
        <f t="shared" ref="C60:C61" si="40">TEXT(B60, "mmm")</f>
        <v>May</v>
      </c>
      <c r="D60" s="20" t="str">
        <f t="shared" ref="D60:D61" si="41">TEXT(B60, "yyyy")</f>
        <v>2022</v>
      </c>
      <c r="E60" s="20" t="s">
        <v>36</v>
      </c>
      <c r="F60" s="2" t="s">
        <v>125</v>
      </c>
      <c r="G60" s="2" t="s">
        <v>199</v>
      </c>
      <c r="H60" s="2">
        <v>12000</v>
      </c>
      <c r="I60" s="6"/>
    </row>
    <row r="61" spans="1:9" x14ac:dyDescent="0.2">
      <c r="A61" s="2">
        <v>61</v>
      </c>
      <c r="B61" s="20">
        <v>44695</v>
      </c>
      <c r="C61" s="20" t="str">
        <f t="shared" si="40"/>
        <v>May</v>
      </c>
      <c r="D61" s="20" t="str">
        <f t="shared" si="41"/>
        <v>2022</v>
      </c>
      <c r="E61" s="20" t="s">
        <v>36</v>
      </c>
      <c r="F61" s="2" t="s">
        <v>141</v>
      </c>
      <c r="G61" s="2" t="s">
        <v>138</v>
      </c>
      <c r="H61" s="2">
        <v>22000</v>
      </c>
      <c r="I61" s="6"/>
    </row>
    <row r="62" spans="1:9" x14ac:dyDescent="0.2">
      <c r="A62" s="2">
        <v>62</v>
      </c>
      <c r="B62" s="20">
        <v>44696</v>
      </c>
      <c r="C62" s="20" t="str">
        <f t="shared" ref="C62:C65" si="42">TEXT(B62, "mmm")</f>
        <v>May</v>
      </c>
      <c r="D62" s="20" t="str">
        <f t="shared" ref="D62:D65" si="43">TEXT(B62, "yyyy")</f>
        <v>2022</v>
      </c>
      <c r="E62" s="20" t="s">
        <v>36</v>
      </c>
      <c r="F62" s="2" t="s">
        <v>201</v>
      </c>
      <c r="G62" s="2" t="s">
        <v>135</v>
      </c>
      <c r="H62" s="2">
        <v>1500</v>
      </c>
      <c r="I62" s="6"/>
    </row>
    <row r="63" spans="1:9" x14ac:dyDescent="0.2">
      <c r="A63" s="2">
        <v>63</v>
      </c>
      <c r="B63" s="20">
        <v>44698</v>
      </c>
      <c r="C63" s="20" t="str">
        <f t="shared" si="42"/>
        <v>May</v>
      </c>
      <c r="D63" s="20" t="str">
        <f t="shared" si="43"/>
        <v>2022</v>
      </c>
      <c r="E63" s="2" t="s">
        <v>127</v>
      </c>
      <c r="F63" s="2" t="s">
        <v>201</v>
      </c>
      <c r="G63" s="2" t="s">
        <v>144</v>
      </c>
      <c r="H63" s="2">
        <v>63370</v>
      </c>
      <c r="I63" s="6"/>
    </row>
    <row r="64" spans="1:9" x14ac:dyDescent="0.2">
      <c r="A64" s="2">
        <v>64</v>
      </c>
      <c r="B64" s="20">
        <v>44703</v>
      </c>
      <c r="C64" s="20" t="str">
        <f t="shared" si="42"/>
        <v>May</v>
      </c>
      <c r="D64" s="20" t="str">
        <f t="shared" si="43"/>
        <v>2022</v>
      </c>
      <c r="E64" s="20" t="s">
        <v>36</v>
      </c>
      <c r="F64" s="2" t="s">
        <v>141</v>
      </c>
      <c r="G64" s="2" t="s">
        <v>139</v>
      </c>
      <c r="H64" s="2">
        <v>4000</v>
      </c>
      <c r="I64" s="6"/>
    </row>
    <row r="65" spans="1:9" x14ac:dyDescent="0.2">
      <c r="A65" s="2">
        <v>65</v>
      </c>
      <c r="B65" s="20">
        <v>44712</v>
      </c>
      <c r="C65" s="20" t="str">
        <f t="shared" si="42"/>
        <v>May</v>
      </c>
      <c r="D65" s="20" t="str">
        <f t="shared" si="43"/>
        <v>2022</v>
      </c>
      <c r="E65" s="2" t="s">
        <v>127</v>
      </c>
      <c r="F65" s="3" t="s">
        <v>128</v>
      </c>
      <c r="G65" s="2" t="s">
        <v>225</v>
      </c>
      <c r="H65" s="2">
        <v>28950</v>
      </c>
      <c r="I65" s="6"/>
    </row>
    <row r="66" spans="1:9" x14ac:dyDescent="0.2">
      <c r="A66" s="2">
        <v>66</v>
      </c>
      <c r="B66" s="20">
        <v>44714</v>
      </c>
      <c r="C66" s="20" t="str">
        <f t="shared" ref="C66:C67" si="44">TEXT(B66, "mmm")</f>
        <v>Jun</v>
      </c>
      <c r="D66" s="20" t="str">
        <f t="shared" ref="D66:D67" si="45">TEXT(B66, "yyyy")</f>
        <v>2022</v>
      </c>
      <c r="E66" s="20" t="s">
        <v>36</v>
      </c>
      <c r="F66" s="2" t="s">
        <v>125</v>
      </c>
      <c r="G66" s="2" t="s">
        <v>134</v>
      </c>
      <c r="H66" s="2">
        <v>15000</v>
      </c>
      <c r="I66" s="6"/>
    </row>
    <row r="67" spans="1:9" x14ac:dyDescent="0.2">
      <c r="A67" s="2">
        <v>67</v>
      </c>
      <c r="B67" s="20">
        <v>44712</v>
      </c>
      <c r="C67" s="20" t="str">
        <f t="shared" si="44"/>
        <v>May</v>
      </c>
      <c r="D67" s="20" t="str">
        <f t="shared" si="45"/>
        <v>2022</v>
      </c>
      <c r="E67" s="2" t="s">
        <v>127</v>
      </c>
      <c r="F67" s="2" t="s">
        <v>201</v>
      </c>
      <c r="G67" s="2" t="s">
        <v>134</v>
      </c>
      <c r="H67" s="2">
        <v>3660</v>
      </c>
      <c r="I67" s="6"/>
    </row>
    <row r="68" spans="1:9" x14ac:dyDescent="0.2">
      <c r="A68" s="2">
        <v>68</v>
      </c>
      <c r="B68" s="20">
        <v>44721</v>
      </c>
      <c r="C68" s="20" t="str">
        <f t="shared" ref="C68:C69" si="46">TEXT(B68, "mmm")</f>
        <v>Jun</v>
      </c>
      <c r="D68" s="20" t="str">
        <f t="shared" ref="D68:D69" si="47">TEXT(B68, "yyyy")</f>
        <v>2022</v>
      </c>
      <c r="E68" s="20" t="s">
        <v>36</v>
      </c>
      <c r="F68" s="2" t="s">
        <v>125</v>
      </c>
      <c r="G68" s="2" t="s">
        <v>135</v>
      </c>
      <c r="H68" s="2">
        <v>1500</v>
      </c>
      <c r="I68" s="6"/>
    </row>
    <row r="69" spans="1:9" x14ac:dyDescent="0.2">
      <c r="A69" s="2">
        <v>69</v>
      </c>
      <c r="B69" s="20">
        <v>44732</v>
      </c>
      <c r="C69" s="20" t="str">
        <f t="shared" si="46"/>
        <v>Jun</v>
      </c>
      <c r="D69" s="20" t="str">
        <f t="shared" si="47"/>
        <v>2022</v>
      </c>
      <c r="E69" s="20" t="s">
        <v>36</v>
      </c>
      <c r="F69" s="2" t="s">
        <v>141</v>
      </c>
      <c r="G69" s="2" t="s">
        <v>135</v>
      </c>
      <c r="H69" s="2">
        <v>1000</v>
      </c>
      <c r="I69" s="6"/>
    </row>
    <row r="70" spans="1:9" x14ac:dyDescent="0.2">
      <c r="A70" s="2">
        <v>70</v>
      </c>
      <c r="B70" s="20">
        <v>44754</v>
      </c>
      <c r="C70" s="20" t="str">
        <f t="shared" ref="C70:C73" si="48">TEXT(B70, "mmm")</f>
        <v>Jul</v>
      </c>
      <c r="D70" s="20" t="str">
        <f t="shared" ref="D70:D73" si="49">TEXT(B70, "yyyy")</f>
        <v>2022</v>
      </c>
      <c r="E70" s="2" t="s">
        <v>127</v>
      </c>
      <c r="F70" s="3" t="s">
        <v>128</v>
      </c>
      <c r="G70" s="2" t="s">
        <v>229</v>
      </c>
      <c r="H70" s="2">
        <v>110006</v>
      </c>
      <c r="I70" s="6"/>
    </row>
    <row r="71" spans="1:9" x14ac:dyDescent="0.2">
      <c r="A71" s="2">
        <v>71</v>
      </c>
      <c r="B71" s="20">
        <v>44742</v>
      </c>
      <c r="C71" s="20" t="str">
        <f t="shared" si="48"/>
        <v>Jun</v>
      </c>
      <c r="D71" s="20" t="str">
        <f t="shared" si="49"/>
        <v>2022</v>
      </c>
      <c r="E71" s="20" t="s">
        <v>36</v>
      </c>
      <c r="F71" s="2" t="s">
        <v>201</v>
      </c>
      <c r="G71" s="2" t="s">
        <v>135</v>
      </c>
      <c r="H71" s="2">
        <v>2000</v>
      </c>
      <c r="I71" s="6"/>
    </row>
    <row r="72" spans="1:9" x14ac:dyDescent="0.2">
      <c r="A72" s="2">
        <v>72</v>
      </c>
      <c r="B72" s="20">
        <v>44763</v>
      </c>
      <c r="C72" s="20" t="str">
        <f t="shared" si="48"/>
        <v>Jul</v>
      </c>
      <c r="D72" s="20" t="str">
        <f t="shared" si="49"/>
        <v>2022</v>
      </c>
      <c r="E72" s="20" t="s">
        <v>36</v>
      </c>
      <c r="F72" s="2" t="s">
        <v>201</v>
      </c>
      <c r="G72" s="2" t="s">
        <v>135</v>
      </c>
      <c r="H72" s="2">
        <v>5000</v>
      </c>
      <c r="I72" s="6"/>
    </row>
    <row r="73" spans="1:9" x14ac:dyDescent="0.2">
      <c r="A73" s="2">
        <v>73</v>
      </c>
      <c r="B73" s="20">
        <v>44770</v>
      </c>
      <c r="C73" s="20" t="str">
        <f t="shared" si="48"/>
        <v>Jul</v>
      </c>
      <c r="D73" s="20" t="str">
        <f t="shared" si="49"/>
        <v>2022</v>
      </c>
      <c r="E73" s="2" t="s">
        <v>127</v>
      </c>
      <c r="F73" s="3" t="s">
        <v>128</v>
      </c>
      <c r="G73" s="2" t="s">
        <v>232</v>
      </c>
      <c r="H73" s="2">
        <v>230601</v>
      </c>
      <c r="I73" s="6"/>
    </row>
    <row r="74" spans="1:9" x14ac:dyDescent="0.2">
      <c r="A74" s="2">
        <v>74</v>
      </c>
      <c r="B74" s="20">
        <v>44790</v>
      </c>
      <c r="C74" s="20" t="str">
        <f t="shared" ref="C74:C75" si="50">TEXT(B74, "mmm")</f>
        <v>Aug</v>
      </c>
      <c r="D74" s="20" t="str">
        <f t="shared" ref="D74:D75" si="51">TEXT(B74, "yyyy")</f>
        <v>2022</v>
      </c>
      <c r="E74" s="2" t="s">
        <v>36</v>
      </c>
      <c r="F74" s="2" t="s">
        <v>125</v>
      </c>
      <c r="G74" s="2" t="s">
        <v>134</v>
      </c>
      <c r="H74" s="2">
        <v>22000</v>
      </c>
    </row>
    <row r="75" spans="1:9" x14ac:dyDescent="0.2">
      <c r="A75" s="2">
        <v>75</v>
      </c>
      <c r="B75" s="20">
        <v>44791</v>
      </c>
      <c r="C75" s="20" t="str">
        <f t="shared" si="50"/>
        <v>Aug</v>
      </c>
      <c r="D75" s="20" t="str">
        <f t="shared" si="51"/>
        <v>2022</v>
      </c>
      <c r="E75" s="2" t="s">
        <v>36</v>
      </c>
      <c r="F75" s="2" t="s">
        <v>201</v>
      </c>
      <c r="G75" s="2" t="s">
        <v>82</v>
      </c>
      <c r="H75" s="2">
        <v>3000</v>
      </c>
    </row>
    <row r="76" spans="1:9" x14ac:dyDescent="0.2">
      <c r="A76" s="2">
        <v>76</v>
      </c>
      <c r="B76" s="20">
        <v>44771</v>
      </c>
      <c r="C76" s="20" t="str">
        <f t="shared" ref="C76:C77" si="52">TEXT(B76, "mmm")</f>
        <v>Jul</v>
      </c>
      <c r="D76" s="20" t="str">
        <f t="shared" ref="D76:D77" si="53">TEXT(B76, "yyyy")</f>
        <v>2022</v>
      </c>
      <c r="E76" s="2" t="s">
        <v>36</v>
      </c>
      <c r="F76" s="2" t="s">
        <v>125</v>
      </c>
      <c r="G76" s="2" t="s">
        <v>138</v>
      </c>
      <c r="H76" s="2">
        <v>9000</v>
      </c>
    </row>
    <row r="77" spans="1:9" x14ac:dyDescent="0.2">
      <c r="A77" s="2">
        <v>77</v>
      </c>
      <c r="B77" s="20">
        <v>44712</v>
      </c>
      <c r="C77" s="20" t="str">
        <f t="shared" si="52"/>
        <v>May</v>
      </c>
      <c r="D77" s="20" t="str">
        <f t="shared" si="53"/>
        <v>2022</v>
      </c>
      <c r="E77" s="2" t="s">
        <v>36</v>
      </c>
      <c r="F77" s="2" t="s">
        <v>125</v>
      </c>
      <c r="G77" s="2" t="s">
        <v>139</v>
      </c>
      <c r="H77" s="2">
        <v>5000</v>
      </c>
    </row>
    <row r="78" spans="1:9" x14ac:dyDescent="0.2">
      <c r="A78" s="2">
        <v>78</v>
      </c>
      <c r="B78" s="20">
        <v>44803</v>
      </c>
      <c r="C78" s="20" t="str">
        <f t="shared" ref="C78:C100" si="54">TEXT(B78, "mmm")</f>
        <v>Aug</v>
      </c>
      <c r="D78" s="20" t="str">
        <f t="shared" ref="D78:D100" si="55">TEXT(B78, "yyyy")</f>
        <v>2022</v>
      </c>
      <c r="E78" s="2" t="s">
        <v>127</v>
      </c>
      <c r="F78" s="3" t="s">
        <v>128</v>
      </c>
      <c r="G78" s="2" t="s">
        <v>292</v>
      </c>
      <c r="H78" s="2">
        <v>73974</v>
      </c>
    </row>
    <row r="79" spans="1:9" x14ac:dyDescent="0.2">
      <c r="A79" s="2">
        <v>79</v>
      </c>
      <c r="B79" s="20">
        <v>44594</v>
      </c>
      <c r="C79" s="20" t="str">
        <f t="shared" si="54"/>
        <v>Feb</v>
      </c>
      <c r="D79" s="20" t="str">
        <f t="shared" si="55"/>
        <v>2022</v>
      </c>
      <c r="E79" s="2" t="s">
        <v>36</v>
      </c>
      <c r="F79" s="2" t="s">
        <v>125</v>
      </c>
      <c r="G79" s="2" t="s">
        <v>135</v>
      </c>
      <c r="H79" s="2">
        <v>2000</v>
      </c>
    </row>
    <row r="80" spans="1:9" x14ac:dyDescent="0.2">
      <c r="A80" s="2">
        <v>80</v>
      </c>
      <c r="B80" s="20">
        <v>44809</v>
      </c>
      <c r="C80" s="20" t="str">
        <f t="shared" si="54"/>
        <v>Sep</v>
      </c>
      <c r="D80" s="20" t="str">
        <f t="shared" si="55"/>
        <v>2022</v>
      </c>
      <c r="E80" s="2" t="s">
        <v>36</v>
      </c>
      <c r="F80" s="2" t="s">
        <v>125</v>
      </c>
      <c r="G80" s="2" t="s">
        <v>329</v>
      </c>
      <c r="H80" s="2">
        <v>2000</v>
      </c>
    </row>
    <row r="81" spans="1:8" x14ac:dyDescent="0.2">
      <c r="A81" s="2">
        <v>81</v>
      </c>
      <c r="B81" s="20">
        <v>44834</v>
      </c>
      <c r="C81" s="20" t="str">
        <f t="shared" si="54"/>
        <v>Sep</v>
      </c>
      <c r="D81" s="20" t="str">
        <f t="shared" si="55"/>
        <v>2022</v>
      </c>
      <c r="E81" s="2" t="s">
        <v>127</v>
      </c>
      <c r="F81" s="3" t="s">
        <v>128</v>
      </c>
      <c r="G81" s="2" t="s">
        <v>331</v>
      </c>
      <c r="H81" s="2">
        <v>74956</v>
      </c>
    </row>
    <row r="82" spans="1:8" x14ac:dyDescent="0.2">
      <c r="A82" s="2">
        <v>82</v>
      </c>
      <c r="B82" s="20">
        <v>44835</v>
      </c>
      <c r="C82" s="20" t="str">
        <f t="shared" si="54"/>
        <v>Oct</v>
      </c>
      <c r="D82" s="20" t="str">
        <f t="shared" si="55"/>
        <v>2022</v>
      </c>
      <c r="E82" s="2" t="s">
        <v>36</v>
      </c>
      <c r="F82" s="2" t="s">
        <v>125</v>
      </c>
      <c r="G82" s="2" t="s">
        <v>135</v>
      </c>
      <c r="H82" s="2">
        <v>12000</v>
      </c>
    </row>
    <row r="83" spans="1:8" x14ac:dyDescent="0.2">
      <c r="A83" s="2">
        <v>83</v>
      </c>
      <c r="B83" s="20">
        <v>44853</v>
      </c>
      <c r="C83" s="20" t="str">
        <f t="shared" si="54"/>
        <v>Oct</v>
      </c>
      <c r="D83" s="20" t="str">
        <f t="shared" si="55"/>
        <v>2022</v>
      </c>
      <c r="E83" s="2" t="s">
        <v>127</v>
      </c>
      <c r="F83" s="2" t="s">
        <v>125</v>
      </c>
      <c r="G83" s="2" t="s">
        <v>335</v>
      </c>
      <c r="H83" s="2">
        <v>43500</v>
      </c>
    </row>
    <row r="84" spans="1:8" x14ac:dyDescent="0.2">
      <c r="A84" s="2">
        <v>84</v>
      </c>
      <c r="B84" s="20">
        <v>44854</v>
      </c>
      <c r="C84" s="20" t="str">
        <f t="shared" si="54"/>
        <v>Oct</v>
      </c>
      <c r="D84" s="20" t="str">
        <f t="shared" si="55"/>
        <v>2022</v>
      </c>
      <c r="E84" s="2" t="s">
        <v>36</v>
      </c>
      <c r="F84" s="2" t="s">
        <v>125</v>
      </c>
      <c r="G84" s="2" t="s">
        <v>135</v>
      </c>
      <c r="H84" s="2">
        <v>2000</v>
      </c>
    </row>
    <row r="85" spans="1:8" x14ac:dyDescent="0.2">
      <c r="A85" s="2">
        <v>85</v>
      </c>
      <c r="B85" s="20">
        <v>44862</v>
      </c>
      <c r="C85" s="20" t="str">
        <f t="shared" si="54"/>
        <v>Oct</v>
      </c>
      <c r="D85" s="20" t="str">
        <f t="shared" si="55"/>
        <v>2022</v>
      </c>
      <c r="E85" s="2" t="s">
        <v>127</v>
      </c>
      <c r="F85" s="3" t="s">
        <v>128</v>
      </c>
      <c r="G85" s="2" t="s">
        <v>337</v>
      </c>
      <c r="H85" s="2">
        <v>74956</v>
      </c>
    </row>
    <row r="86" spans="1:8" x14ac:dyDescent="0.2">
      <c r="A86" s="2">
        <v>86</v>
      </c>
      <c r="B86" s="20">
        <v>44864</v>
      </c>
      <c r="C86" s="20" t="str">
        <f t="shared" si="54"/>
        <v>Oct</v>
      </c>
      <c r="D86" s="20" t="str">
        <f t="shared" si="55"/>
        <v>2022</v>
      </c>
      <c r="E86" s="2" t="s">
        <v>127</v>
      </c>
      <c r="F86" s="2" t="s">
        <v>203</v>
      </c>
      <c r="G86" s="2" t="s">
        <v>338</v>
      </c>
      <c r="H86" s="2">
        <v>48000</v>
      </c>
    </row>
    <row r="87" spans="1:8" x14ac:dyDescent="0.2">
      <c r="A87" s="2">
        <v>87</v>
      </c>
      <c r="B87" s="20">
        <v>44863</v>
      </c>
      <c r="C87" s="20" t="str">
        <f t="shared" si="54"/>
        <v>Oct</v>
      </c>
      <c r="D87" s="20" t="str">
        <f t="shared" si="55"/>
        <v>2022</v>
      </c>
      <c r="E87" s="2" t="s">
        <v>127</v>
      </c>
      <c r="F87" s="2" t="s">
        <v>125</v>
      </c>
      <c r="G87" s="2" t="s">
        <v>350</v>
      </c>
      <c r="H87" s="2">
        <v>37000</v>
      </c>
    </row>
    <row r="88" spans="1:8" x14ac:dyDescent="0.2">
      <c r="A88" s="2">
        <v>88</v>
      </c>
      <c r="B88" s="20">
        <v>44866</v>
      </c>
      <c r="C88" s="20" t="str">
        <f t="shared" si="54"/>
        <v>Nov</v>
      </c>
      <c r="D88" s="20" t="str">
        <f t="shared" si="55"/>
        <v>2022</v>
      </c>
      <c r="E88" s="2" t="s">
        <v>127</v>
      </c>
      <c r="F88" s="2" t="s">
        <v>125</v>
      </c>
      <c r="G88" s="2" t="s">
        <v>351</v>
      </c>
      <c r="H88" s="2">
        <v>150000</v>
      </c>
    </row>
    <row r="89" spans="1:8" x14ac:dyDescent="0.2">
      <c r="A89" s="2">
        <v>89</v>
      </c>
      <c r="B89" s="20">
        <v>44887</v>
      </c>
      <c r="C89" s="20" t="str">
        <f t="shared" si="54"/>
        <v>Nov</v>
      </c>
      <c r="D89" s="20" t="str">
        <f t="shared" si="55"/>
        <v>2022</v>
      </c>
      <c r="E89" s="2" t="s">
        <v>36</v>
      </c>
      <c r="F89" s="2" t="s">
        <v>125</v>
      </c>
      <c r="G89" s="2" t="s">
        <v>126</v>
      </c>
      <c r="H89" s="2">
        <v>9450</v>
      </c>
    </row>
    <row r="90" spans="1:8" x14ac:dyDescent="0.2">
      <c r="A90" s="2">
        <v>90</v>
      </c>
      <c r="B90" s="20">
        <v>44894</v>
      </c>
      <c r="C90" s="20" t="str">
        <f t="shared" si="54"/>
        <v>Nov</v>
      </c>
      <c r="D90" s="20" t="str">
        <f t="shared" si="55"/>
        <v>2022</v>
      </c>
      <c r="E90" s="2" t="s">
        <v>127</v>
      </c>
      <c r="F90" s="3" t="s">
        <v>128</v>
      </c>
      <c r="G90" s="2" t="s">
        <v>129</v>
      </c>
      <c r="H90" s="2">
        <v>86957</v>
      </c>
    </row>
    <row r="91" spans="1:8" x14ac:dyDescent="0.2">
      <c r="A91" s="2">
        <v>91</v>
      </c>
      <c r="B91" s="20">
        <v>44887</v>
      </c>
      <c r="C91" s="20" t="str">
        <f t="shared" si="54"/>
        <v>Nov</v>
      </c>
      <c r="D91" s="20" t="str">
        <f t="shared" si="55"/>
        <v>2022</v>
      </c>
      <c r="E91" s="2" t="s">
        <v>36</v>
      </c>
      <c r="F91" s="2" t="s">
        <v>125</v>
      </c>
      <c r="G91" s="2" t="s">
        <v>126</v>
      </c>
      <c r="H91" s="2">
        <v>1000</v>
      </c>
    </row>
    <row r="92" spans="1:8" x14ac:dyDescent="0.2">
      <c r="A92" s="2">
        <v>92</v>
      </c>
      <c r="B92" s="20">
        <v>44905</v>
      </c>
      <c r="C92" s="20" t="str">
        <f t="shared" si="54"/>
        <v>Dec</v>
      </c>
      <c r="D92" s="20" t="str">
        <f t="shared" si="55"/>
        <v>2022</v>
      </c>
      <c r="E92" s="2" t="s">
        <v>36</v>
      </c>
      <c r="F92" s="2" t="s">
        <v>125</v>
      </c>
      <c r="G92" s="2" t="s">
        <v>126</v>
      </c>
      <c r="H92" s="2">
        <v>16000</v>
      </c>
    </row>
    <row r="93" spans="1:8" x14ac:dyDescent="0.2">
      <c r="A93" s="2">
        <v>93</v>
      </c>
      <c r="B93" s="20">
        <v>44907</v>
      </c>
      <c r="C93" s="20" t="str">
        <f t="shared" si="54"/>
        <v>Dec</v>
      </c>
      <c r="D93" s="20" t="str">
        <f t="shared" si="55"/>
        <v>2022</v>
      </c>
      <c r="E93" s="2" t="s">
        <v>36</v>
      </c>
      <c r="F93" s="2" t="s">
        <v>125</v>
      </c>
      <c r="G93" s="2" t="s">
        <v>81</v>
      </c>
      <c r="H93" s="2">
        <v>3000</v>
      </c>
    </row>
    <row r="94" spans="1:8" x14ac:dyDescent="0.2">
      <c r="A94" s="2">
        <v>94</v>
      </c>
      <c r="B94" s="20">
        <v>44924</v>
      </c>
      <c r="C94" s="20" t="str">
        <f t="shared" si="54"/>
        <v>Dec</v>
      </c>
      <c r="D94" s="20" t="str">
        <f t="shared" si="55"/>
        <v>2022</v>
      </c>
      <c r="E94" s="2" t="s">
        <v>36</v>
      </c>
      <c r="F94" s="3" t="s">
        <v>128</v>
      </c>
      <c r="G94" s="2" t="s">
        <v>182</v>
      </c>
      <c r="H94" s="2">
        <v>75050</v>
      </c>
    </row>
    <row r="95" spans="1:8" x14ac:dyDescent="0.2">
      <c r="A95" s="2">
        <v>95</v>
      </c>
      <c r="B95" s="20">
        <v>44930</v>
      </c>
      <c r="C95" s="20" t="str">
        <f t="shared" si="54"/>
        <v>Jan</v>
      </c>
      <c r="D95" s="20" t="str">
        <f t="shared" si="55"/>
        <v>2023</v>
      </c>
      <c r="E95" s="2" t="s">
        <v>36</v>
      </c>
      <c r="F95" s="2" t="s">
        <v>125</v>
      </c>
      <c r="G95" s="2" t="s">
        <v>209</v>
      </c>
      <c r="H95" s="2">
        <v>2000</v>
      </c>
    </row>
    <row r="96" spans="1:8" x14ac:dyDescent="0.2">
      <c r="A96" s="2">
        <v>96</v>
      </c>
      <c r="B96" s="20">
        <v>44956</v>
      </c>
      <c r="C96" s="20" t="str">
        <f t="shared" si="54"/>
        <v>Jan</v>
      </c>
      <c r="D96" s="20" t="str">
        <f t="shared" si="55"/>
        <v>2023</v>
      </c>
      <c r="E96" s="2" t="s">
        <v>127</v>
      </c>
      <c r="F96" s="3" t="s">
        <v>128</v>
      </c>
      <c r="G96" s="2" t="s">
        <v>198</v>
      </c>
      <c r="H96" s="2">
        <v>82455</v>
      </c>
    </row>
    <row r="97" spans="1:8" x14ac:dyDescent="0.2">
      <c r="A97" s="2">
        <v>97</v>
      </c>
      <c r="B97" s="20">
        <v>44946</v>
      </c>
      <c r="C97" s="20" t="str">
        <f t="shared" si="54"/>
        <v>Jan</v>
      </c>
      <c r="D97" s="20" t="str">
        <f t="shared" si="55"/>
        <v>2023</v>
      </c>
      <c r="E97" s="2" t="s">
        <v>127</v>
      </c>
      <c r="F97" s="2" t="s">
        <v>201</v>
      </c>
      <c r="G97" s="2" t="s">
        <v>144</v>
      </c>
      <c r="H97" s="2">
        <v>200000</v>
      </c>
    </row>
    <row r="98" spans="1:8" x14ac:dyDescent="0.2">
      <c r="A98" s="2">
        <v>98</v>
      </c>
      <c r="B98" s="20">
        <v>44975</v>
      </c>
      <c r="C98" s="20" t="str">
        <f t="shared" si="54"/>
        <v>Feb</v>
      </c>
      <c r="D98" s="20" t="str">
        <f t="shared" si="55"/>
        <v>2023</v>
      </c>
      <c r="E98" s="2" t="s">
        <v>127</v>
      </c>
      <c r="F98" s="2" t="s">
        <v>125</v>
      </c>
      <c r="G98" s="2" t="s">
        <v>351</v>
      </c>
      <c r="H98" s="2">
        <v>150000</v>
      </c>
    </row>
    <row r="99" spans="1:8" x14ac:dyDescent="0.2">
      <c r="A99" s="2">
        <v>99</v>
      </c>
      <c r="B99" s="20">
        <v>43414</v>
      </c>
      <c r="C99" s="20" t="str">
        <f t="shared" si="54"/>
        <v>Nov</v>
      </c>
      <c r="D99" s="20" t="str">
        <f t="shared" si="55"/>
        <v>2018</v>
      </c>
      <c r="E99" s="20" t="s">
        <v>36</v>
      </c>
      <c r="F99" s="2" t="s">
        <v>201</v>
      </c>
      <c r="G99" s="2" t="s">
        <v>422</v>
      </c>
      <c r="H99" s="2">
        <v>10000</v>
      </c>
    </row>
    <row r="100" spans="1:8" x14ac:dyDescent="0.2">
      <c r="A100" s="2">
        <v>100</v>
      </c>
      <c r="B100" s="20">
        <v>43355</v>
      </c>
      <c r="C100" s="20" t="str">
        <f t="shared" si="54"/>
        <v>Sep</v>
      </c>
      <c r="D100" s="20" t="str">
        <f t="shared" si="55"/>
        <v>2018</v>
      </c>
      <c r="E100" s="2" t="s">
        <v>127</v>
      </c>
      <c r="F100" s="3" t="s">
        <v>128</v>
      </c>
      <c r="G100" s="2" t="s">
        <v>200</v>
      </c>
      <c r="H100" s="2">
        <v>78767</v>
      </c>
    </row>
  </sheetData>
  <conditionalFormatting sqref="L2:X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X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3"/>
  <sheetViews>
    <sheetView topLeftCell="E41" zoomScaleNormal="60" zoomScaleSheetLayoutView="100" workbookViewId="0">
      <selection activeCell="N18" sqref="N18"/>
    </sheetView>
  </sheetViews>
  <sheetFormatPr defaultRowHeight="15" x14ac:dyDescent="0.2"/>
  <cols>
    <col min="1" max="1" width="5.6484375" customWidth="1"/>
    <col min="2" max="2" width="11.296875" customWidth="1"/>
    <col min="3" max="4" width="5.6484375" customWidth="1"/>
    <col min="5" max="5" width="12.9140625" customWidth="1"/>
    <col min="6" max="6" width="18.5625" customWidth="1"/>
    <col min="7" max="7" width="11.02734375" customWidth="1"/>
    <col min="8" max="8" width="12.64453125" customWidth="1"/>
    <col min="9" max="9" width="8.875" bestFit="1" customWidth="1"/>
    <col min="12" max="12" width="12.9140625" customWidth="1"/>
  </cols>
  <sheetData>
    <row r="1" spans="1:12" x14ac:dyDescent="0.2">
      <c r="A1" s="3" t="s">
        <v>2</v>
      </c>
      <c r="B1" s="3" t="s">
        <v>1</v>
      </c>
      <c r="C1" s="3" t="s">
        <v>188</v>
      </c>
      <c r="D1" s="3" t="s">
        <v>208</v>
      </c>
      <c r="E1" s="3" t="s">
        <v>395</v>
      </c>
      <c r="F1" s="3" t="s">
        <v>123</v>
      </c>
      <c r="G1" s="3" t="s">
        <v>122</v>
      </c>
      <c r="H1" s="7" t="s">
        <v>231</v>
      </c>
      <c r="I1" s="3" t="s">
        <v>230</v>
      </c>
    </row>
    <row r="2" spans="1:12" x14ac:dyDescent="0.2">
      <c r="A2" s="2">
        <v>1</v>
      </c>
      <c r="B2" s="20">
        <v>44816</v>
      </c>
      <c r="C2" s="20" t="str">
        <f>TEXT(B2, "mmm")</f>
        <v>Sep</v>
      </c>
      <c r="D2" s="20" t="str">
        <f>TEXT(B2, "yyyy")</f>
        <v>2022</v>
      </c>
      <c r="E2" s="20" t="s">
        <v>396</v>
      </c>
      <c r="F2" s="2" t="s">
        <v>327</v>
      </c>
      <c r="G2" s="2" t="s">
        <v>36</v>
      </c>
      <c r="H2" s="143" t="s">
        <v>352</v>
      </c>
      <c r="I2" s="2">
        <v>5000</v>
      </c>
    </row>
    <row r="3" spans="1:12" x14ac:dyDescent="0.2">
      <c r="A3" s="2">
        <v>2</v>
      </c>
      <c r="B3" s="20">
        <v>44816</v>
      </c>
      <c r="C3" s="20" t="str">
        <f>TEXT(B3, "mmm")</f>
        <v>Sep</v>
      </c>
      <c r="D3" s="20" t="str">
        <f>TEXT(B3, "yyyy")</f>
        <v>2022</v>
      </c>
      <c r="E3" s="20" t="s">
        <v>396</v>
      </c>
      <c r="F3" s="2" t="s">
        <v>326</v>
      </c>
      <c r="G3" s="2" t="s">
        <v>36</v>
      </c>
      <c r="H3" s="143" t="s">
        <v>352</v>
      </c>
      <c r="I3" s="2">
        <v>3000</v>
      </c>
      <c r="K3" s="45" t="s">
        <v>130</v>
      </c>
      <c r="L3" s="48">
        <f ca="1">SUMIF(G2:G129, "Expense",I2:I115)</f>
        <v>1163953</v>
      </c>
    </row>
    <row r="4" spans="1:12" x14ac:dyDescent="0.2">
      <c r="A4" s="2">
        <v>3</v>
      </c>
      <c r="B4" s="20">
        <v>44835</v>
      </c>
      <c r="C4" s="20" t="str">
        <f>TEXT(B4, "mmm")</f>
        <v>Oct</v>
      </c>
      <c r="D4" s="20" t="str">
        <f>TEXT(B4, "yyyy")</f>
        <v>2022</v>
      </c>
      <c r="E4" s="20" t="s">
        <v>397</v>
      </c>
      <c r="F4" s="2" t="s">
        <v>330</v>
      </c>
      <c r="G4" s="2" t="s">
        <v>36</v>
      </c>
      <c r="H4" s="143" t="s">
        <v>33</v>
      </c>
      <c r="I4" s="2">
        <v>5000</v>
      </c>
      <c r="K4" s="46" t="s">
        <v>131</v>
      </c>
      <c r="L4" s="49">
        <f ca="1">SUMIF(G2:G145,"Income", I2:I134)</f>
        <v>1381552</v>
      </c>
    </row>
    <row r="5" spans="1:12" x14ac:dyDescent="0.2">
      <c r="A5" s="2">
        <v>4</v>
      </c>
      <c r="B5" s="20">
        <v>44855</v>
      </c>
      <c r="C5" s="20" t="str">
        <f>TEXT(B5, "mmm")</f>
        <v>Oct</v>
      </c>
      <c r="D5" s="20" t="str">
        <f>TEXT(B5, "yyyy")</f>
        <v>2022</v>
      </c>
      <c r="E5" s="20" t="s">
        <v>398</v>
      </c>
      <c r="F5" s="2" t="s">
        <v>336</v>
      </c>
      <c r="G5" s="2" t="s">
        <v>36</v>
      </c>
      <c r="H5" s="143" t="s">
        <v>33</v>
      </c>
      <c r="I5" s="2">
        <v>50000</v>
      </c>
      <c r="L5" s="12"/>
    </row>
    <row r="6" spans="1:12" x14ac:dyDescent="0.2">
      <c r="A6" s="2">
        <v>5</v>
      </c>
      <c r="B6" s="20">
        <v>44865</v>
      </c>
      <c r="C6" s="20" t="str">
        <f>TEXT(B6, "mmm")</f>
        <v>Oct</v>
      </c>
      <c r="D6" s="20" t="str">
        <f>TEXT(B6, "yyyy")</f>
        <v>2022</v>
      </c>
      <c r="E6" s="20" t="s">
        <v>380</v>
      </c>
      <c r="F6" s="2" t="s">
        <v>349</v>
      </c>
      <c r="G6" s="2" t="s">
        <v>36</v>
      </c>
      <c r="H6" s="143" t="s">
        <v>33</v>
      </c>
      <c r="I6" s="2">
        <v>270</v>
      </c>
      <c r="K6" s="47" t="s">
        <v>429</v>
      </c>
      <c r="L6" s="50">
        <f ca="1">L4-L3</f>
        <v>217599</v>
      </c>
    </row>
    <row r="7" spans="1:12" x14ac:dyDescent="0.2">
      <c r="A7" s="2">
        <v>6</v>
      </c>
      <c r="B7" s="20">
        <v>44862</v>
      </c>
      <c r="C7" s="20" t="str">
        <f>TEXT(B7, "mmm")</f>
        <v>Oct</v>
      </c>
      <c r="D7" s="20" t="str">
        <f>TEXT(B7, "yyyy")</f>
        <v>2022</v>
      </c>
      <c r="E7" s="20" t="s">
        <v>398</v>
      </c>
      <c r="F7" s="2" t="s">
        <v>336</v>
      </c>
      <c r="G7" s="2" t="s">
        <v>36</v>
      </c>
      <c r="H7" s="143" t="s">
        <v>352</v>
      </c>
      <c r="I7" s="2">
        <v>35500</v>
      </c>
    </row>
    <row r="8" spans="1:12" x14ac:dyDescent="0.2">
      <c r="A8" s="2">
        <v>7</v>
      </c>
      <c r="B8" s="20">
        <v>44865</v>
      </c>
      <c r="C8" s="20" t="str">
        <f>TEXT(B8, "mmm")</f>
        <v>Oct</v>
      </c>
      <c r="D8" s="20" t="str">
        <f>TEXT(B8, "yyyy")</f>
        <v>2022</v>
      </c>
      <c r="E8" s="20" t="s">
        <v>397</v>
      </c>
      <c r="F8" s="2" t="s">
        <v>353</v>
      </c>
      <c r="G8" s="2" t="s">
        <v>36</v>
      </c>
      <c r="H8" s="143" t="s">
        <v>33</v>
      </c>
      <c r="I8" s="2">
        <v>4000</v>
      </c>
    </row>
    <row r="9" spans="1:12" x14ac:dyDescent="0.2">
      <c r="A9" s="2">
        <v>8</v>
      </c>
      <c r="B9" s="20">
        <v>44868</v>
      </c>
      <c r="C9" s="20" t="str">
        <f>TEXT(B9, "mmm")</f>
        <v>Nov</v>
      </c>
      <c r="D9" s="20" t="str">
        <f>TEXT(B9, "yyyy")</f>
        <v>2022</v>
      </c>
      <c r="E9" s="20" t="s">
        <v>396</v>
      </c>
      <c r="F9" s="2" t="s">
        <v>366</v>
      </c>
      <c r="G9" s="2" t="s">
        <v>36</v>
      </c>
      <c r="H9" s="143" t="s">
        <v>352</v>
      </c>
      <c r="I9" s="2">
        <v>2000</v>
      </c>
    </row>
    <row r="10" spans="1:12" x14ac:dyDescent="0.2">
      <c r="A10" s="2">
        <v>9</v>
      </c>
      <c r="B10" s="20">
        <v>44880</v>
      </c>
      <c r="C10" s="20" t="str">
        <f>TEXT(B10, "mmm")</f>
        <v>Nov</v>
      </c>
      <c r="D10" s="20" t="str">
        <f>TEXT(B10, "yyyy")</f>
        <v>2022</v>
      </c>
      <c r="E10" s="20" t="s">
        <v>399</v>
      </c>
      <c r="F10" s="2" t="s">
        <v>367</v>
      </c>
      <c r="G10" s="2" t="s">
        <v>36</v>
      </c>
      <c r="H10" s="143" t="s">
        <v>352</v>
      </c>
      <c r="I10" s="2">
        <v>11500</v>
      </c>
    </row>
    <row r="11" spans="1:12" x14ac:dyDescent="0.2">
      <c r="A11" s="2">
        <v>10</v>
      </c>
      <c r="B11" s="20">
        <v>44880</v>
      </c>
      <c r="C11" s="20" t="str">
        <f>TEXT(B11, "mmm")</f>
        <v>Nov</v>
      </c>
      <c r="D11" s="20" t="str">
        <f>TEXT(B11, "yyyy")</f>
        <v>2022</v>
      </c>
      <c r="E11" s="20" t="s">
        <v>348</v>
      </c>
      <c r="F11" s="3" t="s">
        <v>368</v>
      </c>
      <c r="G11" s="2" t="s">
        <v>36</v>
      </c>
      <c r="H11" s="143" t="s">
        <v>352</v>
      </c>
      <c r="I11" s="2">
        <v>10000</v>
      </c>
    </row>
    <row r="12" spans="1:12" x14ac:dyDescent="0.2">
      <c r="A12" s="2">
        <v>11</v>
      </c>
      <c r="B12" s="20">
        <v>44884</v>
      </c>
      <c r="C12" s="20" t="str">
        <f>TEXT(B12, "mmm")</f>
        <v>Nov</v>
      </c>
      <c r="D12" s="20" t="str">
        <f>TEXT(B12, "yyyy")</f>
        <v>2022</v>
      </c>
      <c r="E12" s="20" t="s">
        <v>398</v>
      </c>
      <c r="F12" s="2" t="s">
        <v>369</v>
      </c>
      <c r="G12" s="2" t="s">
        <v>36</v>
      </c>
      <c r="H12" s="143" t="s">
        <v>352</v>
      </c>
      <c r="I12" s="2">
        <v>39200</v>
      </c>
    </row>
    <row r="13" spans="1:12" x14ac:dyDescent="0.2">
      <c r="A13" s="2">
        <v>12</v>
      </c>
      <c r="B13" s="20">
        <v>44884</v>
      </c>
      <c r="C13" s="20" t="str">
        <f>TEXT(B13, "mmm")</f>
        <v>Nov</v>
      </c>
      <c r="D13" s="20" t="str">
        <f>TEXT(B13, "yyyy")</f>
        <v>2022</v>
      </c>
      <c r="E13" s="20" t="s">
        <v>398</v>
      </c>
      <c r="F13" s="2" t="s">
        <v>370</v>
      </c>
      <c r="G13" s="2" t="s">
        <v>36</v>
      </c>
      <c r="H13" s="143" t="s">
        <v>352</v>
      </c>
      <c r="I13" s="2">
        <v>1800</v>
      </c>
    </row>
    <row r="14" spans="1:12" x14ac:dyDescent="0.2">
      <c r="A14" s="2">
        <v>13</v>
      </c>
      <c r="B14" s="20">
        <v>44884</v>
      </c>
      <c r="C14" s="20" t="str">
        <f>TEXT(B14, "mmm")</f>
        <v>Nov</v>
      </c>
      <c r="D14" s="20" t="str">
        <f>TEXT(B14, "yyyy")</f>
        <v>2022</v>
      </c>
      <c r="E14" s="20" t="s">
        <v>398</v>
      </c>
      <c r="F14" s="2" t="s">
        <v>371</v>
      </c>
      <c r="G14" s="2" t="s">
        <v>36</v>
      </c>
      <c r="H14" s="143" t="s">
        <v>352</v>
      </c>
      <c r="I14" s="2">
        <v>1200</v>
      </c>
    </row>
    <row r="15" spans="1:12" x14ac:dyDescent="0.2">
      <c r="A15" s="2">
        <v>14</v>
      </c>
      <c r="B15" s="20">
        <v>44886</v>
      </c>
      <c r="C15" s="20" t="str">
        <f>TEXT(B15, "mmm")</f>
        <v>Nov</v>
      </c>
      <c r="D15" s="20" t="str">
        <f>TEXT(B15, "yyyy")</f>
        <v>2022</v>
      </c>
      <c r="E15" s="20" t="s">
        <v>400</v>
      </c>
      <c r="F15" s="2" t="s">
        <v>372</v>
      </c>
      <c r="G15" s="2" t="s">
        <v>36</v>
      </c>
      <c r="H15" s="143" t="s">
        <v>352</v>
      </c>
      <c r="I15" s="2">
        <v>51588</v>
      </c>
    </row>
    <row r="16" spans="1:12" x14ac:dyDescent="0.2">
      <c r="A16" s="2">
        <v>15</v>
      </c>
      <c r="B16" s="20">
        <v>44886</v>
      </c>
      <c r="C16" s="20" t="str">
        <f>TEXT(B16, "mmm")</f>
        <v>Nov</v>
      </c>
      <c r="D16" s="20" t="str">
        <f>TEXT(B16, "yyyy")</f>
        <v>2022</v>
      </c>
      <c r="E16" s="20" t="s">
        <v>401</v>
      </c>
      <c r="F16" s="2" t="s">
        <v>376</v>
      </c>
      <c r="G16" s="2" t="s">
        <v>36</v>
      </c>
      <c r="H16" s="143" t="s">
        <v>352</v>
      </c>
      <c r="I16" s="2">
        <v>4200</v>
      </c>
    </row>
    <row r="17" spans="1:9" x14ac:dyDescent="0.2">
      <c r="A17" s="2">
        <v>16</v>
      </c>
      <c r="B17" s="20">
        <v>44886</v>
      </c>
      <c r="C17" s="20" t="str">
        <f>TEXT(B17, "mmm")</f>
        <v>Nov</v>
      </c>
      <c r="D17" s="20" t="str">
        <f>TEXT(B17, "yyyy")</f>
        <v>2022</v>
      </c>
      <c r="E17" s="20" t="s">
        <v>136</v>
      </c>
      <c r="F17" s="2" t="s">
        <v>373</v>
      </c>
      <c r="G17" s="2" t="s">
        <v>36</v>
      </c>
      <c r="H17" s="143" t="s">
        <v>352</v>
      </c>
      <c r="I17" s="2">
        <v>2812</v>
      </c>
    </row>
    <row r="18" spans="1:9" x14ac:dyDescent="0.2">
      <c r="A18" s="2">
        <v>17</v>
      </c>
      <c r="B18" s="20">
        <v>44889</v>
      </c>
      <c r="C18" s="20" t="str">
        <f>TEXT(B18, "mmm")</f>
        <v>Nov</v>
      </c>
      <c r="D18" s="20" t="str">
        <f>TEXT(B18, "yyyy")</f>
        <v>2022</v>
      </c>
      <c r="E18" s="20" t="s">
        <v>401</v>
      </c>
      <c r="F18" s="2" t="s">
        <v>374</v>
      </c>
      <c r="G18" s="2" t="s">
        <v>36</v>
      </c>
      <c r="H18" s="143" t="s">
        <v>352</v>
      </c>
      <c r="I18" s="2">
        <v>25200</v>
      </c>
    </row>
    <row r="19" spans="1:9" x14ac:dyDescent="0.2">
      <c r="A19" s="2">
        <v>18</v>
      </c>
      <c r="B19" s="20">
        <v>44889</v>
      </c>
      <c r="C19" s="20" t="str">
        <f>TEXT(B19, "mmm")</f>
        <v>Nov</v>
      </c>
      <c r="D19" s="20" t="str">
        <f>TEXT(B19, "yyyy")</f>
        <v>2022</v>
      </c>
      <c r="E19" s="20" t="s">
        <v>380</v>
      </c>
      <c r="F19" s="2" t="s">
        <v>375</v>
      </c>
      <c r="G19" s="2" t="s">
        <v>36</v>
      </c>
      <c r="H19" s="143" t="s">
        <v>352</v>
      </c>
      <c r="I19" s="2">
        <v>1000</v>
      </c>
    </row>
    <row r="20" spans="1:9" x14ac:dyDescent="0.2">
      <c r="A20" s="2">
        <v>19</v>
      </c>
      <c r="B20" s="20">
        <v>44889</v>
      </c>
      <c r="C20" s="20" t="str">
        <f>TEXT(B20, "mmm")</f>
        <v>Nov</v>
      </c>
      <c r="D20" s="20" t="str">
        <f>TEXT(B20, "yyyy")</f>
        <v>2022</v>
      </c>
      <c r="E20" s="20" t="s">
        <v>136</v>
      </c>
      <c r="F20" s="2" t="s">
        <v>136</v>
      </c>
      <c r="G20" s="2" t="s">
        <v>36</v>
      </c>
      <c r="H20" s="143" t="s">
        <v>352</v>
      </c>
      <c r="I20" s="2">
        <v>600</v>
      </c>
    </row>
    <row r="21" spans="1:9" x14ac:dyDescent="0.2">
      <c r="A21" s="2">
        <v>20</v>
      </c>
      <c r="B21" s="20">
        <v>44890</v>
      </c>
      <c r="C21" s="20" t="str">
        <f>TEXT(B21, "mmm")</f>
        <v>Nov</v>
      </c>
      <c r="D21" s="20" t="str">
        <f>TEXT(B21, "yyyy")</f>
        <v>2022</v>
      </c>
      <c r="E21" s="20" t="s">
        <v>348</v>
      </c>
      <c r="F21" s="3" t="s">
        <v>368</v>
      </c>
      <c r="G21" s="2" t="s">
        <v>36</v>
      </c>
      <c r="H21" s="143" t="s">
        <v>352</v>
      </c>
      <c r="I21" s="2">
        <v>5000</v>
      </c>
    </row>
    <row r="22" spans="1:9" x14ac:dyDescent="0.2">
      <c r="A22" s="2">
        <v>21</v>
      </c>
      <c r="B22" s="20">
        <v>44889</v>
      </c>
      <c r="C22" s="20" t="str">
        <f>TEXT(B22, "mmm")</f>
        <v>Nov</v>
      </c>
      <c r="D22" s="20" t="str">
        <f>TEXT(B22, "yyyy")</f>
        <v>2022</v>
      </c>
      <c r="E22" s="20" t="s">
        <v>136</v>
      </c>
      <c r="F22" s="2" t="s">
        <v>373</v>
      </c>
      <c r="G22" s="2" t="s">
        <v>36</v>
      </c>
      <c r="H22" s="143" t="s">
        <v>352</v>
      </c>
      <c r="I22" s="2">
        <v>1200</v>
      </c>
    </row>
    <row r="23" spans="1:9" x14ac:dyDescent="0.2">
      <c r="A23" s="2">
        <v>22</v>
      </c>
      <c r="B23" s="20">
        <v>44890</v>
      </c>
      <c r="C23" s="20" t="str">
        <f>TEXT(B23, "mmm")</f>
        <v>Nov</v>
      </c>
      <c r="D23" s="20" t="str">
        <f>TEXT(B23, "yyyy")</f>
        <v>2022</v>
      </c>
      <c r="E23" s="20" t="s">
        <v>401</v>
      </c>
      <c r="F23" s="2" t="s">
        <v>376</v>
      </c>
      <c r="G23" s="2" t="s">
        <v>36</v>
      </c>
      <c r="H23" s="143" t="s">
        <v>352</v>
      </c>
      <c r="I23" s="2">
        <v>4050</v>
      </c>
    </row>
    <row r="24" spans="1:9" x14ac:dyDescent="0.2">
      <c r="A24" s="2">
        <v>23</v>
      </c>
      <c r="B24" s="20">
        <v>44889</v>
      </c>
      <c r="C24" s="20" t="str">
        <f>TEXT(B24, "mmm")</f>
        <v>Nov</v>
      </c>
      <c r="D24" s="20" t="str">
        <f>TEXT(B24, "yyyy")</f>
        <v>2022</v>
      </c>
      <c r="E24" s="20" t="s">
        <v>402</v>
      </c>
      <c r="F24" s="3" t="s">
        <v>378</v>
      </c>
      <c r="G24" s="2" t="s">
        <v>36</v>
      </c>
      <c r="H24" s="143" t="s">
        <v>352</v>
      </c>
      <c r="I24" s="2">
        <v>43000</v>
      </c>
    </row>
    <row r="25" spans="1:9" x14ac:dyDescent="0.2">
      <c r="A25" s="2">
        <v>24</v>
      </c>
      <c r="B25" s="20">
        <v>44890</v>
      </c>
      <c r="C25" s="20" t="str">
        <f>TEXT(B25, "mmm")</f>
        <v>Nov</v>
      </c>
      <c r="D25" s="20" t="str">
        <f>TEXT(B25, "yyyy")</f>
        <v>2022</v>
      </c>
      <c r="E25" s="20" t="s">
        <v>136</v>
      </c>
      <c r="F25" s="2" t="s">
        <v>136</v>
      </c>
      <c r="G25" s="2" t="s">
        <v>36</v>
      </c>
      <c r="H25" s="143" t="s">
        <v>352</v>
      </c>
      <c r="I25" s="2">
        <v>200</v>
      </c>
    </row>
    <row r="26" spans="1:9" x14ac:dyDescent="0.2">
      <c r="A26" s="2">
        <v>25</v>
      </c>
      <c r="B26" s="20">
        <v>44890</v>
      </c>
      <c r="C26" s="20" t="str">
        <f>TEXT(B26, "mmm")</f>
        <v>Nov</v>
      </c>
      <c r="D26" s="20" t="str">
        <f>TEXT(B26, "yyyy")</f>
        <v>2022</v>
      </c>
      <c r="E26" s="20" t="s">
        <v>380</v>
      </c>
      <c r="F26" s="2" t="s">
        <v>375</v>
      </c>
      <c r="G26" s="2" t="s">
        <v>36</v>
      </c>
      <c r="H26" s="143" t="s">
        <v>352</v>
      </c>
      <c r="I26" s="2">
        <v>1400</v>
      </c>
    </row>
    <row r="27" spans="1:9" x14ac:dyDescent="0.2">
      <c r="A27" s="2">
        <v>26</v>
      </c>
      <c r="B27" s="20">
        <v>44893</v>
      </c>
      <c r="C27" s="20" t="str">
        <f>TEXT(B27, "mmm")</f>
        <v>Nov</v>
      </c>
      <c r="D27" s="20" t="str">
        <f>TEXT(B27, "yyyy")</f>
        <v>2022</v>
      </c>
      <c r="E27" s="20" t="s">
        <v>399</v>
      </c>
      <c r="F27" s="2" t="s">
        <v>377</v>
      </c>
      <c r="G27" s="2" t="s">
        <v>36</v>
      </c>
      <c r="H27" s="143" t="s">
        <v>352</v>
      </c>
      <c r="I27" s="2">
        <v>4000</v>
      </c>
    </row>
    <row r="28" spans="1:9" x14ac:dyDescent="0.2">
      <c r="A28" s="2">
        <v>27</v>
      </c>
      <c r="B28" s="20">
        <v>44893</v>
      </c>
      <c r="C28" s="20" t="str">
        <f>TEXT(B28, "mmm")</f>
        <v>Nov</v>
      </c>
      <c r="D28" s="20" t="str">
        <f>TEXT(B28, "yyyy")</f>
        <v>2022</v>
      </c>
      <c r="E28" s="20" t="s">
        <v>136</v>
      </c>
      <c r="F28" s="2" t="s">
        <v>136</v>
      </c>
      <c r="G28" s="2" t="s">
        <v>36</v>
      </c>
      <c r="H28" s="143" t="s">
        <v>352</v>
      </c>
      <c r="I28" s="2">
        <v>145</v>
      </c>
    </row>
    <row r="29" spans="1:9" x14ac:dyDescent="0.2">
      <c r="A29" s="2">
        <v>28</v>
      </c>
      <c r="B29" s="20">
        <v>44895</v>
      </c>
      <c r="C29" s="20" t="str">
        <f>TEXT(B29, "mmm")</f>
        <v>Nov</v>
      </c>
      <c r="D29" s="20" t="str">
        <f>TEXT(B29, "yyyy")</f>
        <v>2022</v>
      </c>
      <c r="E29" s="20" t="s">
        <v>348</v>
      </c>
      <c r="F29" s="3" t="s">
        <v>368</v>
      </c>
      <c r="G29" s="2" t="s">
        <v>36</v>
      </c>
      <c r="H29" s="143" t="s">
        <v>352</v>
      </c>
      <c r="I29" s="2">
        <v>15000</v>
      </c>
    </row>
    <row r="30" spans="1:9" x14ac:dyDescent="0.2">
      <c r="A30" s="2">
        <v>29</v>
      </c>
      <c r="B30" s="20">
        <v>44895</v>
      </c>
      <c r="C30" s="20" t="str">
        <f>TEXT(B30, "mmm")</f>
        <v>Nov</v>
      </c>
      <c r="D30" s="20" t="str">
        <f>TEXT(B30, "yyyy")</f>
        <v>2022</v>
      </c>
      <c r="E30" s="20" t="s">
        <v>399</v>
      </c>
      <c r="F30" s="2" t="s">
        <v>377</v>
      </c>
      <c r="G30" s="2" t="s">
        <v>36</v>
      </c>
      <c r="H30" s="143" t="s">
        <v>352</v>
      </c>
      <c r="I30" s="2">
        <v>8100</v>
      </c>
    </row>
    <row r="31" spans="1:9" x14ac:dyDescent="0.2">
      <c r="A31" s="2">
        <v>30</v>
      </c>
      <c r="B31" s="20">
        <v>44895</v>
      </c>
      <c r="C31" s="20" t="str">
        <f>TEXT(B31, "mmm")</f>
        <v>Nov</v>
      </c>
      <c r="D31" s="20" t="str">
        <f>TEXT(B31, "yyyy")</f>
        <v>2022</v>
      </c>
      <c r="E31" s="20" t="s">
        <v>401</v>
      </c>
      <c r="F31" s="2" t="s">
        <v>379</v>
      </c>
      <c r="G31" s="2" t="s">
        <v>36</v>
      </c>
      <c r="H31" s="143" t="s">
        <v>352</v>
      </c>
      <c r="I31" s="2">
        <v>8400</v>
      </c>
    </row>
    <row r="32" spans="1:9" x14ac:dyDescent="0.2">
      <c r="A32" s="2">
        <v>31</v>
      </c>
      <c r="B32" s="20">
        <v>44895</v>
      </c>
      <c r="C32" s="20" t="str">
        <f>TEXT(B32, "mmm")</f>
        <v>Nov</v>
      </c>
      <c r="D32" s="20" t="str">
        <f>TEXT(B32, "yyyy")</f>
        <v>2022</v>
      </c>
      <c r="E32" s="20" t="s">
        <v>402</v>
      </c>
      <c r="F32" s="3" t="s">
        <v>378</v>
      </c>
      <c r="G32" s="2" t="s">
        <v>36</v>
      </c>
      <c r="H32" s="143" t="s">
        <v>33</v>
      </c>
      <c r="I32" s="2">
        <v>25000</v>
      </c>
    </row>
    <row r="33" spans="1:9" x14ac:dyDescent="0.2">
      <c r="A33" s="2">
        <v>32</v>
      </c>
      <c r="B33" s="20">
        <v>44899</v>
      </c>
      <c r="C33" s="20" t="str">
        <f>TEXT(B33, "mmm")</f>
        <v>Dec</v>
      </c>
      <c r="D33" s="20" t="str">
        <f>TEXT(B33, "yyyy")</f>
        <v>2022</v>
      </c>
      <c r="E33" s="20" t="s">
        <v>402</v>
      </c>
      <c r="F33" s="3" t="s">
        <v>378</v>
      </c>
      <c r="G33" s="2" t="s">
        <v>36</v>
      </c>
      <c r="H33" s="143" t="s">
        <v>33</v>
      </c>
      <c r="I33" s="2">
        <v>20000</v>
      </c>
    </row>
    <row r="34" spans="1:9" x14ac:dyDescent="0.2">
      <c r="A34" s="2">
        <v>33</v>
      </c>
      <c r="B34" s="20">
        <v>44901</v>
      </c>
      <c r="C34" s="20" t="str">
        <f>TEXT(B34, "mmm")</f>
        <v>Dec</v>
      </c>
      <c r="D34" s="20" t="str">
        <f>TEXT(B34, "yyyy")</f>
        <v>2022</v>
      </c>
      <c r="E34" s="20" t="s">
        <v>348</v>
      </c>
      <c r="F34" s="3" t="s">
        <v>368</v>
      </c>
      <c r="G34" s="2" t="s">
        <v>36</v>
      </c>
      <c r="H34" s="143" t="s">
        <v>352</v>
      </c>
      <c r="I34" s="2">
        <v>10000</v>
      </c>
    </row>
    <row r="35" spans="1:9" x14ac:dyDescent="0.2">
      <c r="A35" s="2">
        <v>34</v>
      </c>
      <c r="B35" s="20">
        <v>44902</v>
      </c>
      <c r="C35" s="20" t="str">
        <f>TEXT(B35, "mmm")</f>
        <v>Dec</v>
      </c>
      <c r="D35" s="20" t="str">
        <f>TEXT(B35, "yyyy")</f>
        <v>2022</v>
      </c>
      <c r="E35" s="20" t="s">
        <v>402</v>
      </c>
      <c r="F35" s="3" t="s">
        <v>378</v>
      </c>
      <c r="G35" s="2" t="s">
        <v>36</v>
      </c>
      <c r="H35" s="143" t="s">
        <v>33</v>
      </c>
      <c r="I35" s="2">
        <v>22000</v>
      </c>
    </row>
    <row r="36" spans="1:9" x14ac:dyDescent="0.2">
      <c r="A36" s="2">
        <v>35</v>
      </c>
      <c r="B36" s="20">
        <v>44908</v>
      </c>
      <c r="C36" s="20" t="str">
        <f>TEXT(B36, "mmm")</f>
        <v>Dec</v>
      </c>
      <c r="D36" s="20" t="str">
        <f>TEXT(B36, "yyyy")</f>
        <v>2022</v>
      </c>
      <c r="E36" s="20" t="s">
        <v>380</v>
      </c>
      <c r="F36" s="2" t="s">
        <v>380</v>
      </c>
      <c r="G36" s="2" t="s">
        <v>36</v>
      </c>
      <c r="H36" s="143" t="s">
        <v>33</v>
      </c>
      <c r="I36" s="2">
        <v>999</v>
      </c>
    </row>
    <row r="37" spans="1:9" x14ac:dyDescent="0.2">
      <c r="A37" s="2">
        <v>36</v>
      </c>
      <c r="B37" s="20">
        <v>44908</v>
      </c>
      <c r="C37" s="20" t="str">
        <f>TEXT(B37, "mmm")</f>
        <v>Dec</v>
      </c>
      <c r="D37" s="20" t="str">
        <f>TEXT(B37, "yyyy")</f>
        <v>2022</v>
      </c>
      <c r="E37" s="20" t="s">
        <v>380</v>
      </c>
      <c r="F37" s="2" t="s">
        <v>375</v>
      </c>
      <c r="G37" s="2" t="s">
        <v>36</v>
      </c>
      <c r="H37" s="143" t="s">
        <v>33</v>
      </c>
      <c r="I37" s="2">
        <f>200+12850</f>
        <v>13050</v>
      </c>
    </row>
    <row r="38" spans="1:9" x14ac:dyDescent="0.2">
      <c r="A38" s="2">
        <v>63</v>
      </c>
      <c r="B38" s="20">
        <v>44909</v>
      </c>
      <c r="C38" s="20" t="str">
        <f>TEXT(B38, "mmm")</f>
        <v>Dec</v>
      </c>
      <c r="D38" s="20" t="str">
        <f>TEXT(B38, "yyyy")</f>
        <v>2022</v>
      </c>
      <c r="E38" s="20" t="s">
        <v>402</v>
      </c>
      <c r="F38" s="3" t="s">
        <v>378</v>
      </c>
      <c r="G38" s="2" t="s">
        <v>36</v>
      </c>
      <c r="H38" s="143" t="s">
        <v>33</v>
      </c>
      <c r="I38" s="2">
        <v>10000</v>
      </c>
    </row>
    <row r="39" spans="1:9" x14ac:dyDescent="0.2">
      <c r="A39" s="2">
        <v>37</v>
      </c>
      <c r="B39" s="20">
        <v>44911</v>
      </c>
      <c r="C39" s="20" t="str">
        <f>TEXT(B39, "mmm")</f>
        <v>Dec</v>
      </c>
      <c r="D39" s="20" t="str">
        <f>TEXT(B39, "yyyy")</f>
        <v>2022</v>
      </c>
      <c r="E39" s="20" t="s">
        <v>397</v>
      </c>
      <c r="F39" s="2" t="s">
        <v>353</v>
      </c>
      <c r="G39" s="2" t="s">
        <v>36</v>
      </c>
      <c r="H39" s="143" t="s">
        <v>33</v>
      </c>
      <c r="I39" s="2">
        <v>3000</v>
      </c>
    </row>
    <row r="40" spans="1:9" x14ac:dyDescent="0.2">
      <c r="A40" s="2">
        <v>38</v>
      </c>
      <c r="B40" s="20">
        <v>44914</v>
      </c>
      <c r="C40" s="20" t="str">
        <f>TEXT(B40, "mmm")</f>
        <v>Dec</v>
      </c>
      <c r="D40" s="20" t="str">
        <f>TEXT(B40, "yyyy")</f>
        <v>2022</v>
      </c>
      <c r="E40" s="20" t="s">
        <v>400</v>
      </c>
      <c r="F40" s="2" t="s">
        <v>405</v>
      </c>
      <c r="G40" s="2" t="s">
        <v>36</v>
      </c>
      <c r="H40" s="143" t="s">
        <v>352</v>
      </c>
      <c r="I40" s="2">
        <v>31780</v>
      </c>
    </row>
    <row r="41" spans="1:9" x14ac:dyDescent="0.2">
      <c r="A41" s="2">
        <v>39</v>
      </c>
      <c r="B41" s="20">
        <v>44914</v>
      </c>
      <c r="C41" s="20" t="str">
        <f>TEXT(B41, "mmm")</f>
        <v>Dec</v>
      </c>
      <c r="D41" s="20" t="str">
        <f>TEXT(B41, "yyyy")</f>
        <v>2022</v>
      </c>
      <c r="E41" s="20" t="s">
        <v>136</v>
      </c>
      <c r="F41" s="2" t="s">
        <v>373</v>
      </c>
      <c r="G41" s="2" t="s">
        <v>36</v>
      </c>
      <c r="H41" s="143" t="s">
        <v>352</v>
      </c>
      <c r="I41" s="2">
        <v>1320</v>
      </c>
    </row>
    <row r="42" spans="1:9" x14ac:dyDescent="0.2">
      <c r="A42" s="2">
        <v>40</v>
      </c>
      <c r="B42" s="20">
        <v>44914</v>
      </c>
      <c r="C42" s="20" t="str">
        <f>TEXT(B42, "mmm")</f>
        <v>Dec</v>
      </c>
      <c r="D42" s="20" t="str">
        <f>TEXT(B42, "yyyy")</f>
        <v>2022</v>
      </c>
      <c r="E42" s="20" t="s">
        <v>403</v>
      </c>
      <c r="F42" s="2" t="s">
        <v>404</v>
      </c>
      <c r="G42" s="2" t="s">
        <v>36</v>
      </c>
      <c r="H42" s="143" t="s">
        <v>352</v>
      </c>
      <c r="I42" s="2">
        <v>5800</v>
      </c>
    </row>
    <row r="43" spans="1:9" x14ac:dyDescent="0.2">
      <c r="A43" s="2">
        <v>41</v>
      </c>
      <c r="B43" s="20">
        <v>44914</v>
      </c>
      <c r="C43" s="20" t="str">
        <f>TEXT(B43, "mmm")</f>
        <v>Dec</v>
      </c>
      <c r="D43" s="20" t="str">
        <f>TEXT(B43, "yyyy")</f>
        <v>2022</v>
      </c>
      <c r="E43" s="20" t="s">
        <v>136</v>
      </c>
      <c r="F43" s="2" t="s">
        <v>136</v>
      </c>
      <c r="G43" s="2" t="s">
        <v>36</v>
      </c>
      <c r="H43" s="143" t="s">
        <v>352</v>
      </c>
      <c r="I43" s="2">
        <v>2760</v>
      </c>
    </row>
    <row r="44" spans="1:9" x14ac:dyDescent="0.2">
      <c r="A44" s="2">
        <v>42</v>
      </c>
      <c r="B44" s="20">
        <v>44917</v>
      </c>
      <c r="C44" s="20" t="str">
        <f>TEXT(B44, "mmm")</f>
        <v>Dec</v>
      </c>
      <c r="D44" s="20" t="str">
        <f>TEXT(B44, "yyyy")</f>
        <v>2022</v>
      </c>
      <c r="E44" s="20" t="s">
        <v>401</v>
      </c>
      <c r="F44" s="2" t="s">
        <v>383</v>
      </c>
      <c r="G44" s="2" t="s">
        <v>36</v>
      </c>
      <c r="H44" s="143" t="s">
        <v>352</v>
      </c>
      <c r="I44" s="2">
        <v>18700</v>
      </c>
    </row>
    <row r="45" spans="1:9" x14ac:dyDescent="0.2">
      <c r="A45" s="2">
        <v>43</v>
      </c>
      <c r="B45" s="20">
        <v>44917</v>
      </c>
      <c r="C45" s="20" t="str">
        <f>TEXT(B45, "mmm")</f>
        <v>Dec</v>
      </c>
      <c r="D45" s="20" t="str">
        <f>TEXT(B45, "yyyy")</f>
        <v>2022</v>
      </c>
      <c r="E45" s="20" t="s">
        <v>348</v>
      </c>
      <c r="F45" s="3" t="s">
        <v>368</v>
      </c>
      <c r="G45" s="2" t="s">
        <v>36</v>
      </c>
      <c r="H45" s="143" t="s">
        <v>352</v>
      </c>
      <c r="I45" s="2">
        <v>19000</v>
      </c>
    </row>
    <row r="46" spans="1:9" x14ac:dyDescent="0.2">
      <c r="A46" s="2">
        <v>44</v>
      </c>
      <c r="B46" s="20">
        <v>44917</v>
      </c>
      <c r="C46" s="20" t="str">
        <f>TEXT(B46, "mmm")</f>
        <v>Dec</v>
      </c>
      <c r="D46" s="20" t="str">
        <f>TEXT(B46, "yyyy")</f>
        <v>2022</v>
      </c>
      <c r="E46" s="20" t="s">
        <v>136</v>
      </c>
      <c r="F46" s="2" t="s">
        <v>136</v>
      </c>
      <c r="G46" s="2" t="s">
        <v>36</v>
      </c>
      <c r="H46" s="143" t="s">
        <v>352</v>
      </c>
      <c r="I46" s="2">
        <v>1510</v>
      </c>
    </row>
    <row r="47" spans="1:9" x14ac:dyDescent="0.2">
      <c r="A47" s="2">
        <v>45</v>
      </c>
      <c r="B47" s="20">
        <v>44917</v>
      </c>
      <c r="C47" s="20" t="str">
        <f>TEXT(B47, "mmm")</f>
        <v>Dec</v>
      </c>
      <c r="D47" s="20" t="str">
        <f>TEXT(B47, "yyyy")</f>
        <v>2022</v>
      </c>
      <c r="E47" s="20" t="s">
        <v>136</v>
      </c>
      <c r="F47" s="2" t="s">
        <v>373</v>
      </c>
      <c r="G47" s="2" t="s">
        <v>36</v>
      </c>
      <c r="H47" s="143" t="s">
        <v>352</v>
      </c>
      <c r="I47" s="2">
        <v>1090</v>
      </c>
    </row>
    <row r="48" spans="1:9" x14ac:dyDescent="0.2">
      <c r="A48" s="2">
        <v>46</v>
      </c>
      <c r="B48" s="20">
        <v>44923</v>
      </c>
      <c r="C48" s="20" t="str">
        <f>TEXT(B48, "mmm")</f>
        <v>Dec</v>
      </c>
      <c r="D48" s="20" t="str">
        <f>TEXT(B48, "yyyy")</f>
        <v>2022</v>
      </c>
      <c r="E48" s="20" t="s">
        <v>348</v>
      </c>
      <c r="F48" s="3" t="s">
        <v>368</v>
      </c>
      <c r="G48" s="2" t="s">
        <v>36</v>
      </c>
      <c r="H48" s="143" t="s">
        <v>352</v>
      </c>
      <c r="I48" s="2">
        <v>20000</v>
      </c>
    </row>
    <row r="49" spans="1:9" x14ac:dyDescent="0.2">
      <c r="A49" s="2">
        <v>47</v>
      </c>
      <c r="B49" s="20">
        <v>44922</v>
      </c>
      <c r="C49" s="20" t="str">
        <f>TEXT(B49, "mmm")</f>
        <v>Dec</v>
      </c>
      <c r="D49" s="20" t="str">
        <f>TEXT(B49, "yyyy")</f>
        <v>2022</v>
      </c>
      <c r="E49" s="20" t="s">
        <v>401</v>
      </c>
      <c r="F49" s="2" t="s">
        <v>384</v>
      </c>
      <c r="G49" s="2" t="s">
        <v>36</v>
      </c>
      <c r="H49" s="143" t="s">
        <v>352</v>
      </c>
      <c r="I49" s="2">
        <v>900</v>
      </c>
    </row>
    <row r="50" spans="1:9" x14ac:dyDescent="0.2">
      <c r="A50" s="2">
        <v>48</v>
      </c>
      <c r="B50" s="20">
        <v>44926</v>
      </c>
      <c r="C50" s="20" t="str">
        <f>TEXT(B50, "mmm")</f>
        <v>Dec</v>
      </c>
      <c r="D50" s="20" t="str">
        <f>TEXT(B50, "yyyy")</f>
        <v>2022</v>
      </c>
      <c r="E50" s="20" t="s">
        <v>308</v>
      </c>
      <c r="F50" s="9" t="s">
        <v>385</v>
      </c>
      <c r="G50" s="2" t="s">
        <v>36</v>
      </c>
      <c r="H50" s="143" t="s">
        <v>33</v>
      </c>
      <c r="I50" s="2">
        <v>23000</v>
      </c>
    </row>
    <row r="51" spans="1:9" x14ac:dyDescent="0.2">
      <c r="A51" s="2">
        <v>49</v>
      </c>
      <c r="B51" s="20">
        <v>44929</v>
      </c>
      <c r="C51" s="20" t="str">
        <f>TEXT(B51, "mmm")</f>
        <v>Jan</v>
      </c>
      <c r="D51" s="20" t="str">
        <f>TEXT(B51, "yyyy")</f>
        <v>2023</v>
      </c>
      <c r="E51" s="20" t="s">
        <v>402</v>
      </c>
      <c r="F51" s="3" t="s">
        <v>378</v>
      </c>
      <c r="G51" s="2" t="s">
        <v>36</v>
      </c>
      <c r="H51" s="143" t="s">
        <v>33</v>
      </c>
      <c r="I51" s="2">
        <v>22000</v>
      </c>
    </row>
    <row r="52" spans="1:9" x14ac:dyDescent="0.2">
      <c r="A52" s="2">
        <v>50</v>
      </c>
      <c r="B52" s="20">
        <v>44929</v>
      </c>
      <c r="C52" s="20" t="str">
        <f>TEXT(B52, "mmm")</f>
        <v>Jan</v>
      </c>
      <c r="D52" s="20" t="str">
        <f>TEXT(B52, "yyyy")</f>
        <v>2023</v>
      </c>
      <c r="E52" s="20" t="s">
        <v>403</v>
      </c>
      <c r="F52" s="2" t="s">
        <v>386</v>
      </c>
      <c r="G52" s="2" t="s">
        <v>36</v>
      </c>
      <c r="H52" s="143" t="s">
        <v>352</v>
      </c>
      <c r="I52" s="2">
        <v>1200</v>
      </c>
    </row>
    <row r="53" spans="1:9" x14ac:dyDescent="0.2">
      <c r="A53" s="2">
        <v>51</v>
      </c>
      <c r="B53" s="20">
        <v>44930</v>
      </c>
      <c r="C53" s="20" t="str">
        <f>TEXT(B53, "mmm")</f>
        <v>Jan</v>
      </c>
      <c r="D53" s="20" t="str">
        <f>TEXT(B53, "yyyy")</f>
        <v>2023</v>
      </c>
      <c r="E53" s="20" t="s">
        <v>380</v>
      </c>
      <c r="F53" s="2" t="s">
        <v>380</v>
      </c>
      <c r="G53" s="2" t="s">
        <v>127</v>
      </c>
      <c r="H53" s="143" t="s">
        <v>343</v>
      </c>
      <c r="I53" s="2">
        <v>1034674</v>
      </c>
    </row>
    <row r="54" spans="1:9" x14ac:dyDescent="0.2">
      <c r="A54" s="2">
        <v>52</v>
      </c>
      <c r="B54" s="20">
        <v>44944</v>
      </c>
      <c r="C54" s="20" t="str">
        <f>TEXT(B54, "mmm")</f>
        <v>Jan</v>
      </c>
      <c r="D54" s="20" t="str">
        <f>TEXT(B54, "yyyy")</f>
        <v>2023</v>
      </c>
      <c r="E54" s="20" t="s">
        <v>402</v>
      </c>
      <c r="F54" s="3" t="s">
        <v>378</v>
      </c>
      <c r="G54" s="2" t="s">
        <v>36</v>
      </c>
      <c r="H54" s="143" t="s">
        <v>33</v>
      </c>
      <c r="I54" s="2">
        <v>16000</v>
      </c>
    </row>
    <row r="55" spans="1:9" x14ac:dyDescent="0.2">
      <c r="A55" s="2">
        <v>53</v>
      </c>
      <c r="B55" s="20">
        <v>44945</v>
      </c>
      <c r="C55" s="20" t="str">
        <f>TEXT(B55, "mmm")</f>
        <v>Jan</v>
      </c>
      <c r="D55" s="20" t="str">
        <f>TEXT(B55, "yyyy")</f>
        <v>2023</v>
      </c>
      <c r="E55" s="20" t="s">
        <v>401</v>
      </c>
      <c r="F55" s="2" t="s">
        <v>388</v>
      </c>
      <c r="G55" s="2" t="s">
        <v>36</v>
      </c>
      <c r="H55" s="143" t="s">
        <v>352</v>
      </c>
      <c r="I55" s="2">
        <v>20250</v>
      </c>
    </row>
    <row r="56" spans="1:9" x14ac:dyDescent="0.2">
      <c r="A56" s="2">
        <v>54</v>
      </c>
      <c r="B56" s="20">
        <v>44946</v>
      </c>
      <c r="C56" s="20" t="str">
        <f>TEXT(B56, "mmm")</f>
        <v>Jan</v>
      </c>
      <c r="D56" s="20" t="str">
        <f>TEXT(B56, "yyyy")</f>
        <v>2023</v>
      </c>
      <c r="E56" s="20" t="s">
        <v>397</v>
      </c>
      <c r="F56" s="2" t="s">
        <v>353</v>
      </c>
      <c r="G56" s="2" t="s">
        <v>36</v>
      </c>
      <c r="H56" s="143" t="s">
        <v>33</v>
      </c>
      <c r="I56" s="2">
        <v>3000</v>
      </c>
    </row>
    <row r="57" spans="1:9" x14ac:dyDescent="0.2">
      <c r="A57" s="2">
        <v>55</v>
      </c>
      <c r="B57" s="20">
        <v>44951</v>
      </c>
      <c r="C57" s="20" t="str">
        <f>TEXT(B57, "mmm")</f>
        <v>Jan</v>
      </c>
      <c r="D57" s="20" t="str">
        <f>TEXT(B57, "yyyy")</f>
        <v>2023</v>
      </c>
      <c r="E57" s="20" t="s">
        <v>348</v>
      </c>
      <c r="F57" s="3" t="s">
        <v>368</v>
      </c>
      <c r="G57" s="2" t="s">
        <v>36</v>
      </c>
      <c r="H57" s="143" t="s">
        <v>33</v>
      </c>
      <c r="I57" s="2">
        <v>21000</v>
      </c>
    </row>
    <row r="58" spans="1:9" x14ac:dyDescent="0.2">
      <c r="A58" s="2">
        <v>56</v>
      </c>
      <c r="B58" s="20">
        <v>44957</v>
      </c>
      <c r="C58" s="20" t="str">
        <f>TEXT(B58, "mmm")</f>
        <v>Jan</v>
      </c>
      <c r="D58" s="20" t="str">
        <f>TEXT(B58, "yyyy")</f>
        <v>2023</v>
      </c>
      <c r="E58" s="20" t="s">
        <v>400</v>
      </c>
      <c r="F58" s="2" t="s">
        <v>382</v>
      </c>
      <c r="G58" s="2" t="s">
        <v>36</v>
      </c>
      <c r="H58" s="143" t="s">
        <v>352</v>
      </c>
      <c r="I58" s="2">
        <f>20000+9000</f>
        <v>29000</v>
      </c>
    </row>
    <row r="59" spans="1:9" x14ac:dyDescent="0.2">
      <c r="A59" s="2">
        <v>57</v>
      </c>
      <c r="B59" s="20">
        <v>44951</v>
      </c>
      <c r="C59" s="20" t="str">
        <f>TEXT(B59, "mmm")</f>
        <v>Jan</v>
      </c>
      <c r="D59" s="20" t="str">
        <f>TEXT(B59, "yyyy")</f>
        <v>2023</v>
      </c>
      <c r="E59" s="20" t="s">
        <v>391</v>
      </c>
      <c r="F59" s="2" t="s">
        <v>389</v>
      </c>
      <c r="G59" s="2" t="s">
        <v>36</v>
      </c>
      <c r="H59" s="143" t="s">
        <v>352</v>
      </c>
      <c r="I59" s="2">
        <v>6500</v>
      </c>
    </row>
    <row r="60" spans="1:9" x14ac:dyDescent="0.2">
      <c r="A60" s="2">
        <v>58</v>
      </c>
      <c r="B60" s="20">
        <v>44955</v>
      </c>
      <c r="C60" s="20" t="str">
        <f>TEXT(B60, "mmm")</f>
        <v>Jan</v>
      </c>
      <c r="D60" s="20" t="str">
        <f>TEXT(B60, "yyyy")</f>
        <v>2023</v>
      </c>
      <c r="E60" s="20" t="s">
        <v>136</v>
      </c>
      <c r="F60" s="2" t="s">
        <v>390</v>
      </c>
      <c r="G60" s="2" t="s">
        <v>36</v>
      </c>
      <c r="H60" s="143" t="s">
        <v>352</v>
      </c>
      <c r="I60" s="2">
        <v>1500</v>
      </c>
    </row>
    <row r="61" spans="1:9" x14ac:dyDescent="0.2">
      <c r="A61" s="2">
        <v>59</v>
      </c>
      <c r="B61" s="20">
        <v>44956</v>
      </c>
      <c r="C61" s="20" t="str">
        <f>TEXT(B61, "mmm")</f>
        <v>Jan</v>
      </c>
      <c r="D61" s="20" t="str">
        <f>TEXT(B61, "yyyy")</f>
        <v>2023</v>
      </c>
      <c r="E61" s="20" t="s">
        <v>391</v>
      </c>
      <c r="F61" s="2" t="s">
        <v>406</v>
      </c>
      <c r="G61" s="2" t="s">
        <v>36</v>
      </c>
      <c r="H61" s="143" t="s">
        <v>33</v>
      </c>
      <c r="I61" s="2">
        <f>1000+1000+50000+42000+6000</f>
        <v>100000</v>
      </c>
    </row>
    <row r="62" spans="1:9" x14ac:dyDescent="0.2">
      <c r="A62" s="2">
        <v>60</v>
      </c>
      <c r="B62" s="20">
        <v>44956</v>
      </c>
      <c r="C62" s="20" t="s">
        <v>392</v>
      </c>
      <c r="D62" s="20" t="str">
        <f>TEXT(B61, "yyyy")</f>
        <v>2023</v>
      </c>
      <c r="E62" s="20" t="s">
        <v>348</v>
      </c>
      <c r="F62" s="3" t="s">
        <v>368</v>
      </c>
      <c r="G62" s="2" t="s">
        <v>36</v>
      </c>
      <c r="H62" s="143" t="s">
        <v>352</v>
      </c>
      <c r="I62" s="2">
        <v>5000</v>
      </c>
    </row>
    <row r="63" spans="1:9" x14ac:dyDescent="0.2">
      <c r="A63" s="2">
        <v>61</v>
      </c>
      <c r="B63" s="20">
        <v>44958</v>
      </c>
      <c r="C63" s="20" t="str">
        <f>TEXT(B63, "mmm")</f>
        <v>Feb</v>
      </c>
      <c r="D63" s="20" t="str">
        <f>TEXT(B62, "yyyy")</f>
        <v>2023</v>
      </c>
      <c r="E63" s="20" t="s">
        <v>348</v>
      </c>
      <c r="F63" s="3" t="s">
        <v>368</v>
      </c>
      <c r="G63" s="2" t="s">
        <v>36</v>
      </c>
      <c r="H63" s="143" t="s">
        <v>352</v>
      </c>
      <c r="I63" s="2">
        <v>15000</v>
      </c>
    </row>
    <row r="64" spans="1:9" x14ac:dyDescent="0.2">
      <c r="A64" s="2">
        <v>62</v>
      </c>
      <c r="B64" s="20">
        <v>44959</v>
      </c>
      <c r="C64" s="20" t="str">
        <f>TEXT(B64, "mmm")</f>
        <v>Feb</v>
      </c>
      <c r="D64" s="20" t="str">
        <f>TEXT(B63, "yyyy")</f>
        <v>2023</v>
      </c>
      <c r="E64" s="20" t="s">
        <v>397</v>
      </c>
      <c r="F64" s="2" t="s">
        <v>353</v>
      </c>
      <c r="G64" s="2" t="s">
        <v>36</v>
      </c>
      <c r="H64" s="143" t="s">
        <v>33</v>
      </c>
      <c r="I64" s="2">
        <v>4000</v>
      </c>
    </row>
    <row r="65" spans="1:9" x14ac:dyDescent="0.2">
      <c r="A65" s="2">
        <v>64</v>
      </c>
      <c r="B65" s="20">
        <v>44960</v>
      </c>
      <c r="C65" s="20" t="str">
        <f>TEXT(B65, "mmm")</f>
        <v>Feb</v>
      </c>
      <c r="D65" s="20" t="str">
        <f>TEXT(B64, "yyyy")</f>
        <v>2023</v>
      </c>
      <c r="E65" s="20" t="s">
        <v>407</v>
      </c>
      <c r="F65" s="3" t="s">
        <v>408</v>
      </c>
      <c r="G65" s="2" t="s">
        <v>36</v>
      </c>
      <c r="H65" s="143" t="s">
        <v>352</v>
      </c>
      <c r="I65" s="2">
        <v>1000</v>
      </c>
    </row>
    <row r="66" spans="1:9" x14ac:dyDescent="0.2">
      <c r="A66" s="2">
        <v>65</v>
      </c>
      <c r="B66" s="20">
        <v>44960</v>
      </c>
      <c r="C66" s="20" t="str">
        <f>TEXT(B66, "mmm")</f>
        <v>Feb</v>
      </c>
      <c r="D66" s="20" t="str">
        <f>TEXT(B66, "yyyy")</f>
        <v>2023</v>
      </c>
      <c r="E66" s="20" t="s">
        <v>136</v>
      </c>
      <c r="F66" s="9" t="s">
        <v>404</v>
      </c>
      <c r="G66" s="2" t="s">
        <v>36</v>
      </c>
      <c r="H66" s="143" t="s">
        <v>352</v>
      </c>
      <c r="I66" s="2">
        <v>860</v>
      </c>
    </row>
    <row r="67" spans="1:9" x14ac:dyDescent="0.2">
      <c r="A67" s="2">
        <v>66</v>
      </c>
      <c r="B67" s="20">
        <v>44961</v>
      </c>
      <c r="C67" s="20" t="str">
        <f>TEXT(B67,"mmm")</f>
        <v>Feb</v>
      </c>
      <c r="D67" s="20" t="str">
        <f>TEXT(B67,"yyyy")</f>
        <v>2023</v>
      </c>
      <c r="E67" s="20" t="s">
        <v>409</v>
      </c>
      <c r="F67" s="3" t="s">
        <v>410</v>
      </c>
      <c r="G67" s="2" t="s">
        <v>36</v>
      </c>
      <c r="H67" s="143" t="s">
        <v>33</v>
      </c>
      <c r="I67" s="2">
        <v>500</v>
      </c>
    </row>
    <row r="68" spans="1:9" x14ac:dyDescent="0.2">
      <c r="A68" s="2">
        <v>67</v>
      </c>
      <c r="B68" s="20">
        <v>44961</v>
      </c>
      <c r="C68" s="20" t="s">
        <v>414</v>
      </c>
      <c r="D68" s="20"/>
      <c r="E68" s="20" t="s">
        <v>403</v>
      </c>
      <c r="F68" s="9" t="s">
        <v>390</v>
      </c>
      <c r="G68" s="2" t="s">
        <v>36</v>
      </c>
      <c r="H68" s="143" t="s">
        <v>33</v>
      </c>
      <c r="I68" s="2">
        <v>94</v>
      </c>
    </row>
    <row r="69" spans="1:9" x14ac:dyDescent="0.2">
      <c r="A69" s="2">
        <v>68</v>
      </c>
      <c r="B69" s="20">
        <v>44965</v>
      </c>
      <c r="C69" s="20" t="s">
        <v>414</v>
      </c>
      <c r="D69" s="20"/>
      <c r="E69" s="20" t="s">
        <v>402</v>
      </c>
      <c r="F69" s="3" t="s">
        <v>378</v>
      </c>
      <c r="G69" s="2" t="s">
        <v>36</v>
      </c>
      <c r="H69" s="143" t="s">
        <v>33</v>
      </c>
      <c r="I69" s="2">
        <v>7000</v>
      </c>
    </row>
    <row r="70" spans="1:9" x14ac:dyDescent="0.2">
      <c r="A70" s="2">
        <v>69</v>
      </c>
      <c r="B70" s="20">
        <v>44965</v>
      </c>
      <c r="C70" s="20" t="s">
        <v>414</v>
      </c>
      <c r="D70" s="20"/>
      <c r="E70" s="20" t="s">
        <v>348</v>
      </c>
      <c r="F70" s="3" t="s">
        <v>368</v>
      </c>
      <c r="G70" s="2" t="s">
        <v>36</v>
      </c>
      <c r="H70" s="143" t="s">
        <v>352</v>
      </c>
      <c r="I70" s="2">
        <v>11000</v>
      </c>
    </row>
    <row r="71" spans="1:9" x14ac:dyDescent="0.2">
      <c r="A71" s="2">
        <v>70</v>
      </c>
      <c r="B71" s="20">
        <v>44968</v>
      </c>
      <c r="C71" s="20"/>
      <c r="D71" s="20"/>
      <c r="E71" s="20" t="s">
        <v>415</v>
      </c>
      <c r="F71" s="9" t="s">
        <v>416</v>
      </c>
      <c r="G71" s="2" t="s">
        <v>36</v>
      </c>
      <c r="H71" s="143" t="s">
        <v>352</v>
      </c>
      <c r="I71" s="2">
        <v>270</v>
      </c>
    </row>
    <row r="72" spans="1:9" x14ac:dyDescent="0.2">
      <c r="A72" s="2"/>
      <c r="B72" s="20">
        <v>44968</v>
      </c>
      <c r="C72" s="20"/>
      <c r="D72" s="20"/>
      <c r="E72" s="20" t="s">
        <v>403</v>
      </c>
      <c r="F72" s="9" t="s">
        <v>390</v>
      </c>
      <c r="G72" s="2" t="s">
        <v>36</v>
      </c>
      <c r="H72" s="143" t="s">
        <v>352</v>
      </c>
      <c r="I72" s="2">
        <v>130</v>
      </c>
    </row>
    <row r="73" spans="1:9" x14ac:dyDescent="0.2">
      <c r="A73" s="2"/>
      <c r="B73" s="20">
        <v>44971</v>
      </c>
      <c r="C73" s="20"/>
      <c r="D73" s="20"/>
      <c r="E73" s="20" t="s">
        <v>403</v>
      </c>
      <c r="F73" s="9" t="s">
        <v>390</v>
      </c>
      <c r="G73" s="2" t="s">
        <v>36</v>
      </c>
      <c r="H73" s="143" t="s">
        <v>352</v>
      </c>
      <c r="I73" s="2">
        <v>200</v>
      </c>
    </row>
    <row r="74" spans="1:9" x14ac:dyDescent="0.2">
      <c r="A74" s="2"/>
      <c r="B74" s="20">
        <v>44972</v>
      </c>
      <c r="C74" s="20"/>
      <c r="D74" s="20"/>
      <c r="E74" s="20" t="s">
        <v>348</v>
      </c>
      <c r="F74" s="3" t="s">
        <v>368</v>
      </c>
      <c r="G74" s="2" t="s">
        <v>36</v>
      </c>
      <c r="H74" s="143" t="s">
        <v>352</v>
      </c>
      <c r="I74" s="2">
        <v>19000</v>
      </c>
    </row>
    <row r="75" spans="1:9" x14ac:dyDescent="0.2">
      <c r="A75" s="2"/>
      <c r="B75" s="20">
        <v>44973</v>
      </c>
      <c r="C75" s="20"/>
      <c r="D75" s="20"/>
      <c r="E75" s="20" t="s">
        <v>403</v>
      </c>
      <c r="F75" s="9" t="s">
        <v>390</v>
      </c>
      <c r="G75" s="2" t="s">
        <v>36</v>
      </c>
      <c r="H75" s="143" t="s">
        <v>352</v>
      </c>
      <c r="I75" s="2">
        <v>550</v>
      </c>
    </row>
    <row r="76" spans="1:9" x14ac:dyDescent="0.2">
      <c r="A76" s="2"/>
      <c r="B76" s="20">
        <v>44974</v>
      </c>
      <c r="C76" s="20"/>
      <c r="D76" s="20"/>
      <c r="E76" s="20" t="s">
        <v>400</v>
      </c>
      <c r="F76" s="9" t="s">
        <v>417</v>
      </c>
      <c r="G76" s="2" t="s">
        <v>36</v>
      </c>
      <c r="H76" s="143" t="s">
        <v>352</v>
      </c>
      <c r="I76" s="2">
        <v>76330</v>
      </c>
    </row>
    <row r="77" spans="1:9" x14ac:dyDescent="0.2">
      <c r="A77" s="2"/>
      <c r="B77" s="20">
        <v>44974</v>
      </c>
      <c r="C77" s="20"/>
      <c r="D77" s="20"/>
      <c r="E77" s="20" t="s">
        <v>136</v>
      </c>
      <c r="F77" s="9" t="s">
        <v>418</v>
      </c>
      <c r="G77" s="2" t="s">
        <v>36</v>
      </c>
      <c r="H77" s="143" t="s">
        <v>352</v>
      </c>
      <c r="I77" s="2">
        <v>2000</v>
      </c>
    </row>
    <row r="78" spans="1:9" x14ac:dyDescent="0.2">
      <c r="A78" s="11"/>
      <c r="B78" s="27">
        <v>44975</v>
      </c>
      <c r="C78" s="27"/>
      <c r="D78" s="27"/>
      <c r="E78" s="27" t="s">
        <v>403</v>
      </c>
      <c r="F78" s="39" t="s">
        <v>390</v>
      </c>
      <c r="G78" s="11" t="s">
        <v>36</v>
      </c>
      <c r="H78" s="133" t="s">
        <v>352</v>
      </c>
      <c r="I78" s="11">
        <v>600</v>
      </c>
    </row>
    <row r="79" spans="1:9" x14ac:dyDescent="0.2">
      <c r="A79" s="2"/>
      <c r="B79" s="20">
        <v>44979</v>
      </c>
      <c r="C79" s="2"/>
      <c r="D79" s="2"/>
      <c r="E79" s="2" t="s">
        <v>407</v>
      </c>
      <c r="F79" s="9" t="s">
        <v>419</v>
      </c>
      <c r="G79" s="2" t="s">
        <v>36</v>
      </c>
      <c r="H79" s="2" t="s">
        <v>352</v>
      </c>
      <c r="I79" s="2">
        <v>5850</v>
      </c>
    </row>
    <row r="80" spans="1:9" x14ac:dyDescent="0.2">
      <c r="A80" s="2"/>
      <c r="B80" s="20">
        <v>44979</v>
      </c>
      <c r="C80" s="2"/>
      <c r="D80" s="2"/>
      <c r="E80" s="2" t="s">
        <v>403</v>
      </c>
      <c r="F80" s="9" t="s">
        <v>390</v>
      </c>
      <c r="G80" s="2" t="s">
        <v>36</v>
      </c>
      <c r="H80" s="2"/>
      <c r="I80" s="2">
        <v>95</v>
      </c>
    </row>
    <row r="81" spans="1:9" x14ac:dyDescent="0.2">
      <c r="A81" s="2"/>
      <c r="B81" s="20">
        <v>44980</v>
      </c>
      <c r="C81" s="2"/>
      <c r="D81" s="2"/>
      <c r="E81" s="2" t="s">
        <v>348</v>
      </c>
      <c r="F81" s="3" t="s">
        <v>368</v>
      </c>
      <c r="G81" s="2" t="s">
        <v>36</v>
      </c>
      <c r="H81" s="2"/>
      <c r="I81" s="2">
        <v>50000</v>
      </c>
    </row>
    <row r="82" spans="1:9" x14ac:dyDescent="0.2">
      <c r="A82" s="2"/>
      <c r="B82" s="20">
        <v>44980</v>
      </c>
      <c r="C82" s="2"/>
      <c r="D82" s="2"/>
      <c r="E82" s="2" t="s">
        <v>407</v>
      </c>
      <c r="F82" s="3" t="s">
        <v>408</v>
      </c>
      <c r="G82" s="2" t="s">
        <v>36</v>
      </c>
      <c r="H82" s="2"/>
      <c r="I82" s="2">
        <v>3000</v>
      </c>
    </row>
    <row r="83" spans="1:9" x14ac:dyDescent="0.2">
      <c r="A83" s="2"/>
      <c r="B83" s="20">
        <v>44980</v>
      </c>
      <c r="C83" s="2"/>
      <c r="D83" s="2"/>
      <c r="E83" s="2" t="s">
        <v>402</v>
      </c>
      <c r="F83" s="3" t="s">
        <v>378</v>
      </c>
      <c r="G83" s="2" t="s">
        <v>36</v>
      </c>
      <c r="H83" s="2"/>
      <c r="I83" s="2">
        <v>20500</v>
      </c>
    </row>
    <row r="84" spans="1:9" x14ac:dyDescent="0.2">
      <c r="A84" s="2"/>
      <c r="B84" s="20">
        <v>44980</v>
      </c>
      <c r="C84" s="2"/>
      <c r="D84" s="2"/>
      <c r="E84" s="2" t="s">
        <v>401</v>
      </c>
      <c r="F84" s="2" t="s">
        <v>420</v>
      </c>
      <c r="G84" s="2" t="s">
        <v>36</v>
      </c>
      <c r="H84" s="2"/>
      <c r="I84" s="2">
        <v>39000</v>
      </c>
    </row>
    <row r="85" spans="1:9" x14ac:dyDescent="0.2">
      <c r="A85" s="2"/>
      <c r="B85" s="20">
        <v>44980</v>
      </c>
      <c r="C85" s="2"/>
      <c r="D85" s="2"/>
      <c r="E85" s="2" t="s">
        <v>403</v>
      </c>
      <c r="F85" s="2" t="s">
        <v>421</v>
      </c>
      <c r="G85" s="2" t="s">
        <v>36</v>
      </c>
      <c r="H85" s="2"/>
      <c r="I85" s="2">
        <v>5750</v>
      </c>
    </row>
    <row r="86" spans="1:9" x14ac:dyDescent="0.2">
      <c r="A86" s="11"/>
      <c r="B86" s="27">
        <v>44986</v>
      </c>
      <c r="C86" s="11"/>
      <c r="D86" s="11"/>
      <c r="E86" s="11" t="s">
        <v>402</v>
      </c>
      <c r="F86" s="11" t="s">
        <v>378</v>
      </c>
      <c r="G86" s="11" t="s">
        <v>36</v>
      </c>
      <c r="H86" s="11" t="s">
        <v>33</v>
      </c>
      <c r="I86" s="11">
        <v>18000</v>
      </c>
    </row>
    <row r="87" spans="1:9" x14ac:dyDescent="0.2">
      <c r="A87" s="2"/>
      <c r="B87" s="20">
        <v>44994</v>
      </c>
      <c r="C87" s="2"/>
      <c r="D87" s="2"/>
      <c r="E87" s="2" t="s">
        <v>423</v>
      </c>
      <c r="F87" s="2" t="s">
        <v>424</v>
      </c>
      <c r="G87" s="2" t="s">
        <v>36</v>
      </c>
      <c r="H87" s="2" t="s">
        <v>352</v>
      </c>
      <c r="I87" s="2">
        <v>37000</v>
      </c>
    </row>
    <row r="88" spans="1:9" x14ac:dyDescent="0.2">
      <c r="A88" s="2"/>
      <c r="B88" s="2"/>
      <c r="C88" s="2"/>
      <c r="D88" s="2"/>
      <c r="E88" s="2" t="s">
        <v>423</v>
      </c>
      <c r="F88" s="2" t="s">
        <v>425</v>
      </c>
      <c r="G88" s="2" t="s">
        <v>36</v>
      </c>
      <c r="H88" s="2"/>
      <c r="I88" s="2">
        <v>35500</v>
      </c>
    </row>
    <row r="89" spans="1:9" x14ac:dyDescent="0.2">
      <c r="A89" s="2"/>
      <c r="B89" s="2"/>
      <c r="C89" s="2"/>
      <c r="D89" s="2"/>
      <c r="E89" s="2" t="s">
        <v>427</v>
      </c>
      <c r="F89" s="2" t="s">
        <v>426</v>
      </c>
      <c r="G89" s="2" t="s">
        <v>36</v>
      </c>
      <c r="H89" s="2"/>
      <c r="I89" s="2">
        <v>10000</v>
      </c>
    </row>
    <row r="90" spans="1:9" x14ac:dyDescent="0.2">
      <c r="A90" s="2"/>
      <c r="B90" s="2"/>
      <c r="C90" s="2"/>
      <c r="D90" s="2"/>
      <c r="E90" s="2" t="s">
        <v>136</v>
      </c>
      <c r="F90" s="2" t="s">
        <v>428</v>
      </c>
      <c r="G90" s="2" t="s">
        <v>36</v>
      </c>
      <c r="H90" s="2"/>
      <c r="I90" s="2">
        <v>1000</v>
      </c>
    </row>
    <row r="91" spans="1:9" x14ac:dyDescent="0.2">
      <c r="A91" s="2"/>
      <c r="B91" s="20">
        <v>44998</v>
      </c>
      <c r="C91" s="2"/>
      <c r="D91" s="2"/>
      <c r="E91" s="2" t="s">
        <v>380</v>
      </c>
      <c r="F91" s="2" t="s">
        <v>380</v>
      </c>
      <c r="G91" s="2" t="s">
        <v>127</v>
      </c>
      <c r="H91" s="2" t="s">
        <v>343</v>
      </c>
      <c r="I91" s="2">
        <v>346878</v>
      </c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</sheetData>
  <autoFilter ref="A1:I64" xr:uid="{00000000-0001-0000-0600-000000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2842-CF3D-4365-A850-E17646B2A7B8}">
  <dimension ref="A2:E21"/>
  <sheetViews>
    <sheetView zoomScaleNormal="100" workbookViewId="0">
      <selection activeCell="E9" sqref="E9"/>
    </sheetView>
  </sheetViews>
  <sheetFormatPr defaultRowHeight="15" x14ac:dyDescent="0.2"/>
  <cols>
    <col min="1" max="1" width="15.87109375" bestFit="1" customWidth="1"/>
    <col min="2" max="2" width="15.33203125" bestFit="1" customWidth="1"/>
    <col min="3" max="3" width="7.80078125" bestFit="1" customWidth="1"/>
    <col min="4" max="4" width="6.859375" bestFit="1" customWidth="1"/>
    <col min="5" max="6" width="10.76171875" bestFit="1" customWidth="1"/>
    <col min="7" max="7" width="8.47265625" bestFit="1" customWidth="1"/>
    <col min="8" max="8" width="11.43359375" bestFit="1" customWidth="1"/>
    <col min="9" max="10" width="10.76171875" bestFit="1" customWidth="1"/>
    <col min="11" max="11" width="11.43359375" bestFit="1" customWidth="1"/>
    <col min="12" max="12" width="10.76171875" bestFit="1" customWidth="1"/>
    <col min="13" max="13" width="9.953125" bestFit="1" customWidth="1"/>
    <col min="14" max="14" width="7.80078125" bestFit="1" customWidth="1"/>
    <col min="15" max="15" width="9.4140625" bestFit="1" customWidth="1"/>
    <col min="16" max="16" width="9.55078125" bestFit="1" customWidth="1"/>
    <col min="17" max="17" width="9.68359375" bestFit="1" customWidth="1"/>
    <col min="18" max="18" width="7.93359375" bestFit="1" customWidth="1"/>
    <col min="19" max="20" width="5.78125" bestFit="1" customWidth="1"/>
    <col min="21" max="21" width="9.4140625" bestFit="1" customWidth="1"/>
    <col min="22" max="22" width="9.55078125" bestFit="1" customWidth="1"/>
    <col min="23" max="23" width="6.859375" bestFit="1" customWidth="1"/>
    <col min="24" max="24" width="4.83984375" bestFit="1" customWidth="1"/>
    <col min="25" max="25" width="9.4140625" bestFit="1" customWidth="1"/>
    <col min="26" max="26" width="9.55078125" bestFit="1" customWidth="1"/>
    <col min="27" max="27" width="10.89453125" bestFit="1" customWidth="1"/>
    <col min="28" max="28" width="12.9140625" bestFit="1" customWidth="1"/>
    <col min="29" max="30" width="15.87109375" bestFit="1" customWidth="1"/>
    <col min="31" max="31" width="11.43359375" bestFit="1" customWidth="1"/>
    <col min="32" max="32" width="10.76171875" bestFit="1" customWidth="1"/>
    <col min="33" max="42" width="10.0859375" bestFit="1" customWidth="1"/>
    <col min="43" max="43" width="10.89453125" bestFit="1" customWidth="1"/>
    <col min="44" max="44" width="8.47265625" bestFit="1" customWidth="1"/>
    <col min="45" max="45" width="11.43359375" bestFit="1" customWidth="1"/>
    <col min="46" max="46" width="10.76171875" bestFit="1" customWidth="1"/>
    <col min="47" max="47" width="13.44921875" bestFit="1" customWidth="1"/>
    <col min="48" max="48" width="16.41015625" bestFit="1" customWidth="1"/>
    <col min="49" max="49" width="12.77734375" bestFit="1" customWidth="1"/>
    <col min="50" max="50" width="6.1875" bestFit="1" customWidth="1"/>
    <col min="51" max="51" width="15.87109375" bestFit="1" customWidth="1"/>
    <col min="52" max="52" width="7.26171875" bestFit="1" customWidth="1"/>
    <col min="53" max="53" width="10.22265625" bestFit="1" customWidth="1"/>
    <col min="54" max="54" width="10.76171875" bestFit="1" customWidth="1"/>
    <col min="55" max="55" width="13.71875" bestFit="1" customWidth="1"/>
    <col min="56" max="56" width="13.85546875" bestFit="1" customWidth="1"/>
    <col min="57" max="57" width="16.94921875" bestFit="1" customWidth="1"/>
    <col min="58" max="58" width="16.27734375" bestFit="1" customWidth="1"/>
    <col min="59" max="59" width="19.234375" bestFit="1" customWidth="1"/>
    <col min="60" max="60" width="13.31640625" bestFit="1" customWidth="1"/>
    <col min="61" max="61" width="16.41015625" bestFit="1" customWidth="1"/>
    <col min="62" max="62" width="21.7890625" bestFit="1" customWidth="1"/>
    <col min="63" max="63" width="24.75" bestFit="1" customWidth="1"/>
    <col min="64" max="64" width="11.97265625" bestFit="1" customWidth="1"/>
    <col min="65" max="65" width="14.9296875" bestFit="1" customWidth="1"/>
    <col min="66" max="66" width="12.5078125" bestFit="1" customWidth="1"/>
    <col min="67" max="67" width="15.46875" bestFit="1" customWidth="1"/>
    <col min="68" max="68" width="24.48046875" bestFit="1" customWidth="1"/>
    <col min="69" max="69" width="6.859375" bestFit="1" customWidth="1"/>
    <col min="70" max="70" width="27.57421875" bestFit="1" customWidth="1"/>
    <col min="71" max="71" width="14.2578125" bestFit="1" customWidth="1"/>
    <col min="72" max="72" width="17.3515625" bestFit="1" customWidth="1"/>
    <col min="73" max="73" width="8.47265625" bestFit="1" customWidth="1"/>
    <col min="74" max="74" width="11.43359375" bestFit="1" customWidth="1"/>
    <col min="75" max="75" width="10.76171875" bestFit="1" customWidth="1"/>
  </cols>
  <sheetData>
    <row r="2" spans="1:5" x14ac:dyDescent="0.2">
      <c r="A2" s="56" t="s">
        <v>208</v>
      </c>
      <c r="B2" t="s">
        <v>183</v>
      </c>
    </row>
    <row r="3" spans="1:5" x14ac:dyDescent="0.2">
      <c r="A3" s="56" t="s">
        <v>188</v>
      </c>
      <c r="B3" t="s">
        <v>183</v>
      </c>
    </row>
    <row r="5" spans="1:5" x14ac:dyDescent="0.2">
      <c r="A5" s="56" t="s">
        <v>394</v>
      </c>
      <c r="B5" s="56" t="s">
        <v>187</v>
      </c>
    </row>
    <row r="6" spans="1:5" x14ac:dyDescent="0.2">
      <c r="A6" s="56" t="s">
        <v>184</v>
      </c>
      <c r="B6" t="s">
        <v>352</v>
      </c>
      <c r="C6" t="s">
        <v>343</v>
      </c>
      <c r="D6" t="s">
        <v>33</v>
      </c>
      <c r="E6" t="s">
        <v>185</v>
      </c>
    </row>
    <row r="7" spans="1:5" x14ac:dyDescent="0.2">
      <c r="A7" s="57" t="s">
        <v>398</v>
      </c>
      <c r="B7" s="58">
        <v>77700</v>
      </c>
      <c r="C7" s="58"/>
      <c r="D7" s="58">
        <v>50000</v>
      </c>
      <c r="E7" s="58">
        <v>127700</v>
      </c>
    </row>
    <row r="8" spans="1:5" x14ac:dyDescent="0.2">
      <c r="A8" s="57" t="s">
        <v>391</v>
      </c>
      <c r="B8" s="58">
        <v>6500</v>
      </c>
      <c r="C8" s="58"/>
      <c r="D8" s="58">
        <v>100000</v>
      </c>
      <c r="E8" s="58">
        <v>106500</v>
      </c>
    </row>
    <row r="9" spans="1:5" x14ac:dyDescent="0.2">
      <c r="A9" s="57" t="s">
        <v>402</v>
      </c>
      <c r="B9" s="58">
        <v>43000</v>
      </c>
      <c r="C9" s="58"/>
      <c r="D9" s="58">
        <v>115000</v>
      </c>
      <c r="E9" s="58">
        <v>158000</v>
      </c>
    </row>
    <row r="10" spans="1:5" x14ac:dyDescent="0.2">
      <c r="A10" s="57" t="s">
        <v>401</v>
      </c>
      <c r="B10" s="58">
        <v>81700</v>
      </c>
      <c r="C10" s="58"/>
      <c r="D10" s="58"/>
      <c r="E10" s="58">
        <v>81700</v>
      </c>
    </row>
    <row r="11" spans="1:5" x14ac:dyDescent="0.2">
      <c r="A11" s="57" t="s">
        <v>396</v>
      </c>
      <c r="B11" s="58">
        <v>10000</v>
      </c>
      <c r="C11" s="58"/>
      <c r="D11" s="58"/>
      <c r="E11" s="58">
        <v>10000</v>
      </c>
    </row>
    <row r="12" spans="1:5" x14ac:dyDescent="0.2">
      <c r="A12" s="57" t="s">
        <v>400</v>
      </c>
      <c r="B12" s="58">
        <v>112368</v>
      </c>
      <c r="C12" s="58"/>
      <c r="D12" s="58"/>
      <c r="E12" s="58">
        <v>112368</v>
      </c>
    </row>
    <row r="13" spans="1:5" x14ac:dyDescent="0.2">
      <c r="A13" s="57" t="s">
        <v>308</v>
      </c>
      <c r="B13" s="58"/>
      <c r="C13" s="58"/>
      <c r="D13" s="58">
        <v>23000</v>
      </c>
      <c r="E13" s="58">
        <v>23000</v>
      </c>
    </row>
    <row r="14" spans="1:5" x14ac:dyDescent="0.2">
      <c r="A14" s="57" t="s">
        <v>348</v>
      </c>
      <c r="B14" s="58">
        <v>99000</v>
      </c>
      <c r="C14" s="58"/>
      <c r="D14" s="58">
        <v>21000</v>
      </c>
      <c r="E14" s="58">
        <v>120000</v>
      </c>
    </row>
    <row r="15" spans="1:5" x14ac:dyDescent="0.2">
      <c r="A15" s="57" t="s">
        <v>380</v>
      </c>
      <c r="B15" s="58">
        <v>2400</v>
      </c>
      <c r="C15" s="58">
        <v>1034674</v>
      </c>
      <c r="D15" s="58">
        <v>1469</v>
      </c>
      <c r="E15" s="58">
        <v>1038543</v>
      </c>
    </row>
    <row r="16" spans="1:5" x14ac:dyDescent="0.2">
      <c r="A16" s="57" t="s">
        <v>136</v>
      </c>
      <c r="B16" s="58">
        <v>13137</v>
      </c>
      <c r="C16" s="58"/>
      <c r="D16" s="58"/>
      <c r="E16" s="58">
        <v>13137</v>
      </c>
    </row>
    <row r="17" spans="1:5" x14ac:dyDescent="0.2">
      <c r="A17" s="57" t="s">
        <v>397</v>
      </c>
      <c r="B17" s="58"/>
      <c r="C17" s="58"/>
      <c r="D17" s="58">
        <v>19000</v>
      </c>
      <c r="E17" s="58">
        <v>19000</v>
      </c>
    </row>
    <row r="18" spans="1:5" x14ac:dyDescent="0.2">
      <c r="A18" s="57" t="s">
        <v>399</v>
      </c>
      <c r="B18" s="58">
        <v>23600</v>
      </c>
      <c r="C18" s="58"/>
      <c r="D18" s="58"/>
      <c r="E18" s="58">
        <v>23600</v>
      </c>
    </row>
    <row r="19" spans="1:5" x14ac:dyDescent="0.2">
      <c r="A19" s="57" t="s">
        <v>403</v>
      </c>
      <c r="B19" s="58">
        <v>7000</v>
      </c>
      <c r="C19" s="58"/>
      <c r="D19" s="58"/>
      <c r="E19" s="58">
        <v>7000</v>
      </c>
    </row>
    <row r="20" spans="1:5" x14ac:dyDescent="0.2">
      <c r="A20" s="57" t="s">
        <v>407</v>
      </c>
      <c r="B20" s="58">
        <v>1000</v>
      </c>
      <c r="C20" s="58"/>
      <c r="D20" s="58"/>
      <c r="E20" s="58">
        <v>1000</v>
      </c>
    </row>
    <row r="21" spans="1:5" x14ac:dyDescent="0.2">
      <c r="A21" s="57" t="s">
        <v>185</v>
      </c>
      <c r="B21" s="58">
        <v>477405</v>
      </c>
      <c r="C21" s="58">
        <v>1034674</v>
      </c>
      <c r="D21" s="58">
        <v>329469</v>
      </c>
      <c r="E21" s="58">
        <v>1841548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5C89-2313-6945-8911-F50452B9F4A9}">
  <dimension ref="A1:J61"/>
  <sheetViews>
    <sheetView topLeftCell="F1" zoomScaleNormal="60" zoomScaleSheetLayoutView="100" workbookViewId="0">
      <selection activeCell="H5" sqref="H5"/>
    </sheetView>
  </sheetViews>
  <sheetFormatPr defaultRowHeight="15" x14ac:dyDescent="0.2"/>
  <cols>
    <col min="2" max="2" width="21.5234375" bestFit="1" customWidth="1"/>
    <col min="5" max="5" width="11.296875" bestFit="1" customWidth="1"/>
    <col min="6" max="6" width="12.77734375" bestFit="1" customWidth="1"/>
    <col min="8" max="8" width="13.98828125" customWidth="1"/>
  </cols>
  <sheetData>
    <row r="1" spans="1:10" ht="25.5" x14ac:dyDescent="0.35">
      <c r="B1" s="163" t="s">
        <v>342</v>
      </c>
      <c r="C1" s="163"/>
      <c r="D1" s="25"/>
      <c r="E1" s="25"/>
      <c r="F1" s="147">
        <f>SUM(F5:F61)</f>
        <v>283852</v>
      </c>
    </row>
    <row r="3" spans="1:10" x14ac:dyDescent="0.2">
      <c r="A3" s="2" t="s">
        <v>339</v>
      </c>
      <c r="B3" s="2" t="s">
        <v>1</v>
      </c>
      <c r="C3" s="2" t="s">
        <v>188</v>
      </c>
      <c r="D3" s="143" t="s">
        <v>208</v>
      </c>
      <c r="E3" s="143" t="s">
        <v>346</v>
      </c>
      <c r="F3" s="2" t="s">
        <v>4</v>
      </c>
      <c r="I3" s="9" t="s">
        <v>343</v>
      </c>
      <c r="J3" s="153">
        <v>789292</v>
      </c>
    </row>
    <row r="4" spans="1:10" x14ac:dyDescent="0.2">
      <c r="A4" s="2"/>
      <c r="B4" s="2"/>
      <c r="C4" s="2"/>
      <c r="D4" s="143"/>
      <c r="E4" s="143"/>
      <c r="F4" s="2"/>
      <c r="I4" s="9" t="s">
        <v>344</v>
      </c>
      <c r="J4" s="153">
        <v>894285</v>
      </c>
    </row>
    <row r="5" spans="1:10" x14ac:dyDescent="0.2">
      <c r="A5" s="2">
        <v>1</v>
      </c>
      <c r="B5" s="151">
        <v>44308</v>
      </c>
      <c r="C5" s="2" t="str">
        <f>TEXT(B5,"mmm")</f>
        <v>Apr</v>
      </c>
      <c r="D5" s="143" t="str">
        <f>TEXT(B5,"yyyy")</f>
        <v>2021</v>
      </c>
      <c r="E5" s="156">
        <f ca="1">TODAY()</f>
        <v>44998</v>
      </c>
      <c r="F5" s="2">
        <v>12137</v>
      </c>
      <c r="I5" s="9"/>
      <c r="J5" s="9"/>
    </row>
    <row r="6" spans="1:10" x14ac:dyDescent="0.2">
      <c r="A6" s="2">
        <v>2</v>
      </c>
      <c r="B6" s="151">
        <v>44340</v>
      </c>
      <c r="C6" s="2" t="str">
        <f t="shared" ref="C6:C60" si="0">TEXT(B6,"mmm")</f>
        <v>May</v>
      </c>
      <c r="D6" s="143" t="str">
        <f t="shared" ref="D6:D23" si="1">TEXT(B6,"yyyy")</f>
        <v>2021</v>
      </c>
      <c r="E6" s="156">
        <f t="shared" ref="E6:E24" ca="1" si="2">TODAY()</f>
        <v>44998</v>
      </c>
      <c r="F6" s="2">
        <v>12137</v>
      </c>
      <c r="I6" s="9" t="s">
        <v>347</v>
      </c>
      <c r="J6" s="154">
        <f>J4-J3</f>
        <v>104993</v>
      </c>
    </row>
    <row r="7" spans="1:10" x14ac:dyDescent="0.2">
      <c r="A7" s="2">
        <v>3</v>
      </c>
      <c r="B7" s="151">
        <v>44369</v>
      </c>
      <c r="C7" s="2" t="str">
        <f t="shared" si="0"/>
        <v>Jun</v>
      </c>
      <c r="D7" s="143" t="str">
        <f t="shared" si="1"/>
        <v>2021</v>
      </c>
      <c r="E7" s="156">
        <f t="shared" ca="1" si="2"/>
        <v>44998</v>
      </c>
      <c r="F7" s="2">
        <v>12137</v>
      </c>
    </row>
    <row r="8" spans="1:10" x14ac:dyDescent="0.2">
      <c r="A8" s="2">
        <v>4</v>
      </c>
      <c r="B8" s="151">
        <v>44399</v>
      </c>
      <c r="C8" s="2" t="str">
        <f t="shared" si="0"/>
        <v>Jul</v>
      </c>
      <c r="D8" s="143" t="str">
        <f t="shared" si="1"/>
        <v>2021</v>
      </c>
      <c r="E8" s="156">
        <f t="shared" ca="1" si="2"/>
        <v>44998</v>
      </c>
      <c r="F8" s="2">
        <v>12137</v>
      </c>
    </row>
    <row r="9" spans="1:10" x14ac:dyDescent="0.2">
      <c r="A9" s="2">
        <v>5</v>
      </c>
      <c r="B9" s="151">
        <v>44430</v>
      </c>
      <c r="C9" s="2" t="str">
        <f t="shared" si="0"/>
        <v>Aug</v>
      </c>
      <c r="D9" s="143" t="str">
        <f t="shared" si="1"/>
        <v>2021</v>
      </c>
      <c r="E9" s="156">
        <f t="shared" ca="1" si="2"/>
        <v>44998</v>
      </c>
      <c r="F9" s="2">
        <v>12137</v>
      </c>
    </row>
    <row r="10" spans="1:10" x14ac:dyDescent="0.2">
      <c r="A10" s="2">
        <v>6</v>
      </c>
      <c r="B10" s="151">
        <v>44461</v>
      </c>
      <c r="C10" s="2" t="str">
        <f t="shared" si="0"/>
        <v>Sep</v>
      </c>
      <c r="D10" s="143" t="str">
        <f t="shared" si="1"/>
        <v>2021</v>
      </c>
      <c r="E10" s="156">
        <f t="shared" ca="1" si="2"/>
        <v>44998</v>
      </c>
      <c r="F10" s="2">
        <v>12137</v>
      </c>
      <c r="H10" s="152" t="s">
        <v>345</v>
      </c>
      <c r="I10" s="2" t="s">
        <v>340</v>
      </c>
      <c r="J10" s="152">
        <v>21000</v>
      </c>
    </row>
    <row r="11" spans="1:10" x14ac:dyDescent="0.2">
      <c r="A11" s="2">
        <v>7</v>
      </c>
      <c r="B11" s="151">
        <v>44491</v>
      </c>
      <c r="C11" s="2" t="str">
        <f t="shared" si="0"/>
        <v>Oct</v>
      </c>
      <c r="D11" s="143" t="str">
        <f t="shared" si="1"/>
        <v>2021</v>
      </c>
      <c r="E11" s="156">
        <f t="shared" ca="1" si="2"/>
        <v>44998</v>
      </c>
      <c r="F11" s="2">
        <v>12137</v>
      </c>
      <c r="H11" s="155">
        <v>44277</v>
      </c>
      <c r="I11" s="2" t="s">
        <v>11</v>
      </c>
      <c r="J11" s="152">
        <v>100000</v>
      </c>
    </row>
    <row r="12" spans="1:10" x14ac:dyDescent="0.2">
      <c r="A12" s="2">
        <v>8</v>
      </c>
      <c r="B12" s="151">
        <v>44522</v>
      </c>
      <c r="C12" s="2" t="str">
        <f t="shared" si="0"/>
        <v>Nov</v>
      </c>
      <c r="D12" s="143" t="str">
        <f t="shared" si="1"/>
        <v>2021</v>
      </c>
      <c r="E12" s="156">
        <f t="shared" ca="1" si="2"/>
        <v>44998</v>
      </c>
      <c r="F12" s="2">
        <v>12137</v>
      </c>
      <c r="H12" s="150"/>
      <c r="J12" s="150">
        <v>20000</v>
      </c>
    </row>
    <row r="13" spans="1:10" x14ac:dyDescent="0.2">
      <c r="A13" s="2">
        <v>9</v>
      </c>
      <c r="B13" s="151">
        <v>44552</v>
      </c>
      <c r="C13" s="2" t="str">
        <f t="shared" si="0"/>
        <v>Dec</v>
      </c>
      <c r="D13" s="143" t="str">
        <f t="shared" si="1"/>
        <v>2021</v>
      </c>
      <c r="E13" s="156">
        <f t="shared" ca="1" si="2"/>
        <v>44998</v>
      </c>
      <c r="F13" s="2">
        <v>12137</v>
      </c>
    </row>
    <row r="14" spans="1:10" x14ac:dyDescent="0.2">
      <c r="A14" s="2">
        <v>10</v>
      </c>
      <c r="B14" s="151">
        <v>44583</v>
      </c>
      <c r="C14" s="2" t="str">
        <f t="shared" si="0"/>
        <v>Jan</v>
      </c>
      <c r="D14" s="143" t="str">
        <f t="shared" si="1"/>
        <v>2022</v>
      </c>
      <c r="E14" s="156">
        <f t="shared" ca="1" si="2"/>
        <v>44998</v>
      </c>
      <c r="F14" s="2">
        <v>12137</v>
      </c>
      <c r="H14" s="164" t="s">
        <v>341</v>
      </c>
      <c r="I14" s="164"/>
      <c r="J14" s="157">
        <f>SUM(F1,J6)</f>
        <v>388845</v>
      </c>
    </row>
    <row r="15" spans="1:10" x14ac:dyDescent="0.2">
      <c r="A15" s="2">
        <v>11</v>
      </c>
      <c r="B15" s="151">
        <v>44614</v>
      </c>
      <c r="C15" s="2" t="str">
        <f t="shared" si="0"/>
        <v>Feb</v>
      </c>
      <c r="D15" s="143" t="str">
        <f t="shared" si="1"/>
        <v>2022</v>
      </c>
      <c r="E15" s="156">
        <f t="shared" ca="1" si="2"/>
        <v>44998</v>
      </c>
      <c r="F15" s="2">
        <v>12137</v>
      </c>
    </row>
    <row r="16" spans="1:10" x14ac:dyDescent="0.2">
      <c r="A16" s="2">
        <f>SUM(A15,1)</f>
        <v>12</v>
      </c>
      <c r="B16" s="151">
        <v>44642</v>
      </c>
      <c r="C16" s="2" t="str">
        <f t="shared" si="0"/>
        <v>Mar</v>
      </c>
      <c r="D16" s="143" t="str">
        <f t="shared" si="1"/>
        <v>2022</v>
      </c>
      <c r="E16" s="156">
        <f t="shared" ca="1" si="2"/>
        <v>44998</v>
      </c>
      <c r="F16" s="2">
        <v>12137</v>
      </c>
    </row>
    <row r="17" spans="1:6" x14ac:dyDescent="0.2">
      <c r="A17" s="2">
        <f t="shared" ref="A17:A60" si="3">SUM(A16,1)</f>
        <v>13</v>
      </c>
      <c r="B17" s="151">
        <v>44673</v>
      </c>
      <c r="C17" s="2" t="str">
        <f t="shared" si="0"/>
        <v>Apr</v>
      </c>
      <c r="D17" s="143" t="str">
        <f t="shared" si="1"/>
        <v>2022</v>
      </c>
      <c r="E17" s="156">
        <f t="shared" ca="1" si="2"/>
        <v>44998</v>
      </c>
      <c r="F17" s="2">
        <v>12137</v>
      </c>
    </row>
    <row r="18" spans="1:6" x14ac:dyDescent="0.2">
      <c r="A18" s="2">
        <f t="shared" si="3"/>
        <v>14</v>
      </c>
      <c r="B18" s="151">
        <v>44703</v>
      </c>
      <c r="C18" s="2" t="str">
        <f t="shared" si="0"/>
        <v>May</v>
      </c>
      <c r="D18" s="143" t="str">
        <f t="shared" si="1"/>
        <v>2022</v>
      </c>
      <c r="E18" s="156">
        <f t="shared" ca="1" si="2"/>
        <v>44998</v>
      </c>
      <c r="F18" s="2">
        <v>12273</v>
      </c>
    </row>
    <row r="19" spans="1:6" x14ac:dyDescent="0.2">
      <c r="A19" s="2">
        <f t="shared" si="3"/>
        <v>15</v>
      </c>
      <c r="B19" s="151">
        <v>44734</v>
      </c>
      <c r="C19" s="2" t="str">
        <f t="shared" si="0"/>
        <v>Jun</v>
      </c>
      <c r="D19" s="143" t="str">
        <f t="shared" si="1"/>
        <v>2022</v>
      </c>
      <c r="E19" s="156">
        <f t="shared" ca="1" si="2"/>
        <v>44998</v>
      </c>
      <c r="F19" s="2">
        <v>12273</v>
      </c>
    </row>
    <row r="20" spans="1:6" x14ac:dyDescent="0.2">
      <c r="A20" s="2">
        <f t="shared" si="3"/>
        <v>16</v>
      </c>
      <c r="B20" s="151">
        <v>44764</v>
      </c>
      <c r="C20" s="2" t="str">
        <f t="shared" si="0"/>
        <v>Jul</v>
      </c>
      <c r="D20" s="143" t="str">
        <f t="shared" si="1"/>
        <v>2022</v>
      </c>
      <c r="E20" s="156">
        <f t="shared" ca="1" si="2"/>
        <v>44998</v>
      </c>
      <c r="F20" s="2">
        <v>12439</v>
      </c>
    </row>
    <row r="21" spans="1:6" x14ac:dyDescent="0.2">
      <c r="A21" s="2">
        <f t="shared" si="3"/>
        <v>17</v>
      </c>
      <c r="B21" s="151">
        <v>44795</v>
      </c>
      <c r="C21" s="2" t="str">
        <f t="shared" si="0"/>
        <v>Aug</v>
      </c>
      <c r="D21" s="143" t="str">
        <f t="shared" si="1"/>
        <v>2022</v>
      </c>
      <c r="E21" s="156">
        <f t="shared" ca="1" si="2"/>
        <v>44998</v>
      </c>
      <c r="F21" s="2">
        <v>12439</v>
      </c>
    </row>
    <row r="22" spans="1:6" x14ac:dyDescent="0.2">
      <c r="A22" s="2">
        <f t="shared" si="3"/>
        <v>18</v>
      </c>
      <c r="B22" s="151">
        <v>44826</v>
      </c>
      <c r="C22" s="2" t="str">
        <f t="shared" si="0"/>
        <v>Sep</v>
      </c>
      <c r="D22" s="143" t="str">
        <f t="shared" si="1"/>
        <v>2022</v>
      </c>
      <c r="E22" s="156">
        <f t="shared" ca="1" si="2"/>
        <v>44998</v>
      </c>
      <c r="F22" s="2">
        <v>12603</v>
      </c>
    </row>
    <row r="23" spans="1:6" x14ac:dyDescent="0.2">
      <c r="A23" s="2">
        <f t="shared" si="3"/>
        <v>19</v>
      </c>
      <c r="B23" s="151">
        <v>44856</v>
      </c>
      <c r="C23" s="2" t="str">
        <f t="shared" si="0"/>
        <v>Oct</v>
      </c>
      <c r="D23" s="143" t="str">
        <f t="shared" si="1"/>
        <v>2022</v>
      </c>
      <c r="E23" s="156">
        <f t="shared" ca="1" si="2"/>
        <v>44998</v>
      </c>
      <c r="F23" s="2">
        <v>12766</v>
      </c>
    </row>
    <row r="24" spans="1:6" x14ac:dyDescent="0.2">
      <c r="A24" s="2">
        <f t="shared" si="3"/>
        <v>20</v>
      </c>
      <c r="B24" s="151">
        <v>44887</v>
      </c>
      <c r="C24" s="2" t="str">
        <f t="shared" si="0"/>
        <v>Nov</v>
      </c>
      <c r="D24" s="143" t="str">
        <f t="shared" ref="D24:D60" si="4">TEXT(B24,"yyyy")</f>
        <v>2022</v>
      </c>
      <c r="E24" s="156">
        <f t="shared" ca="1" si="2"/>
        <v>44998</v>
      </c>
      <c r="F24" s="2">
        <v>12766</v>
      </c>
    </row>
    <row r="25" spans="1:6" x14ac:dyDescent="0.2">
      <c r="A25" s="2">
        <f>SUM(A24,1)</f>
        <v>21</v>
      </c>
      <c r="B25" s="151">
        <v>44917</v>
      </c>
      <c r="C25" s="2" t="str">
        <f t="shared" si="0"/>
        <v>Dec</v>
      </c>
      <c r="D25" s="143" t="str">
        <f t="shared" si="4"/>
        <v>2022</v>
      </c>
      <c r="E25" s="156">
        <f ca="1">TODAY()</f>
        <v>44998</v>
      </c>
      <c r="F25" s="2">
        <v>12766</v>
      </c>
    </row>
    <row r="26" spans="1:6" x14ac:dyDescent="0.2">
      <c r="A26" s="2">
        <f t="shared" si="3"/>
        <v>22</v>
      </c>
      <c r="B26" s="151">
        <v>44948</v>
      </c>
      <c r="C26" s="2" t="str">
        <f t="shared" si="0"/>
        <v>Jan</v>
      </c>
      <c r="D26" s="143" t="str">
        <f t="shared" si="4"/>
        <v>2023</v>
      </c>
      <c r="E26" s="156">
        <f ca="1">TODAY()</f>
        <v>44998</v>
      </c>
      <c r="F26" s="2">
        <v>12873</v>
      </c>
    </row>
    <row r="27" spans="1:6" x14ac:dyDescent="0.2">
      <c r="A27" s="2">
        <f t="shared" si="3"/>
        <v>23</v>
      </c>
      <c r="B27" s="151">
        <v>44979</v>
      </c>
      <c r="C27" s="2" t="str">
        <f t="shared" si="0"/>
        <v>Feb</v>
      </c>
      <c r="D27" s="143" t="str">
        <f t="shared" si="4"/>
        <v>2023</v>
      </c>
      <c r="E27" s="156">
        <f ca="1">TODAY()</f>
        <v>44998</v>
      </c>
      <c r="F27" s="2">
        <v>12873</v>
      </c>
    </row>
    <row r="28" spans="1:6" x14ac:dyDescent="0.2">
      <c r="A28" s="2">
        <f t="shared" si="3"/>
        <v>24</v>
      </c>
      <c r="B28" s="151">
        <v>44948</v>
      </c>
      <c r="C28" s="2" t="str">
        <f t="shared" si="0"/>
        <v>Jan</v>
      </c>
      <c r="D28" s="143" t="str">
        <f t="shared" si="4"/>
        <v>2023</v>
      </c>
      <c r="E28" s="156">
        <f ca="1">TODAY()</f>
        <v>44998</v>
      </c>
      <c r="F28" s="2"/>
    </row>
    <row r="29" spans="1:6" x14ac:dyDescent="0.2">
      <c r="A29" s="2">
        <f t="shared" si="3"/>
        <v>25</v>
      </c>
      <c r="B29" s="151">
        <v>44948</v>
      </c>
      <c r="C29" s="2" t="str">
        <f t="shared" si="0"/>
        <v>Jan</v>
      </c>
      <c r="D29" s="143" t="str">
        <f t="shared" si="4"/>
        <v>2023</v>
      </c>
      <c r="E29" s="156">
        <f ca="1">TODAY()</f>
        <v>44998</v>
      </c>
      <c r="F29" s="2"/>
    </row>
    <row r="30" spans="1:6" x14ac:dyDescent="0.2">
      <c r="A30" s="2">
        <f t="shared" si="3"/>
        <v>26</v>
      </c>
      <c r="B30" s="151">
        <v>44948</v>
      </c>
      <c r="C30" s="2" t="str">
        <f t="shared" si="0"/>
        <v>Jan</v>
      </c>
      <c r="D30" s="143" t="str">
        <f t="shared" si="4"/>
        <v>2023</v>
      </c>
      <c r="E30" s="156">
        <f ca="1">TODAY()</f>
        <v>44998</v>
      </c>
      <c r="F30" s="2"/>
    </row>
    <row r="31" spans="1:6" x14ac:dyDescent="0.2">
      <c r="A31" s="2">
        <f t="shared" si="3"/>
        <v>27</v>
      </c>
      <c r="B31" s="151">
        <v>44948</v>
      </c>
      <c r="C31" s="2" t="str">
        <f t="shared" si="0"/>
        <v>Jan</v>
      </c>
      <c r="D31" s="143" t="str">
        <f t="shared" si="4"/>
        <v>2023</v>
      </c>
      <c r="E31" s="143"/>
      <c r="F31" s="2"/>
    </row>
    <row r="32" spans="1:6" x14ac:dyDescent="0.2">
      <c r="A32" s="2">
        <f t="shared" si="3"/>
        <v>28</v>
      </c>
      <c r="B32" s="151">
        <v>44948</v>
      </c>
      <c r="C32" s="2" t="str">
        <f t="shared" si="0"/>
        <v>Jan</v>
      </c>
      <c r="D32" s="143" t="str">
        <f t="shared" si="4"/>
        <v>2023</v>
      </c>
      <c r="E32" s="143"/>
      <c r="F32" s="2"/>
    </row>
    <row r="33" spans="1:6" x14ac:dyDescent="0.2">
      <c r="A33" s="2">
        <f t="shared" si="3"/>
        <v>29</v>
      </c>
      <c r="B33" s="151">
        <v>44948</v>
      </c>
      <c r="C33" s="2" t="str">
        <f t="shared" si="0"/>
        <v>Jan</v>
      </c>
      <c r="D33" s="143" t="str">
        <f t="shared" si="4"/>
        <v>2023</v>
      </c>
      <c r="E33" s="143"/>
      <c r="F33" s="2"/>
    </row>
    <row r="34" spans="1:6" x14ac:dyDescent="0.2">
      <c r="A34" s="2">
        <f t="shared" si="3"/>
        <v>30</v>
      </c>
      <c r="B34" s="151">
        <v>44948</v>
      </c>
      <c r="C34" s="2" t="str">
        <f t="shared" si="0"/>
        <v>Jan</v>
      </c>
      <c r="D34" s="143" t="str">
        <f t="shared" si="4"/>
        <v>2023</v>
      </c>
      <c r="E34" s="143"/>
      <c r="F34" s="2"/>
    </row>
    <row r="35" spans="1:6" x14ac:dyDescent="0.2">
      <c r="A35" s="2">
        <f t="shared" si="3"/>
        <v>31</v>
      </c>
      <c r="B35" s="151">
        <v>44948</v>
      </c>
      <c r="C35" s="2" t="str">
        <f t="shared" si="0"/>
        <v>Jan</v>
      </c>
      <c r="D35" s="143" t="str">
        <f t="shared" si="4"/>
        <v>2023</v>
      </c>
      <c r="E35" s="143"/>
      <c r="F35" s="2"/>
    </row>
    <row r="36" spans="1:6" x14ac:dyDescent="0.2">
      <c r="A36" s="2">
        <f t="shared" si="3"/>
        <v>32</v>
      </c>
      <c r="B36" s="151">
        <v>44948</v>
      </c>
      <c r="C36" s="2" t="str">
        <f t="shared" si="0"/>
        <v>Jan</v>
      </c>
      <c r="D36" s="143" t="str">
        <f t="shared" si="4"/>
        <v>2023</v>
      </c>
      <c r="E36" s="143"/>
      <c r="F36" s="2"/>
    </row>
    <row r="37" spans="1:6" x14ac:dyDescent="0.2">
      <c r="A37" s="2">
        <f t="shared" si="3"/>
        <v>33</v>
      </c>
      <c r="B37" s="151">
        <v>44948</v>
      </c>
      <c r="C37" s="2" t="str">
        <f t="shared" si="0"/>
        <v>Jan</v>
      </c>
      <c r="D37" s="143" t="str">
        <f t="shared" si="4"/>
        <v>2023</v>
      </c>
      <c r="E37" s="143"/>
      <c r="F37" s="2"/>
    </row>
    <row r="38" spans="1:6" x14ac:dyDescent="0.2">
      <c r="A38" s="2">
        <f t="shared" si="3"/>
        <v>34</v>
      </c>
      <c r="B38" s="151">
        <v>44948</v>
      </c>
      <c r="C38" s="2" t="str">
        <f t="shared" si="0"/>
        <v>Jan</v>
      </c>
      <c r="D38" s="143" t="str">
        <f t="shared" si="4"/>
        <v>2023</v>
      </c>
      <c r="E38" s="143"/>
      <c r="F38" s="2"/>
    </row>
    <row r="39" spans="1:6" x14ac:dyDescent="0.2">
      <c r="A39" s="2">
        <f t="shared" si="3"/>
        <v>35</v>
      </c>
      <c r="B39" s="151">
        <v>44948</v>
      </c>
      <c r="C39" s="2" t="str">
        <f t="shared" si="0"/>
        <v>Jan</v>
      </c>
      <c r="D39" s="143" t="str">
        <f t="shared" si="4"/>
        <v>2023</v>
      </c>
      <c r="E39" s="143"/>
      <c r="F39" s="2"/>
    </row>
    <row r="40" spans="1:6" x14ac:dyDescent="0.2">
      <c r="A40" s="2">
        <f t="shared" si="3"/>
        <v>36</v>
      </c>
      <c r="B40" s="151">
        <v>44948</v>
      </c>
      <c r="C40" s="2" t="str">
        <f t="shared" si="0"/>
        <v>Jan</v>
      </c>
      <c r="D40" s="143" t="str">
        <f t="shared" si="4"/>
        <v>2023</v>
      </c>
      <c r="E40" s="143"/>
      <c r="F40" s="2"/>
    </row>
    <row r="41" spans="1:6" x14ac:dyDescent="0.2">
      <c r="A41" s="2">
        <f t="shared" si="3"/>
        <v>37</v>
      </c>
      <c r="B41" s="151">
        <v>44948</v>
      </c>
      <c r="C41" s="2" t="str">
        <f t="shared" si="0"/>
        <v>Jan</v>
      </c>
      <c r="D41" s="143" t="str">
        <f t="shared" si="4"/>
        <v>2023</v>
      </c>
      <c r="E41" s="143"/>
      <c r="F41" s="2"/>
    </row>
    <row r="42" spans="1:6" x14ac:dyDescent="0.2">
      <c r="A42" s="2">
        <f t="shared" si="3"/>
        <v>38</v>
      </c>
      <c r="B42" s="151">
        <v>44948</v>
      </c>
      <c r="C42" s="2" t="str">
        <f t="shared" si="0"/>
        <v>Jan</v>
      </c>
      <c r="D42" s="143" t="str">
        <f t="shared" si="4"/>
        <v>2023</v>
      </c>
      <c r="E42" s="143"/>
      <c r="F42" s="2"/>
    </row>
    <row r="43" spans="1:6" x14ac:dyDescent="0.2">
      <c r="A43" s="2">
        <f t="shared" si="3"/>
        <v>39</v>
      </c>
      <c r="B43" s="151">
        <v>44948</v>
      </c>
      <c r="C43" s="2" t="str">
        <f t="shared" si="0"/>
        <v>Jan</v>
      </c>
      <c r="D43" s="143" t="str">
        <f t="shared" si="4"/>
        <v>2023</v>
      </c>
      <c r="E43" s="143"/>
      <c r="F43" s="2"/>
    </row>
    <row r="44" spans="1:6" x14ac:dyDescent="0.2">
      <c r="A44" s="2">
        <f t="shared" si="3"/>
        <v>40</v>
      </c>
      <c r="B44" s="151">
        <v>44948</v>
      </c>
      <c r="C44" s="2" t="str">
        <f t="shared" si="0"/>
        <v>Jan</v>
      </c>
      <c r="D44" s="143" t="str">
        <f t="shared" si="4"/>
        <v>2023</v>
      </c>
      <c r="E44" s="143"/>
      <c r="F44" s="2"/>
    </row>
    <row r="45" spans="1:6" x14ac:dyDescent="0.2">
      <c r="A45" s="2">
        <f t="shared" si="3"/>
        <v>41</v>
      </c>
      <c r="B45" s="151">
        <v>44948</v>
      </c>
      <c r="C45" s="2" t="str">
        <f t="shared" si="0"/>
        <v>Jan</v>
      </c>
      <c r="D45" s="143" t="str">
        <f t="shared" si="4"/>
        <v>2023</v>
      </c>
      <c r="E45" s="143"/>
      <c r="F45" s="2"/>
    </row>
    <row r="46" spans="1:6" x14ac:dyDescent="0.2">
      <c r="A46" s="2">
        <f t="shared" si="3"/>
        <v>42</v>
      </c>
      <c r="B46" s="151">
        <v>44948</v>
      </c>
      <c r="C46" s="2" t="str">
        <f t="shared" si="0"/>
        <v>Jan</v>
      </c>
      <c r="D46" s="143" t="str">
        <f t="shared" si="4"/>
        <v>2023</v>
      </c>
      <c r="E46" s="143"/>
      <c r="F46" s="2"/>
    </row>
    <row r="47" spans="1:6" x14ac:dyDescent="0.2">
      <c r="A47" s="2">
        <f t="shared" si="3"/>
        <v>43</v>
      </c>
      <c r="B47" s="151">
        <v>44948</v>
      </c>
      <c r="C47" s="2" t="str">
        <f t="shared" si="0"/>
        <v>Jan</v>
      </c>
      <c r="D47" s="143" t="str">
        <f t="shared" si="4"/>
        <v>2023</v>
      </c>
      <c r="E47" s="143"/>
      <c r="F47" s="2"/>
    </row>
    <row r="48" spans="1:6" x14ac:dyDescent="0.2">
      <c r="A48" s="2">
        <f t="shared" si="3"/>
        <v>44</v>
      </c>
      <c r="B48" s="151">
        <v>44948</v>
      </c>
      <c r="C48" s="2" t="str">
        <f t="shared" si="0"/>
        <v>Jan</v>
      </c>
      <c r="D48" s="143" t="str">
        <f t="shared" si="4"/>
        <v>2023</v>
      </c>
      <c r="E48" s="143"/>
      <c r="F48" s="2"/>
    </row>
    <row r="49" spans="1:6" x14ac:dyDescent="0.2">
      <c r="A49" s="2">
        <f t="shared" si="3"/>
        <v>45</v>
      </c>
      <c r="B49" s="151">
        <v>44948</v>
      </c>
      <c r="C49" s="2" t="str">
        <f t="shared" si="0"/>
        <v>Jan</v>
      </c>
      <c r="D49" s="143" t="str">
        <f t="shared" si="4"/>
        <v>2023</v>
      </c>
      <c r="E49" s="143"/>
      <c r="F49" s="2"/>
    </row>
    <row r="50" spans="1:6" x14ac:dyDescent="0.2">
      <c r="A50" s="2">
        <f t="shared" si="3"/>
        <v>46</v>
      </c>
      <c r="B50" s="151">
        <v>44948</v>
      </c>
      <c r="C50" s="2" t="str">
        <f t="shared" si="0"/>
        <v>Jan</v>
      </c>
      <c r="D50" s="143" t="str">
        <f t="shared" si="4"/>
        <v>2023</v>
      </c>
      <c r="E50" s="143"/>
      <c r="F50" s="2"/>
    </row>
    <row r="51" spans="1:6" x14ac:dyDescent="0.2">
      <c r="A51" s="2">
        <f t="shared" si="3"/>
        <v>47</v>
      </c>
      <c r="B51" s="151">
        <v>44948</v>
      </c>
      <c r="C51" s="2" t="str">
        <f t="shared" si="0"/>
        <v>Jan</v>
      </c>
      <c r="D51" s="143" t="str">
        <f t="shared" si="4"/>
        <v>2023</v>
      </c>
      <c r="E51" s="143"/>
      <c r="F51" s="2"/>
    </row>
    <row r="52" spans="1:6" x14ac:dyDescent="0.2">
      <c r="A52" s="2">
        <f t="shared" si="3"/>
        <v>48</v>
      </c>
      <c r="B52" s="151">
        <v>44948</v>
      </c>
      <c r="C52" s="2" t="str">
        <f t="shared" si="0"/>
        <v>Jan</v>
      </c>
      <c r="D52" s="143" t="str">
        <f t="shared" si="4"/>
        <v>2023</v>
      </c>
      <c r="E52" s="143"/>
      <c r="F52" s="2"/>
    </row>
    <row r="53" spans="1:6" x14ac:dyDescent="0.2">
      <c r="A53" s="2">
        <f t="shared" si="3"/>
        <v>49</v>
      </c>
      <c r="B53" s="151">
        <v>44948</v>
      </c>
      <c r="C53" s="2" t="str">
        <f t="shared" si="0"/>
        <v>Jan</v>
      </c>
      <c r="D53" s="143" t="str">
        <f t="shared" si="4"/>
        <v>2023</v>
      </c>
      <c r="E53" s="143"/>
      <c r="F53" s="2"/>
    </row>
    <row r="54" spans="1:6" x14ac:dyDescent="0.2">
      <c r="A54" s="2">
        <f t="shared" si="3"/>
        <v>50</v>
      </c>
      <c r="B54" s="151">
        <v>44948</v>
      </c>
      <c r="C54" s="2" t="str">
        <f t="shared" si="0"/>
        <v>Jan</v>
      </c>
      <c r="D54" s="143" t="str">
        <f t="shared" si="4"/>
        <v>2023</v>
      </c>
      <c r="E54" s="143"/>
      <c r="F54" s="2"/>
    </row>
    <row r="55" spans="1:6" x14ac:dyDescent="0.2">
      <c r="A55" s="2">
        <f t="shared" si="3"/>
        <v>51</v>
      </c>
      <c r="B55" s="151">
        <v>44948</v>
      </c>
      <c r="C55" s="2" t="str">
        <f t="shared" si="0"/>
        <v>Jan</v>
      </c>
      <c r="D55" s="143" t="str">
        <f t="shared" si="4"/>
        <v>2023</v>
      </c>
      <c r="E55" s="133"/>
      <c r="F55" s="11"/>
    </row>
    <row r="56" spans="1:6" x14ac:dyDescent="0.2">
      <c r="A56" s="143">
        <f t="shared" si="3"/>
        <v>52</v>
      </c>
      <c r="B56" s="151">
        <v>44948</v>
      </c>
      <c r="C56" s="2" t="str">
        <f t="shared" si="0"/>
        <v>Jan</v>
      </c>
      <c r="D56" s="143" t="str">
        <f t="shared" si="4"/>
        <v>2023</v>
      </c>
      <c r="E56" s="2"/>
      <c r="F56" s="2"/>
    </row>
    <row r="57" spans="1:6" x14ac:dyDescent="0.2">
      <c r="A57" s="143">
        <f t="shared" si="3"/>
        <v>53</v>
      </c>
      <c r="B57" s="151">
        <v>44948</v>
      </c>
      <c r="C57" s="2" t="str">
        <f t="shared" si="0"/>
        <v>Jan</v>
      </c>
      <c r="D57" s="143" t="str">
        <f t="shared" si="4"/>
        <v>2023</v>
      </c>
      <c r="E57" s="2"/>
      <c r="F57" s="2"/>
    </row>
    <row r="58" spans="1:6" x14ac:dyDescent="0.2">
      <c r="A58" s="143">
        <f t="shared" si="3"/>
        <v>54</v>
      </c>
      <c r="B58" s="151">
        <v>44948</v>
      </c>
      <c r="C58" s="2" t="str">
        <f t="shared" si="0"/>
        <v>Jan</v>
      </c>
      <c r="D58" s="143" t="str">
        <f t="shared" si="4"/>
        <v>2023</v>
      </c>
      <c r="E58" s="2"/>
      <c r="F58" s="2"/>
    </row>
    <row r="59" spans="1:6" x14ac:dyDescent="0.2">
      <c r="A59" s="143">
        <f t="shared" si="3"/>
        <v>55</v>
      </c>
      <c r="B59" s="151">
        <v>44948</v>
      </c>
      <c r="C59" s="2" t="str">
        <f t="shared" si="0"/>
        <v>Jan</v>
      </c>
      <c r="D59" s="143" t="str">
        <f t="shared" si="4"/>
        <v>2023</v>
      </c>
      <c r="E59" s="2"/>
      <c r="F59" s="2"/>
    </row>
    <row r="60" spans="1:6" x14ac:dyDescent="0.2">
      <c r="A60" s="143">
        <f t="shared" si="3"/>
        <v>56</v>
      </c>
      <c r="B60" s="151">
        <v>44948</v>
      </c>
      <c r="C60" s="2" t="str">
        <f t="shared" si="0"/>
        <v>Jan</v>
      </c>
      <c r="D60" s="143" t="str">
        <f t="shared" si="4"/>
        <v>2023</v>
      </c>
      <c r="E60" s="2"/>
      <c r="F60" s="2"/>
    </row>
    <row r="61" spans="1:6" x14ac:dyDescent="0.2">
      <c r="B61" s="2"/>
      <c r="C61" s="2"/>
      <c r="D61" s="2"/>
      <c r="E61" s="2"/>
      <c r="F61" s="2"/>
    </row>
  </sheetData>
  <mergeCells count="2">
    <mergeCell ref="B1:C1"/>
    <mergeCell ref="H14:I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8F01-6324-024E-B1E3-15ECDDAB291E}">
  <dimension ref="A1:F4"/>
  <sheetViews>
    <sheetView zoomScaleNormal="60" zoomScaleSheetLayoutView="100" workbookViewId="0">
      <selection activeCell="F4" sqref="F4"/>
    </sheetView>
  </sheetViews>
  <sheetFormatPr defaultRowHeight="15" x14ac:dyDescent="0.2"/>
  <cols>
    <col min="2" max="3" width="10.76171875" bestFit="1" customWidth="1"/>
  </cols>
  <sheetData>
    <row r="1" spans="1:6" x14ac:dyDescent="0.2">
      <c r="A1" t="s">
        <v>2</v>
      </c>
      <c r="B1" t="s">
        <v>411</v>
      </c>
      <c r="C1" t="s">
        <v>346</v>
      </c>
      <c r="D1" t="s">
        <v>412</v>
      </c>
      <c r="E1" t="s">
        <v>413</v>
      </c>
      <c r="F1" t="s">
        <v>4</v>
      </c>
    </row>
    <row r="3" spans="1:6" x14ac:dyDescent="0.2">
      <c r="A3">
        <v>1</v>
      </c>
      <c r="B3" s="1">
        <v>44962</v>
      </c>
      <c r="C3" s="1">
        <f ca="1">TODAY()</f>
        <v>44998</v>
      </c>
      <c r="D3" t="str">
        <f>TEXT(B3,"mmm")</f>
        <v>Feb</v>
      </c>
      <c r="E3" t="str">
        <f>TEXT(B3,"yyyy")</f>
        <v>2023</v>
      </c>
      <c r="F3">
        <v>10586</v>
      </c>
    </row>
    <row r="4" spans="1:6" x14ac:dyDescent="0.2">
      <c r="A4">
        <v>2</v>
      </c>
      <c r="B4" s="1">
        <v>44990</v>
      </c>
      <c r="C4" s="1">
        <f ca="1">TODAY()</f>
        <v>44998</v>
      </c>
      <c r="F4">
        <v>10586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4"/>
  <sheetViews>
    <sheetView topLeftCell="B25" zoomScaleNormal="60" zoomScaleSheetLayoutView="100" workbookViewId="0">
      <selection activeCell="J35" sqref="J35"/>
    </sheetView>
  </sheetViews>
  <sheetFormatPr defaultRowHeight="15" x14ac:dyDescent="0.2"/>
  <cols>
    <col min="1" max="1" width="6.9921875" customWidth="1"/>
    <col min="2" max="2" width="23.40625" customWidth="1"/>
    <col min="3" max="3" width="7.80078125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25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25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</row>
    <row r="5" spans="1:5" x14ac:dyDescent="0.2">
      <c r="A5" s="2">
        <v>4</v>
      </c>
      <c r="B5" s="2" t="s">
        <v>9</v>
      </c>
      <c r="C5" s="2">
        <v>500</v>
      </c>
      <c r="D5" s="2" t="s">
        <v>25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121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25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25</v>
      </c>
    </row>
    <row r="17" spans="1:4" x14ac:dyDescent="0.2">
      <c r="A17" s="2">
        <v>16</v>
      </c>
      <c r="B17" s="2" t="s">
        <v>26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27</v>
      </c>
      <c r="C18" s="2">
        <v>2000</v>
      </c>
      <c r="D18" s="2" t="s">
        <v>25</v>
      </c>
    </row>
    <row r="19" spans="1:4" x14ac:dyDescent="0.2">
      <c r="A19" s="2">
        <v>18</v>
      </c>
      <c r="B19" s="2" t="s">
        <v>28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29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100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38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77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93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94</v>
      </c>
      <c r="C25" s="2">
        <v>1000</v>
      </c>
      <c r="D25" s="2" t="s">
        <v>25</v>
      </c>
    </row>
    <row r="26" spans="1:4" x14ac:dyDescent="0.2">
      <c r="A26" s="2">
        <v>25</v>
      </c>
      <c r="B26" s="2" t="s">
        <v>95</v>
      </c>
      <c r="C26" s="2">
        <v>1000</v>
      </c>
      <c r="D26" s="2" t="s">
        <v>25</v>
      </c>
    </row>
    <row r="27" spans="1:4" x14ac:dyDescent="0.2">
      <c r="A27" s="2">
        <v>26</v>
      </c>
      <c r="B27" s="2" t="s">
        <v>98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99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101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102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104</v>
      </c>
      <c r="C31" s="2">
        <v>1500</v>
      </c>
      <c r="D31" s="2" t="s">
        <v>25</v>
      </c>
    </row>
    <row r="32" spans="1:4" x14ac:dyDescent="0.2">
      <c r="A32" s="11">
        <v>31</v>
      </c>
      <c r="B32" s="11" t="s">
        <v>103</v>
      </c>
      <c r="C32" s="11">
        <v>1000</v>
      </c>
      <c r="D32" s="11" t="s">
        <v>25</v>
      </c>
    </row>
    <row r="33" spans="1:10" x14ac:dyDescent="0.2">
      <c r="A33" s="11">
        <v>32</v>
      </c>
      <c r="B33" s="11" t="s">
        <v>108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109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110</v>
      </c>
      <c r="C35" s="11">
        <v>500</v>
      </c>
      <c r="D35" s="11" t="s">
        <v>25</v>
      </c>
    </row>
    <row r="36" spans="1:10" x14ac:dyDescent="0.2">
      <c r="A36" s="2">
        <v>35</v>
      </c>
      <c r="B36" s="2" t="s">
        <v>120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ht="15" hidden="1" customHeight="1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39</v>
      </c>
    </row>
    <row r="40" spans="1:10" x14ac:dyDescent="0.2">
      <c r="E40">
        <v>2000</v>
      </c>
      <c r="F40" t="s">
        <v>11</v>
      </c>
    </row>
    <row r="41" spans="1:10" x14ac:dyDescent="0.2">
      <c r="E41" t="s">
        <v>227</v>
      </c>
    </row>
    <row r="42" spans="1:10" x14ac:dyDescent="0.2">
      <c r="B42" s="2" t="s">
        <v>23</v>
      </c>
      <c r="C42" s="2">
        <f>SUMIF(D2:D37,"Cash",C2:C37)</f>
        <v>22505</v>
      </c>
      <c r="E42" t="s">
        <v>12</v>
      </c>
      <c r="G42" s="2" t="s">
        <v>23</v>
      </c>
      <c r="H42" s="2">
        <f>SUM(C42,500)</f>
        <v>23005</v>
      </c>
    </row>
    <row r="43" spans="1:10" x14ac:dyDescent="0.2">
      <c r="B43" s="2" t="s">
        <v>24</v>
      </c>
      <c r="C43" s="2">
        <f>SUMIF(D2:D37,"Gpay",C2:C37)</f>
        <v>7001</v>
      </c>
      <c r="E43" t="s">
        <v>6</v>
      </c>
      <c r="G43" s="2" t="s">
        <v>25</v>
      </c>
      <c r="H43" s="2">
        <v>14000</v>
      </c>
    </row>
    <row r="44" spans="1:10" x14ac:dyDescent="0.2">
      <c r="B44" s="2" t="s">
        <v>25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42</v>
      </c>
      <c r="C45" s="4">
        <f>SUM(C42:C44)</f>
        <v>44007</v>
      </c>
      <c r="E45" t="s">
        <v>26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41</v>
      </c>
      <c r="H46" s="2">
        <v>2000</v>
      </c>
      <c r="I46">
        <v>500</v>
      </c>
      <c r="J46" t="s">
        <v>37</v>
      </c>
    </row>
    <row r="47" spans="1:10" x14ac:dyDescent="0.2">
      <c r="E47" t="s">
        <v>34</v>
      </c>
      <c r="G47" s="14" t="s">
        <v>40</v>
      </c>
      <c r="H47" s="24">
        <f>SUM(H45:H46)</f>
        <v>46006</v>
      </c>
    </row>
    <row r="48" spans="1:10" x14ac:dyDescent="0.2">
      <c r="E48" t="s">
        <v>32</v>
      </c>
    </row>
    <row r="49" spans="2:9" x14ac:dyDescent="0.2">
      <c r="E49" t="s">
        <v>33</v>
      </c>
    </row>
    <row r="50" spans="2:9" x14ac:dyDescent="0.2">
      <c r="E50" t="s">
        <v>226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31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25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30</v>
      </c>
      <c r="C57" s="2"/>
      <c r="G57" s="2" t="s">
        <v>35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37</v>
      </c>
    </row>
    <row r="59" spans="2:9" x14ac:dyDescent="0.2">
      <c r="B59" s="3" t="s">
        <v>36</v>
      </c>
      <c r="C59" s="8">
        <f>SUM(C54:C58)</f>
        <v>5400</v>
      </c>
      <c r="G59" s="15" t="s">
        <v>36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43</v>
      </c>
      <c r="C62" s="22" t="str">
        <f>IMSUB(C45,C59)</f>
        <v>38607</v>
      </c>
      <c r="G62" s="3" t="s">
        <v>44</v>
      </c>
      <c r="H62" s="16" t="str">
        <f>IMSUB(H47,C59)</f>
        <v>40606</v>
      </c>
      <c r="I62" t="s">
        <v>97</v>
      </c>
    </row>
    <row r="64" spans="2:9" x14ac:dyDescent="0.2">
      <c r="B64" s="165"/>
      <c r="C64" s="165"/>
      <c r="D64" s="165"/>
      <c r="E64" s="165"/>
      <c r="F64" s="165"/>
    </row>
    <row r="65" spans="2:3" x14ac:dyDescent="0.2">
      <c r="B65" s="23">
        <v>44515</v>
      </c>
    </row>
    <row r="67" spans="2:3" x14ac:dyDescent="0.2">
      <c r="B67" s="3" t="s">
        <v>85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87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88</v>
      </c>
      <c r="C73" s="2"/>
    </row>
    <row r="74" spans="2:3" x14ac:dyDescent="0.2">
      <c r="B74" s="2" t="s">
        <v>25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91</v>
      </c>
      <c r="C76" s="2"/>
    </row>
    <row r="77" spans="2:3" x14ac:dyDescent="0.2">
      <c r="B77" s="2" t="s">
        <v>25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36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86</v>
      </c>
      <c r="C81" s="22" t="str">
        <f>IMSUB(H62,C79)</f>
        <v>10496</v>
      </c>
      <c r="D81" t="s">
        <v>97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96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36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86</v>
      </c>
      <c r="C91" s="15" t="str">
        <f>IMSUB(C81,C89)</f>
        <v>9996</v>
      </c>
      <c r="D91" t="s">
        <v>97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91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105</v>
      </c>
      <c r="C98" s="15"/>
    </row>
    <row r="99" spans="2:4" x14ac:dyDescent="0.2">
      <c r="B99" s="9" t="s">
        <v>25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106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36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86</v>
      </c>
      <c r="C106" s="15" t="str">
        <f>IMSUB(C91,C104)</f>
        <v>8706</v>
      </c>
      <c r="D106" t="s">
        <v>97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96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85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25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107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36</v>
      </c>
      <c r="C120" s="3">
        <f>SUM(C111:C119)</f>
        <v>4420</v>
      </c>
      <c r="D120" t="s">
        <v>97</v>
      </c>
    </row>
    <row r="121" spans="2:4" x14ac:dyDescent="0.2">
      <c r="B121" s="2"/>
      <c r="C121" s="2"/>
    </row>
    <row r="122" spans="2:4" x14ac:dyDescent="0.2">
      <c r="B122" s="3" t="s">
        <v>43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112</v>
      </c>
      <c r="C127" s="3"/>
    </row>
    <row r="128" spans="2:4" x14ac:dyDescent="0.2">
      <c r="B128" s="9" t="s">
        <v>25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114</v>
      </c>
      <c r="C130" s="9"/>
    </row>
    <row r="131" spans="2:3" x14ac:dyDescent="0.2">
      <c r="B131" s="9" t="s">
        <v>113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115</v>
      </c>
      <c r="C133" s="9"/>
    </row>
    <row r="134" spans="2:3" x14ac:dyDescent="0.2">
      <c r="B134" s="9" t="s">
        <v>25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116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117</v>
      </c>
      <c r="C139" s="9"/>
    </row>
    <row r="140" spans="2:3" x14ac:dyDescent="0.2">
      <c r="B140" s="9" t="s">
        <v>25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118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119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106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97</v>
      </c>
    </row>
    <row r="152" spans="2:5" x14ac:dyDescent="0.2">
      <c r="B152" s="9"/>
      <c r="C152" s="9"/>
    </row>
    <row r="153" spans="2:5" s="42" customFormat="1" x14ac:dyDescent="0.2">
      <c r="B153" s="44" t="s">
        <v>86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92</v>
      </c>
      <c r="C156" s="25">
        <f>SUM(H47,0)</f>
        <v>46006</v>
      </c>
      <c r="D156" t="s">
        <v>97</v>
      </c>
    </row>
    <row r="157" spans="2:5" x14ac:dyDescent="0.2">
      <c r="B157" t="s">
        <v>97</v>
      </c>
      <c r="C157" t="s">
        <v>111</v>
      </c>
    </row>
    <row r="159" spans="2:5" x14ac:dyDescent="0.2">
      <c r="B159" s="3" t="s">
        <v>1</v>
      </c>
      <c r="C159" s="3" t="s">
        <v>0</v>
      </c>
      <c r="D159" s="3" t="s">
        <v>89</v>
      </c>
      <c r="E159" t="s">
        <v>97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90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165</v>
      </c>
      <c r="C171" s="2"/>
    </row>
    <row r="172" spans="2:4" x14ac:dyDescent="0.2">
      <c r="B172" s="2"/>
      <c r="C172" s="2"/>
    </row>
    <row r="173" spans="2:4" x14ac:dyDescent="0.2">
      <c r="B173" s="3" t="s">
        <v>162</v>
      </c>
      <c r="C173" s="2"/>
    </row>
    <row r="174" spans="2:4" x14ac:dyDescent="0.2">
      <c r="B174" s="2" t="s">
        <v>25</v>
      </c>
      <c r="C174" s="22">
        <v>550</v>
      </c>
    </row>
    <row r="176" spans="2:4" x14ac:dyDescent="0.2">
      <c r="B176" s="2" t="s">
        <v>163</v>
      </c>
      <c r="C176" s="2">
        <v>100</v>
      </c>
    </row>
    <row r="177" spans="1:3" x14ac:dyDescent="0.2">
      <c r="B177" s="2" t="s">
        <v>33</v>
      </c>
      <c r="C177" s="2">
        <v>150</v>
      </c>
    </row>
    <row r="178" spans="1:3" x14ac:dyDescent="0.2">
      <c r="B178" s="2" t="s">
        <v>164</v>
      </c>
      <c r="C178" s="2">
        <v>100</v>
      </c>
    </row>
    <row r="179" spans="1:3" x14ac:dyDescent="0.2">
      <c r="B179" s="2" t="s">
        <v>104</v>
      </c>
      <c r="C179" s="2">
        <v>50</v>
      </c>
    </row>
    <row r="180" spans="1:3" x14ac:dyDescent="0.2">
      <c r="B180" s="2" t="s">
        <v>32</v>
      </c>
      <c r="C180" s="2">
        <v>50</v>
      </c>
    </row>
    <row r="181" spans="1:3" x14ac:dyDescent="0.2">
      <c r="B181" s="2" t="s">
        <v>103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173</v>
      </c>
    </row>
    <row r="186" spans="1:3" x14ac:dyDescent="0.2">
      <c r="A186" s="2">
        <v>1</v>
      </c>
      <c r="B186" s="2" t="s">
        <v>172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164</v>
      </c>
      <c r="C189" s="2">
        <v>131</v>
      </c>
    </row>
    <row r="190" spans="1:3" x14ac:dyDescent="0.2">
      <c r="A190" s="2">
        <v>5</v>
      </c>
      <c r="B190" s="2" t="s">
        <v>174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175</v>
      </c>
      <c r="C192" s="2">
        <v>100</v>
      </c>
    </row>
    <row r="193" spans="1:3" x14ac:dyDescent="0.2">
      <c r="A193" s="2">
        <v>8</v>
      </c>
      <c r="B193" s="2" t="s">
        <v>104</v>
      </c>
      <c r="C193" s="2">
        <v>100</v>
      </c>
    </row>
    <row r="194" spans="1:3" x14ac:dyDescent="0.2">
      <c r="A194" s="2">
        <v>9</v>
      </c>
      <c r="B194" s="2" t="s">
        <v>176</v>
      </c>
      <c r="C194" s="2">
        <v>100</v>
      </c>
    </row>
    <row r="195" spans="1:3" x14ac:dyDescent="0.2">
      <c r="A195" s="2">
        <v>10</v>
      </c>
      <c r="B195" s="2" t="s">
        <v>179</v>
      </c>
      <c r="C195" s="2">
        <v>100</v>
      </c>
    </row>
    <row r="196" spans="1:3" x14ac:dyDescent="0.2">
      <c r="A196" s="2">
        <v>11</v>
      </c>
      <c r="B196" s="2" t="s">
        <v>177</v>
      </c>
      <c r="C196" s="2">
        <v>100</v>
      </c>
    </row>
    <row r="197" spans="1:3" x14ac:dyDescent="0.2">
      <c r="A197" s="2">
        <v>12</v>
      </c>
      <c r="B197" s="2" t="s">
        <v>178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90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190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36</v>
      </c>
      <c r="C205" s="47">
        <v>450</v>
      </c>
    </row>
    <row r="206" spans="1:3" x14ac:dyDescent="0.2">
      <c r="B206" s="12" t="s">
        <v>191</v>
      </c>
    </row>
    <row r="207" spans="1:3" x14ac:dyDescent="0.2">
      <c r="B207" s="60" t="s">
        <v>33</v>
      </c>
      <c r="C207" s="67">
        <v>150</v>
      </c>
    </row>
    <row r="208" spans="1:3" x14ac:dyDescent="0.2">
      <c r="B208" s="60" t="s">
        <v>163</v>
      </c>
      <c r="C208" s="60">
        <v>50</v>
      </c>
    </row>
    <row r="209" spans="2:3" x14ac:dyDescent="0.2">
      <c r="B209" s="60" t="s">
        <v>192</v>
      </c>
      <c r="C209" s="60">
        <v>50</v>
      </c>
    </row>
    <row r="210" spans="2:3" x14ac:dyDescent="0.2">
      <c r="B210" s="60" t="s">
        <v>103</v>
      </c>
      <c r="C210" s="60">
        <v>50</v>
      </c>
    </row>
    <row r="211" spans="2:3" x14ac:dyDescent="0.2">
      <c r="B211" s="60" t="s">
        <v>26</v>
      </c>
      <c r="C211" s="60">
        <v>50</v>
      </c>
    </row>
    <row r="212" spans="2:3" x14ac:dyDescent="0.2">
      <c r="B212" s="60" t="s">
        <v>174</v>
      </c>
      <c r="C212" s="60">
        <v>50</v>
      </c>
    </row>
    <row r="213" spans="2:3" x14ac:dyDescent="0.2">
      <c r="B213" s="60" t="s">
        <v>193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90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243</v>
      </c>
      <c r="C218" s="2"/>
    </row>
    <row r="219" spans="2:3" x14ac:dyDescent="0.2">
      <c r="B219" s="2"/>
      <c r="C219" s="2"/>
    </row>
    <row r="220" spans="2:3" x14ac:dyDescent="0.2">
      <c r="B220" s="3" t="s">
        <v>191</v>
      </c>
      <c r="C220" s="47">
        <v>500</v>
      </c>
    </row>
    <row r="221" spans="2:3" x14ac:dyDescent="0.2">
      <c r="B221" s="60" t="s">
        <v>33</v>
      </c>
      <c r="C221" s="67" t="str">
        <f>IMSUB(500,SUM(C222:C227))</f>
        <v>109</v>
      </c>
    </row>
    <row r="222" spans="2:3" x14ac:dyDescent="0.2">
      <c r="B222" s="60" t="s">
        <v>163</v>
      </c>
      <c r="C222" s="60">
        <v>70</v>
      </c>
    </row>
    <row r="223" spans="2:3" x14ac:dyDescent="0.2">
      <c r="B223" s="60" t="s">
        <v>192</v>
      </c>
      <c r="C223" s="60">
        <v>71</v>
      </c>
    </row>
    <row r="224" spans="2:3" x14ac:dyDescent="0.2">
      <c r="B224" s="60" t="s">
        <v>38</v>
      </c>
      <c r="C224" s="60">
        <v>70</v>
      </c>
    </row>
    <row r="225" spans="2:4" x14ac:dyDescent="0.2">
      <c r="B225" s="60" t="s">
        <v>26</v>
      </c>
      <c r="C225" s="60">
        <v>60</v>
      </c>
      <c r="D225">
        <v>10</v>
      </c>
    </row>
    <row r="226" spans="2:4" x14ac:dyDescent="0.2">
      <c r="B226" s="60" t="s">
        <v>174</v>
      </c>
      <c r="C226" s="60">
        <v>50</v>
      </c>
      <c r="D226">
        <v>20</v>
      </c>
    </row>
    <row r="227" spans="2:4" x14ac:dyDescent="0.2">
      <c r="B227" s="60" t="s">
        <v>164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90</v>
      </c>
      <c r="C230" s="67">
        <f>SUM(C221:C229)</f>
        <v>391</v>
      </c>
    </row>
    <row r="232" spans="2:4" x14ac:dyDescent="0.2">
      <c r="B232" s="69" t="s">
        <v>216</v>
      </c>
      <c r="C232" s="1">
        <v>44685</v>
      </c>
    </row>
    <row r="234" spans="2:4" x14ac:dyDescent="0.2">
      <c r="B234" s="3" t="s">
        <v>191</v>
      </c>
      <c r="C234" s="47">
        <v>1450</v>
      </c>
    </row>
    <row r="235" spans="2:4" x14ac:dyDescent="0.2">
      <c r="B235" s="12"/>
    </row>
    <row r="236" spans="2:4" x14ac:dyDescent="0.2">
      <c r="B236" s="60" t="s">
        <v>33</v>
      </c>
      <c r="C236" s="67">
        <v>150</v>
      </c>
    </row>
    <row r="237" spans="2:4" x14ac:dyDescent="0.2">
      <c r="B237" s="60" t="s">
        <v>163</v>
      </c>
      <c r="C237" s="60">
        <v>150</v>
      </c>
    </row>
    <row r="238" spans="2:4" x14ac:dyDescent="0.2">
      <c r="B238" s="60" t="s">
        <v>192</v>
      </c>
      <c r="C238" s="60">
        <v>150</v>
      </c>
    </row>
    <row r="239" spans="2:4" x14ac:dyDescent="0.2">
      <c r="B239" s="60" t="s">
        <v>38</v>
      </c>
      <c r="C239" s="60">
        <v>150</v>
      </c>
    </row>
    <row r="240" spans="2:4" x14ac:dyDescent="0.2">
      <c r="B240" s="60" t="s">
        <v>26</v>
      </c>
      <c r="C240" s="60">
        <v>150</v>
      </c>
    </row>
    <row r="241" spans="2:3" x14ac:dyDescent="0.2">
      <c r="B241" s="60" t="s">
        <v>174</v>
      </c>
      <c r="C241" s="60">
        <v>150</v>
      </c>
    </row>
    <row r="242" spans="2:3" x14ac:dyDescent="0.2">
      <c r="B242" s="60" t="s">
        <v>164</v>
      </c>
      <c r="C242" s="60">
        <v>150</v>
      </c>
    </row>
    <row r="243" spans="2:3" x14ac:dyDescent="0.2">
      <c r="B243" s="60" t="s">
        <v>103</v>
      </c>
      <c r="C243" s="60">
        <v>150</v>
      </c>
    </row>
    <row r="244" spans="2:3" x14ac:dyDescent="0.2">
      <c r="B244" s="60" t="s">
        <v>217</v>
      </c>
      <c r="C244" s="60">
        <v>100</v>
      </c>
    </row>
    <row r="245" spans="2:3" x14ac:dyDescent="0.2">
      <c r="B245" s="60" t="s">
        <v>193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90</v>
      </c>
      <c r="C247" s="67">
        <f>SUM(C236:C246)</f>
        <v>1450</v>
      </c>
    </row>
    <row r="249" spans="2:3" x14ac:dyDescent="0.2">
      <c r="B249" s="69" t="s">
        <v>218</v>
      </c>
      <c r="C249" s="1">
        <v>44685</v>
      </c>
    </row>
    <row r="251" spans="2:3" x14ac:dyDescent="0.2">
      <c r="B251" s="3" t="s">
        <v>191</v>
      </c>
      <c r="C251" s="47">
        <v>630</v>
      </c>
    </row>
    <row r="252" spans="2:3" x14ac:dyDescent="0.2">
      <c r="B252" s="12"/>
    </row>
    <row r="253" spans="2:3" x14ac:dyDescent="0.2">
      <c r="B253" s="60" t="s">
        <v>33</v>
      </c>
      <c r="C253" s="67">
        <v>90</v>
      </c>
    </row>
    <row r="254" spans="2:3" x14ac:dyDescent="0.2">
      <c r="B254" s="60" t="s">
        <v>163</v>
      </c>
      <c r="C254" s="60">
        <v>90</v>
      </c>
    </row>
    <row r="255" spans="2:3" x14ac:dyDescent="0.2">
      <c r="B255" s="60" t="s">
        <v>192</v>
      </c>
      <c r="C255" s="60">
        <v>90</v>
      </c>
    </row>
    <row r="256" spans="2:3" x14ac:dyDescent="0.2">
      <c r="B256" s="60" t="s">
        <v>38</v>
      </c>
      <c r="C256" s="60">
        <v>90</v>
      </c>
    </row>
    <row r="257" spans="1:4" x14ac:dyDescent="0.2">
      <c r="B257" s="60" t="s">
        <v>174</v>
      </c>
      <c r="C257" s="60">
        <v>90</v>
      </c>
    </row>
    <row r="258" spans="1:4" x14ac:dyDescent="0.2">
      <c r="B258" s="60" t="s">
        <v>164</v>
      </c>
      <c r="C258" s="60">
        <v>90</v>
      </c>
    </row>
    <row r="259" spans="1:4" x14ac:dyDescent="0.2">
      <c r="B259" s="60" t="s">
        <v>193</v>
      </c>
      <c r="C259" s="60">
        <v>90</v>
      </c>
    </row>
    <row r="260" spans="1:4" x14ac:dyDescent="0.2">
      <c r="B260" s="60"/>
      <c r="C260" s="60"/>
    </row>
    <row r="261" spans="1:4" x14ac:dyDescent="0.2">
      <c r="B261" s="67" t="s">
        <v>90</v>
      </c>
      <c r="C261" s="67">
        <f>SUM(C253:C260)</f>
        <v>630</v>
      </c>
    </row>
    <row r="263" spans="1:4" x14ac:dyDescent="0.2">
      <c r="B263" s="69" t="s">
        <v>219</v>
      </c>
      <c r="C263" s="1">
        <v>44701</v>
      </c>
      <c r="D263" t="s">
        <v>222</v>
      </c>
    </row>
    <row r="265" spans="1:4" x14ac:dyDescent="0.2">
      <c r="B265" s="3" t="s">
        <v>36</v>
      </c>
      <c r="C265" s="47">
        <v>504</v>
      </c>
    </row>
    <row r="266" spans="1:4" x14ac:dyDescent="0.2">
      <c r="B266" s="12"/>
    </row>
    <row r="267" spans="1:4" x14ac:dyDescent="0.2">
      <c r="A267">
        <v>1</v>
      </c>
      <c r="B267" s="60" t="s">
        <v>33</v>
      </c>
      <c r="C267" s="67">
        <v>63</v>
      </c>
    </row>
    <row r="268" spans="1:4" x14ac:dyDescent="0.2">
      <c r="A268">
        <v>2</v>
      </c>
      <c r="B268" s="60" t="s">
        <v>103</v>
      </c>
      <c r="C268" s="60">
        <v>63</v>
      </c>
    </row>
    <row r="269" spans="1:4" x14ac:dyDescent="0.2">
      <c r="A269">
        <v>3</v>
      </c>
      <c r="B269" s="60" t="s">
        <v>192</v>
      </c>
      <c r="C269" s="67">
        <v>63</v>
      </c>
    </row>
    <row r="270" spans="1:4" x14ac:dyDescent="0.2">
      <c r="A270">
        <v>4</v>
      </c>
      <c r="B270" s="60" t="s">
        <v>38</v>
      </c>
      <c r="C270" s="60">
        <v>63</v>
      </c>
    </row>
    <row r="271" spans="1:4" x14ac:dyDescent="0.2">
      <c r="A271">
        <v>5</v>
      </c>
      <c r="B271" s="60" t="s">
        <v>174</v>
      </c>
      <c r="C271" s="67">
        <v>63</v>
      </c>
    </row>
    <row r="272" spans="1:4" x14ac:dyDescent="0.2">
      <c r="A272">
        <v>6</v>
      </c>
      <c r="B272" s="60" t="s">
        <v>164</v>
      </c>
      <c r="C272" s="60">
        <v>63</v>
      </c>
    </row>
    <row r="273" spans="1:4" x14ac:dyDescent="0.2">
      <c r="A273">
        <v>7</v>
      </c>
      <c r="B273" s="60" t="s">
        <v>220</v>
      </c>
      <c r="C273" s="67">
        <v>63</v>
      </c>
    </row>
    <row r="274" spans="1:4" x14ac:dyDescent="0.2">
      <c r="A274">
        <v>8</v>
      </c>
      <c r="B274" s="60" t="s">
        <v>26</v>
      </c>
      <c r="C274" s="60">
        <v>63</v>
      </c>
    </row>
    <row r="275" spans="1:4" x14ac:dyDescent="0.2">
      <c r="B275" s="60"/>
      <c r="C275" s="60"/>
    </row>
    <row r="276" spans="1:4" x14ac:dyDescent="0.2">
      <c r="B276" s="67" t="s">
        <v>90</v>
      </c>
      <c r="C276" s="67">
        <f>SUM(C267:C275)</f>
        <v>504</v>
      </c>
    </row>
    <row r="278" spans="1:4" x14ac:dyDescent="0.2">
      <c r="B278" s="69" t="s">
        <v>221</v>
      </c>
      <c r="C278" s="1"/>
    </row>
    <row r="280" spans="1:4" x14ac:dyDescent="0.2">
      <c r="B280" s="3" t="s">
        <v>36</v>
      </c>
      <c r="C280" s="47">
        <v>1000</v>
      </c>
      <c r="D280" t="s">
        <v>223</v>
      </c>
    </row>
    <row r="281" spans="1:4" x14ac:dyDescent="0.2">
      <c r="B281" s="12"/>
    </row>
    <row r="282" spans="1:4" x14ac:dyDescent="0.2">
      <c r="A282">
        <v>1</v>
      </c>
      <c r="B282" s="60" t="s">
        <v>33</v>
      </c>
      <c r="C282" s="67">
        <v>200</v>
      </c>
    </row>
    <row r="283" spans="1:4" x14ac:dyDescent="0.2">
      <c r="A283">
        <v>2</v>
      </c>
      <c r="B283" s="60" t="s">
        <v>34</v>
      </c>
      <c r="C283" s="60">
        <v>100</v>
      </c>
    </row>
    <row r="284" spans="1:4" x14ac:dyDescent="0.2">
      <c r="A284">
        <v>3</v>
      </c>
      <c r="B284" s="60" t="s">
        <v>193</v>
      </c>
      <c r="C284" s="67">
        <v>100</v>
      </c>
    </row>
    <row r="285" spans="1:4" x14ac:dyDescent="0.2">
      <c r="A285">
        <v>4</v>
      </c>
      <c r="B285" s="60" t="s">
        <v>38</v>
      </c>
      <c r="C285" s="60">
        <v>100</v>
      </c>
    </row>
    <row r="286" spans="1:4" x14ac:dyDescent="0.2">
      <c r="A286">
        <v>5</v>
      </c>
      <c r="B286" s="60" t="s">
        <v>174</v>
      </c>
      <c r="C286" s="67">
        <v>100</v>
      </c>
    </row>
    <row r="287" spans="1:4" x14ac:dyDescent="0.2">
      <c r="A287">
        <v>6</v>
      </c>
      <c r="B287" s="60" t="s">
        <v>164</v>
      </c>
      <c r="C287" s="60">
        <v>100</v>
      </c>
    </row>
    <row r="288" spans="1:4" x14ac:dyDescent="0.2">
      <c r="A288">
        <v>7</v>
      </c>
      <c r="B288" s="60" t="s">
        <v>163</v>
      </c>
      <c r="C288" s="67">
        <v>100</v>
      </c>
    </row>
    <row r="289" spans="1:3" x14ac:dyDescent="0.2">
      <c r="A289">
        <v>8</v>
      </c>
      <c r="B289" s="60" t="s">
        <v>26</v>
      </c>
      <c r="C289" s="60">
        <v>100</v>
      </c>
    </row>
    <row r="290" spans="1:3" x14ac:dyDescent="0.2">
      <c r="A290">
        <v>9</v>
      </c>
      <c r="B290" s="60" t="s">
        <v>222</v>
      </c>
      <c r="C290" s="60">
        <v>100</v>
      </c>
    </row>
    <row r="291" spans="1:3" x14ac:dyDescent="0.2">
      <c r="B291" s="60"/>
      <c r="C291" s="60"/>
    </row>
    <row r="292" spans="1:3" x14ac:dyDescent="0.2">
      <c r="B292" s="67" t="s">
        <v>90</v>
      </c>
      <c r="C292" s="67">
        <f>SUM(C282:C291)</f>
        <v>1000</v>
      </c>
    </row>
    <row r="294" spans="1:3" x14ac:dyDescent="0.2">
      <c r="B294" t="s">
        <v>239</v>
      </c>
      <c r="C294">
        <v>170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zoomScaleNormal="60" zoomScaleSheetLayoutView="100" workbookViewId="0">
      <selection activeCell="A38" sqref="A38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48</v>
      </c>
      <c r="B1" s="2" t="s">
        <v>78</v>
      </c>
      <c r="C1" s="2" t="s">
        <v>80</v>
      </c>
    </row>
    <row r="2" spans="1:3" x14ac:dyDescent="0.2">
      <c r="A2" s="2" t="s">
        <v>45</v>
      </c>
      <c r="B2" s="2">
        <v>25</v>
      </c>
      <c r="C2" s="2">
        <v>1</v>
      </c>
    </row>
    <row r="3" spans="1:3" x14ac:dyDescent="0.2">
      <c r="A3" s="2" t="s">
        <v>83</v>
      </c>
      <c r="B3" s="2">
        <v>25</v>
      </c>
      <c r="C3" s="2">
        <v>1</v>
      </c>
    </row>
    <row r="4" spans="1:3" x14ac:dyDescent="0.2">
      <c r="A4" s="2" t="s">
        <v>46</v>
      </c>
      <c r="B4" s="2">
        <v>10</v>
      </c>
      <c r="C4" s="2"/>
    </row>
    <row r="5" spans="1:3" x14ac:dyDescent="0.2">
      <c r="A5" s="2" t="s">
        <v>47</v>
      </c>
      <c r="B5" s="2">
        <v>25</v>
      </c>
      <c r="C5" s="2">
        <v>1</v>
      </c>
    </row>
    <row r="6" spans="1:3" x14ac:dyDescent="0.2">
      <c r="A6" s="2" t="s">
        <v>72</v>
      </c>
      <c r="B6" s="2">
        <v>5</v>
      </c>
      <c r="C6" s="2"/>
    </row>
    <row r="7" spans="1:3" x14ac:dyDescent="0.2">
      <c r="A7" s="2" t="s">
        <v>49</v>
      </c>
      <c r="B7" s="2">
        <v>10</v>
      </c>
      <c r="C7" s="2">
        <v>1</v>
      </c>
    </row>
    <row r="8" spans="1:3" x14ac:dyDescent="0.2">
      <c r="A8" s="2" t="s">
        <v>51</v>
      </c>
      <c r="B8" s="2">
        <v>20</v>
      </c>
      <c r="C8" s="2">
        <v>1</v>
      </c>
    </row>
    <row r="9" spans="1:3" x14ac:dyDescent="0.2">
      <c r="A9" s="2" t="s">
        <v>53</v>
      </c>
      <c r="B9" s="2">
        <v>20</v>
      </c>
      <c r="C9" s="2">
        <v>1</v>
      </c>
    </row>
    <row r="10" spans="1:3" x14ac:dyDescent="0.2">
      <c r="A10" s="2" t="s">
        <v>52</v>
      </c>
      <c r="B10" s="2">
        <v>10</v>
      </c>
      <c r="C10" s="2">
        <v>1</v>
      </c>
    </row>
    <row r="11" spans="1:3" x14ac:dyDescent="0.2">
      <c r="A11" s="2" t="s">
        <v>54</v>
      </c>
      <c r="B11" s="2">
        <v>25</v>
      </c>
      <c r="C11" s="2">
        <v>2</v>
      </c>
    </row>
    <row r="12" spans="1:3" x14ac:dyDescent="0.2">
      <c r="A12" s="2" t="s">
        <v>84</v>
      </c>
      <c r="B12" s="2">
        <v>1</v>
      </c>
      <c r="C12" s="2">
        <v>1</v>
      </c>
    </row>
    <row r="13" spans="1:3" x14ac:dyDescent="0.2">
      <c r="A13" s="2" t="s">
        <v>55</v>
      </c>
      <c r="B13" s="2">
        <v>10</v>
      </c>
      <c r="C13" s="2">
        <v>1</v>
      </c>
    </row>
    <row r="14" spans="1:3" x14ac:dyDescent="0.2">
      <c r="A14" s="2" t="s">
        <v>56</v>
      </c>
      <c r="B14" s="2">
        <v>5</v>
      </c>
      <c r="C14" s="2"/>
    </row>
    <row r="15" spans="1:3" x14ac:dyDescent="0.2">
      <c r="A15" s="2" t="s">
        <v>57</v>
      </c>
      <c r="B15" s="2">
        <v>1</v>
      </c>
      <c r="C15" s="2"/>
    </row>
    <row r="16" spans="1:3" x14ac:dyDescent="0.2">
      <c r="A16" s="2" t="s">
        <v>355</v>
      </c>
      <c r="B16" s="2">
        <v>1</v>
      </c>
      <c r="C16" s="2">
        <v>1</v>
      </c>
    </row>
    <row r="17" spans="1:3" x14ac:dyDescent="0.2">
      <c r="A17" s="2" t="s">
        <v>58</v>
      </c>
      <c r="B17" s="2">
        <v>10</v>
      </c>
      <c r="C17" s="2"/>
    </row>
    <row r="18" spans="1:3" x14ac:dyDescent="0.2">
      <c r="A18" s="2" t="s">
        <v>59</v>
      </c>
      <c r="B18" s="2">
        <v>10</v>
      </c>
      <c r="C18" s="2">
        <v>2</v>
      </c>
    </row>
    <row r="19" spans="1:3" x14ac:dyDescent="0.2">
      <c r="A19" s="2" t="s">
        <v>60</v>
      </c>
      <c r="B19" s="2">
        <v>1</v>
      </c>
      <c r="C19" s="2">
        <v>1</v>
      </c>
    </row>
    <row r="20" spans="1:3" x14ac:dyDescent="0.2">
      <c r="A20" s="2" t="s">
        <v>61</v>
      </c>
      <c r="B20" s="2">
        <v>5</v>
      </c>
      <c r="C20" s="2">
        <v>2</v>
      </c>
    </row>
    <row r="21" spans="1:3" x14ac:dyDescent="0.2">
      <c r="A21" s="2" t="s">
        <v>62</v>
      </c>
      <c r="B21" s="2">
        <v>30</v>
      </c>
      <c r="C21" s="2">
        <v>1</v>
      </c>
    </row>
    <row r="22" spans="1:3" x14ac:dyDescent="0.2">
      <c r="A22" s="2" t="s">
        <v>50</v>
      </c>
      <c r="B22" s="2">
        <v>5</v>
      </c>
      <c r="C22" s="2">
        <v>2</v>
      </c>
    </row>
    <row r="23" spans="1:3" x14ac:dyDescent="0.2">
      <c r="A23" s="2" t="s">
        <v>63</v>
      </c>
      <c r="B23" s="2">
        <v>20</v>
      </c>
      <c r="C23" s="2">
        <v>2</v>
      </c>
    </row>
    <row r="24" spans="1:3" x14ac:dyDescent="0.2">
      <c r="A24" s="2" t="s">
        <v>64</v>
      </c>
      <c r="B24" s="2">
        <v>20</v>
      </c>
      <c r="C24" s="2">
        <v>1</v>
      </c>
    </row>
    <row r="25" spans="1:3" x14ac:dyDescent="0.2">
      <c r="A25" s="2" t="s">
        <v>65</v>
      </c>
      <c r="B25" s="2"/>
      <c r="C25" s="2">
        <v>1</v>
      </c>
    </row>
    <row r="26" spans="1:3" x14ac:dyDescent="0.2">
      <c r="A26" s="2" t="s">
        <v>66</v>
      </c>
      <c r="B26" s="2">
        <v>20</v>
      </c>
      <c r="C26" s="2">
        <v>1</v>
      </c>
    </row>
    <row r="27" spans="1:3" x14ac:dyDescent="0.2">
      <c r="A27" s="2" t="s">
        <v>67</v>
      </c>
      <c r="B27" s="2">
        <v>20</v>
      </c>
      <c r="C27" s="2">
        <v>1</v>
      </c>
    </row>
    <row r="28" spans="1:3" x14ac:dyDescent="0.2">
      <c r="A28" s="2" t="s">
        <v>68</v>
      </c>
      <c r="B28" s="2">
        <v>6</v>
      </c>
      <c r="C28" s="2">
        <v>1</v>
      </c>
    </row>
    <row r="29" spans="1:3" x14ac:dyDescent="0.2">
      <c r="A29" s="2" t="s">
        <v>69</v>
      </c>
      <c r="B29" s="2">
        <v>20</v>
      </c>
      <c r="C29" s="2">
        <v>1</v>
      </c>
    </row>
    <row r="30" spans="1:3" x14ac:dyDescent="0.2">
      <c r="A30" s="2" t="s">
        <v>70</v>
      </c>
      <c r="B30" s="2">
        <v>15</v>
      </c>
      <c r="C30" s="2">
        <v>1</v>
      </c>
    </row>
    <row r="31" spans="1:3" x14ac:dyDescent="0.2">
      <c r="A31" s="2" t="s">
        <v>71</v>
      </c>
      <c r="B31" s="2">
        <v>1</v>
      </c>
      <c r="C31" s="2">
        <v>1</v>
      </c>
    </row>
    <row r="32" spans="1:3" x14ac:dyDescent="0.2">
      <c r="A32" s="2" t="s">
        <v>73</v>
      </c>
      <c r="B32" s="2">
        <v>5</v>
      </c>
      <c r="C32" s="2">
        <v>1</v>
      </c>
    </row>
    <row r="33" spans="1:3" x14ac:dyDescent="0.2">
      <c r="A33" s="2" t="s">
        <v>74</v>
      </c>
      <c r="B33" s="2">
        <v>25</v>
      </c>
      <c r="C33" s="2">
        <v>1</v>
      </c>
    </row>
    <row r="34" spans="1:3" x14ac:dyDescent="0.2">
      <c r="A34" s="2" t="s">
        <v>75</v>
      </c>
      <c r="B34" s="2">
        <v>10</v>
      </c>
      <c r="C34" s="2">
        <v>1</v>
      </c>
    </row>
    <row r="35" spans="1:3" x14ac:dyDescent="0.2">
      <c r="A35" s="2" t="s">
        <v>79</v>
      </c>
      <c r="B35" s="2">
        <v>25</v>
      </c>
      <c r="C35" s="2">
        <v>1</v>
      </c>
    </row>
    <row r="36" spans="1:3" x14ac:dyDescent="0.2">
      <c r="A36" s="2" t="s">
        <v>76</v>
      </c>
      <c r="B36" s="2">
        <v>10</v>
      </c>
      <c r="C36" s="2">
        <v>2</v>
      </c>
    </row>
    <row r="37" spans="1:3" x14ac:dyDescent="0.2">
      <c r="A37" s="2" t="s">
        <v>356</v>
      </c>
      <c r="B37" s="2"/>
      <c r="C37" s="2"/>
    </row>
    <row r="38" spans="1:3" x14ac:dyDescent="0.2">
      <c r="A38" s="2" t="s">
        <v>354</v>
      </c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7"/>
  <sheetViews>
    <sheetView topLeftCell="A94" zoomScaleNormal="60" zoomScaleSheetLayoutView="100" workbookViewId="0">
      <selection activeCell="G167" sqref="G167"/>
    </sheetView>
  </sheetViews>
  <sheetFormatPr defaultRowHeight="15" x14ac:dyDescent="0.2"/>
  <cols>
    <col min="1" max="1" width="8.7421875" customWidth="1"/>
    <col min="2" max="2" width="17.484375" style="57" customWidth="1"/>
    <col min="3" max="3" width="9.81640625" style="86" customWidth="1"/>
    <col min="4" max="4" width="10.22265625" style="88" customWidth="1"/>
    <col min="5" max="5" width="9.55078125" customWidth="1"/>
    <col min="6" max="6" width="8.7421875" customWidth="1"/>
    <col min="7" max="7" width="12.23828125" customWidth="1"/>
    <col min="8" max="8" width="9.4140625" customWidth="1"/>
    <col min="9" max="9" width="14.125" customWidth="1"/>
    <col min="10" max="10" width="8.7421875" customWidth="1"/>
    <col min="11" max="11" width="16.6796875" customWidth="1"/>
    <col min="12" max="12" width="16.27734375" customWidth="1"/>
  </cols>
  <sheetData>
    <row r="1" spans="1:9" x14ac:dyDescent="0.2">
      <c r="A1" s="168" t="s">
        <v>248</v>
      </c>
      <c r="B1" s="168"/>
      <c r="C1" s="168"/>
      <c r="D1" s="168"/>
    </row>
    <row r="2" spans="1:9" x14ac:dyDescent="0.2">
      <c r="A2" s="103" t="s">
        <v>2</v>
      </c>
      <c r="B2" s="89" t="s">
        <v>48</v>
      </c>
      <c r="C2" s="76" t="s">
        <v>230</v>
      </c>
      <c r="D2" s="103" t="s">
        <v>231</v>
      </c>
    </row>
    <row r="3" spans="1:9" x14ac:dyDescent="0.2">
      <c r="A3" s="2"/>
      <c r="B3" s="90"/>
      <c r="C3" s="77"/>
      <c r="D3" s="104"/>
      <c r="E3" s="166" t="s">
        <v>237</v>
      </c>
      <c r="F3" s="167"/>
    </row>
    <row r="4" spans="1:9" x14ac:dyDescent="0.2">
      <c r="A4" s="2">
        <v>1</v>
      </c>
      <c r="B4" s="90" t="s">
        <v>193</v>
      </c>
      <c r="C4" s="78">
        <v>2000</v>
      </c>
      <c r="D4" s="104" t="s">
        <v>234</v>
      </c>
      <c r="E4" s="75"/>
      <c r="F4" s="75"/>
    </row>
    <row r="5" spans="1:9" x14ac:dyDescent="0.2">
      <c r="A5" s="2">
        <v>2</v>
      </c>
      <c r="B5" s="90" t="s">
        <v>33</v>
      </c>
      <c r="C5" s="78">
        <v>2001</v>
      </c>
      <c r="D5" s="104" t="s">
        <v>234</v>
      </c>
      <c r="F5" s="128" t="s">
        <v>1</v>
      </c>
      <c r="G5" s="128" t="s">
        <v>0</v>
      </c>
      <c r="H5" s="128" t="s">
        <v>89</v>
      </c>
    </row>
    <row r="6" spans="1:9" x14ac:dyDescent="0.2">
      <c r="A6" s="2">
        <v>3</v>
      </c>
      <c r="B6" s="90" t="s">
        <v>164</v>
      </c>
      <c r="C6" s="78">
        <v>2000</v>
      </c>
      <c r="D6" s="104" t="s">
        <v>234</v>
      </c>
      <c r="F6" s="118">
        <v>44777</v>
      </c>
      <c r="G6" s="114">
        <f>SUM(D66)</f>
        <v>1001</v>
      </c>
      <c r="H6" s="112" t="str">
        <f>IMSUB(C57,D66)</f>
        <v>44218</v>
      </c>
    </row>
    <row r="7" spans="1:9" x14ac:dyDescent="0.2">
      <c r="A7" s="2">
        <v>4</v>
      </c>
      <c r="B7" s="90" t="s">
        <v>18</v>
      </c>
      <c r="C7" s="78">
        <v>1000</v>
      </c>
      <c r="D7" s="104" t="s">
        <v>234</v>
      </c>
      <c r="F7" s="119">
        <v>44803</v>
      </c>
      <c r="G7" s="115">
        <f>SUM(D80+0)</f>
        <v>11956</v>
      </c>
      <c r="H7" s="113" t="str">
        <f>IMSUB(D68,D80)</f>
        <v>32262</v>
      </c>
    </row>
    <row r="8" spans="1:9" x14ac:dyDescent="0.2">
      <c r="A8" s="2">
        <v>5</v>
      </c>
      <c r="B8" s="90" t="s">
        <v>217</v>
      </c>
      <c r="C8" s="78">
        <v>800</v>
      </c>
      <c r="D8" s="104" t="s">
        <v>234</v>
      </c>
      <c r="F8" s="119">
        <v>44804</v>
      </c>
      <c r="G8" s="115">
        <f>SUM(D95)</f>
        <v>11502</v>
      </c>
      <c r="H8" s="113" t="str">
        <f t="shared" ref="H8:H14" si="0">IMSUB(H7,G8)</f>
        <v>20760</v>
      </c>
    </row>
    <row r="9" spans="1:9" x14ac:dyDescent="0.2">
      <c r="A9" s="2">
        <v>6</v>
      </c>
      <c r="B9" s="90" t="s">
        <v>242</v>
      </c>
      <c r="C9" s="78">
        <v>1000</v>
      </c>
      <c r="D9" s="104" t="s">
        <v>234</v>
      </c>
      <c r="F9" s="119">
        <v>44806</v>
      </c>
      <c r="G9" s="115">
        <f>SUM(D103,0)</f>
        <v>535</v>
      </c>
      <c r="H9" s="113" t="str">
        <f t="shared" si="0"/>
        <v>20225</v>
      </c>
    </row>
    <row r="10" spans="1:9" x14ac:dyDescent="0.2">
      <c r="A10" s="2">
        <v>7</v>
      </c>
      <c r="B10" s="90" t="s">
        <v>16</v>
      </c>
      <c r="C10" s="78">
        <v>1500</v>
      </c>
      <c r="D10" s="104" t="s">
        <v>11</v>
      </c>
      <c r="F10" s="119">
        <v>44807</v>
      </c>
      <c r="G10" s="115">
        <f>SUM(D111,0)</f>
        <v>140</v>
      </c>
      <c r="H10" s="113" t="str">
        <f t="shared" si="0"/>
        <v>20085</v>
      </c>
    </row>
    <row r="11" spans="1:9" x14ac:dyDescent="0.2">
      <c r="A11" s="2">
        <v>8</v>
      </c>
      <c r="B11" s="90" t="s">
        <v>163</v>
      </c>
      <c r="C11" s="78">
        <v>2000</v>
      </c>
      <c r="D11" s="104" t="s">
        <v>234</v>
      </c>
      <c r="F11" s="119">
        <v>44809</v>
      </c>
      <c r="G11" s="115">
        <f>SUM(D120,0)</f>
        <v>441</v>
      </c>
      <c r="H11" s="113" t="str">
        <f t="shared" si="0"/>
        <v>19644</v>
      </c>
    </row>
    <row r="12" spans="1:9" x14ac:dyDescent="0.2">
      <c r="A12" s="2">
        <v>9</v>
      </c>
      <c r="B12" s="90" t="s">
        <v>245</v>
      </c>
      <c r="C12" s="78">
        <v>1000</v>
      </c>
      <c r="D12" s="104" t="s">
        <v>234</v>
      </c>
      <c r="F12" s="119">
        <v>44813</v>
      </c>
      <c r="G12" s="115">
        <f>SUM(D134,0)</f>
        <v>6034</v>
      </c>
      <c r="H12" s="113" t="str">
        <f t="shared" si="0"/>
        <v>13610</v>
      </c>
    </row>
    <row r="13" spans="1:9" x14ac:dyDescent="0.2">
      <c r="A13" s="2">
        <v>10</v>
      </c>
      <c r="B13" s="90" t="s">
        <v>244</v>
      </c>
      <c r="C13" s="78">
        <v>1500</v>
      </c>
      <c r="D13" s="104" t="s">
        <v>234</v>
      </c>
      <c r="F13" s="125">
        <v>44814</v>
      </c>
      <c r="G13" s="114">
        <f>SUM(D157)</f>
        <v>6253</v>
      </c>
      <c r="H13" s="112" t="str">
        <f t="shared" si="0"/>
        <v>7357</v>
      </c>
    </row>
    <row r="14" spans="1:9" x14ac:dyDescent="0.2">
      <c r="A14" s="2">
        <v>11</v>
      </c>
      <c r="B14" s="90" t="s">
        <v>306</v>
      </c>
      <c r="C14" s="78">
        <v>1000</v>
      </c>
      <c r="D14" s="104" t="s">
        <v>234</v>
      </c>
      <c r="F14" s="126">
        <v>44815</v>
      </c>
      <c r="G14" s="123">
        <f>SUM(D168)</f>
        <v>4357</v>
      </c>
      <c r="H14" s="124" t="str">
        <f t="shared" si="0"/>
        <v>3000</v>
      </c>
      <c r="I14" s="71"/>
    </row>
    <row r="15" spans="1:9" ht="15" customHeight="1" x14ac:dyDescent="0.2">
      <c r="A15" s="2">
        <v>12</v>
      </c>
      <c r="B15" s="90" t="s">
        <v>176</v>
      </c>
      <c r="C15" s="78">
        <v>501</v>
      </c>
      <c r="D15" s="104" t="s">
        <v>11</v>
      </c>
      <c r="F15" s="2"/>
      <c r="G15" s="2"/>
      <c r="H15" s="2"/>
      <c r="I15" s="71"/>
    </row>
    <row r="16" spans="1:9" ht="15" customHeight="1" x14ac:dyDescent="0.25">
      <c r="A16" s="136">
        <v>13</v>
      </c>
      <c r="B16" s="137" t="s">
        <v>28</v>
      </c>
      <c r="C16" s="138">
        <v>500</v>
      </c>
      <c r="D16" s="139" t="s">
        <v>234</v>
      </c>
      <c r="F16" s="141" t="s">
        <v>90</v>
      </c>
      <c r="G16" s="142">
        <f>SUM(G6:G14)</f>
        <v>42219</v>
      </c>
      <c r="H16" s="140" t="str">
        <f>IMSUB(C57,G16)</f>
        <v>3000</v>
      </c>
      <c r="I16" s="71"/>
    </row>
    <row r="17" spans="1:9" x14ac:dyDescent="0.2">
      <c r="A17" s="2">
        <v>14</v>
      </c>
      <c r="B17" s="90" t="s">
        <v>253</v>
      </c>
      <c r="C17" s="78">
        <v>500</v>
      </c>
      <c r="D17" s="104" t="s">
        <v>11</v>
      </c>
      <c r="I17" s="71"/>
    </row>
    <row r="18" spans="1:9" x14ac:dyDescent="0.2">
      <c r="A18" s="2">
        <v>15</v>
      </c>
      <c r="B18" s="90" t="s">
        <v>15</v>
      </c>
      <c r="C18" s="78">
        <v>1001</v>
      </c>
      <c r="D18" s="104" t="s">
        <v>25</v>
      </c>
      <c r="I18" s="71"/>
    </row>
    <row r="19" spans="1:9" x14ac:dyDescent="0.2">
      <c r="A19" s="2">
        <v>16</v>
      </c>
      <c r="B19" s="90" t="s">
        <v>254</v>
      </c>
      <c r="C19" s="78">
        <v>500</v>
      </c>
      <c r="D19" s="104" t="s">
        <v>11</v>
      </c>
      <c r="I19" s="71"/>
    </row>
    <row r="20" spans="1:9" x14ac:dyDescent="0.2">
      <c r="A20" s="2">
        <v>17</v>
      </c>
      <c r="B20" s="90" t="s">
        <v>256</v>
      </c>
      <c r="C20" s="78">
        <v>502</v>
      </c>
      <c r="D20" s="104" t="s">
        <v>11</v>
      </c>
      <c r="F20" s="6"/>
      <c r="I20" s="71"/>
    </row>
    <row r="21" spans="1:9" x14ac:dyDescent="0.2">
      <c r="A21" s="2">
        <v>18</v>
      </c>
      <c r="B21" s="90" t="s">
        <v>240</v>
      </c>
      <c r="C21" s="77">
        <v>500</v>
      </c>
      <c r="D21" s="104" t="s">
        <v>11</v>
      </c>
      <c r="F21" s="6"/>
      <c r="I21" s="71"/>
    </row>
    <row r="22" spans="1:9" x14ac:dyDescent="0.2">
      <c r="A22" s="2">
        <v>19</v>
      </c>
      <c r="B22" s="90" t="s">
        <v>241</v>
      </c>
      <c r="C22" s="77">
        <v>1000</v>
      </c>
      <c r="D22" s="104" t="s">
        <v>11</v>
      </c>
      <c r="F22" s="6"/>
      <c r="I22" s="71"/>
    </row>
    <row r="23" spans="1:9" x14ac:dyDescent="0.2">
      <c r="A23" s="2">
        <v>20</v>
      </c>
      <c r="B23" s="90" t="s">
        <v>246</v>
      </c>
      <c r="C23" s="78">
        <v>500</v>
      </c>
      <c r="D23" s="104" t="s">
        <v>25</v>
      </c>
      <c r="I23" s="71"/>
    </row>
    <row r="24" spans="1:9" x14ac:dyDescent="0.2">
      <c r="A24" s="2">
        <v>21</v>
      </c>
      <c r="B24" s="90" t="s">
        <v>247</v>
      </c>
      <c r="C24" s="78">
        <v>1000</v>
      </c>
      <c r="D24" s="104" t="s">
        <v>25</v>
      </c>
      <c r="I24" s="71"/>
    </row>
    <row r="25" spans="1:9" x14ac:dyDescent="0.2">
      <c r="A25" s="2">
        <v>22</v>
      </c>
      <c r="B25" s="90" t="s">
        <v>249</v>
      </c>
      <c r="C25" s="78">
        <v>500</v>
      </c>
      <c r="D25" s="104" t="s">
        <v>11</v>
      </c>
      <c r="I25" s="71"/>
    </row>
    <row r="26" spans="1:9" x14ac:dyDescent="0.2">
      <c r="A26" s="2">
        <v>23</v>
      </c>
      <c r="B26" s="90" t="s">
        <v>250</v>
      </c>
      <c r="C26" s="78">
        <v>500</v>
      </c>
      <c r="D26" s="104" t="s">
        <v>11</v>
      </c>
      <c r="I26" s="71"/>
    </row>
    <row r="27" spans="1:9" x14ac:dyDescent="0.2">
      <c r="A27" s="2">
        <v>24</v>
      </c>
      <c r="B27" s="90" t="s">
        <v>251</v>
      </c>
      <c r="C27" s="78">
        <v>500</v>
      </c>
      <c r="D27" s="104" t="s">
        <v>11</v>
      </c>
    </row>
    <row r="28" spans="1:9" x14ac:dyDescent="0.2">
      <c r="A28" s="2">
        <v>25</v>
      </c>
      <c r="B28" s="90" t="s">
        <v>252</v>
      </c>
      <c r="C28" s="78">
        <v>501</v>
      </c>
      <c r="D28" s="104" t="s">
        <v>11</v>
      </c>
    </row>
    <row r="29" spans="1:9" x14ac:dyDescent="0.2">
      <c r="A29" s="2">
        <v>26</v>
      </c>
      <c r="B29" s="90" t="s">
        <v>67</v>
      </c>
      <c r="C29" s="78">
        <v>500</v>
      </c>
      <c r="D29" s="104" t="s">
        <v>11</v>
      </c>
    </row>
    <row r="30" spans="1:9" x14ac:dyDescent="0.2">
      <c r="A30" s="2">
        <v>27</v>
      </c>
      <c r="B30" s="91" t="s">
        <v>255</v>
      </c>
      <c r="C30" s="79">
        <v>500</v>
      </c>
      <c r="D30" s="104" t="s">
        <v>11</v>
      </c>
    </row>
    <row r="31" spans="1:9" x14ac:dyDescent="0.2">
      <c r="A31" s="2">
        <v>28</v>
      </c>
      <c r="B31" s="91" t="s">
        <v>257</v>
      </c>
      <c r="C31" s="79">
        <v>200</v>
      </c>
      <c r="D31" s="104" t="s">
        <v>11</v>
      </c>
    </row>
    <row r="32" spans="1:9" x14ac:dyDescent="0.2">
      <c r="A32" s="2">
        <v>29</v>
      </c>
      <c r="B32" s="91" t="s">
        <v>258</v>
      </c>
      <c r="C32" s="79">
        <v>500</v>
      </c>
      <c r="D32" s="104" t="s">
        <v>25</v>
      </c>
    </row>
    <row r="33" spans="1:10" x14ac:dyDescent="0.2">
      <c r="A33" s="2">
        <v>30</v>
      </c>
      <c r="B33" s="91" t="s">
        <v>21</v>
      </c>
      <c r="C33" s="79">
        <v>300</v>
      </c>
      <c r="D33" s="104" t="s">
        <v>25</v>
      </c>
    </row>
    <row r="34" spans="1:10" x14ac:dyDescent="0.2">
      <c r="A34" s="2">
        <v>31</v>
      </c>
      <c r="B34" s="91" t="s">
        <v>22</v>
      </c>
      <c r="C34" s="79">
        <v>501</v>
      </c>
      <c r="D34" s="104" t="s">
        <v>25</v>
      </c>
      <c r="J34" s="116"/>
    </row>
    <row r="35" spans="1:10" x14ac:dyDescent="0.2">
      <c r="A35" s="2">
        <v>32</v>
      </c>
      <c r="B35" s="91" t="s">
        <v>172</v>
      </c>
      <c r="C35" s="79">
        <v>1000</v>
      </c>
      <c r="D35" s="104" t="s">
        <v>25</v>
      </c>
    </row>
    <row r="36" spans="1:10" x14ac:dyDescent="0.2">
      <c r="A36" s="2">
        <v>33</v>
      </c>
      <c r="B36" s="91" t="s">
        <v>263</v>
      </c>
      <c r="C36" s="79">
        <v>500</v>
      </c>
      <c r="D36" s="104" t="s">
        <v>11</v>
      </c>
    </row>
    <row r="37" spans="1:10" x14ac:dyDescent="0.2">
      <c r="A37" s="2">
        <v>34</v>
      </c>
      <c r="B37" s="91" t="s">
        <v>271</v>
      </c>
      <c r="C37" s="79">
        <v>1002</v>
      </c>
      <c r="D37" s="104" t="s">
        <v>11</v>
      </c>
    </row>
    <row r="38" spans="1:10" x14ac:dyDescent="0.2">
      <c r="A38" s="2">
        <v>35</v>
      </c>
      <c r="B38" s="91" t="s">
        <v>38</v>
      </c>
      <c r="C38" s="79">
        <v>2000</v>
      </c>
      <c r="D38" s="104" t="s">
        <v>11</v>
      </c>
    </row>
    <row r="39" spans="1:10" x14ac:dyDescent="0.2">
      <c r="A39" s="2">
        <v>36</v>
      </c>
      <c r="B39" s="91" t="s">
        <v>264</v>
      </c>
      <c r="C39" s="79">
        <v>2000</v>
      </c>
      <c r="D39" s="104" t="s">
        <v>11</v>
      </c>
    </row>
    <row r="40" spans="1:10" x14ac:dyDescent="0.2">
      <c r="A40" s="2">
        <v>37</v>
      </c>
      <c r="B40" s="91" t="s">
        <v>265</v>
      </c>
      <c r="C40" s="79">
        <v>500</v>
      </c>
      <c r="D40" s="104" t="s">
        <v>11</v>
      </c>
    </row>
    <row r="41" spans="1:10" x14ac:dyDescent="0.2">
      <c r="A41" s="2">
        <v>38</v>
      </c>
      <c r="B41" s="91" t="s">
        <v>61</v>
      </c>
      <c r="C41" s="79">
        <v>200</v>
      </c>
      <c r="D41" s="104" t="s">
        <v>11</v>
      </c>
    </row>
    <row r="42" spans="1:10" x14ac:dyDescent="0.2">
      <c r="A42" s="2">
        <v>39</v>
      </c>
      <c r="B42" s="91" t="s">
        <v>267</v>
      </c>
      <c r="C42" s="79">
        <v>500</v>
      </c>
      <c r="D42" s="104" t="s">
        <v>11</v>
      </c>
    </row>
    <row r="43" spans="1:10" x14ac:dyDescent="0.2">
      <c r="A43" s="2">
        <v>40</v>
      </c>
      <c r="B43" s="91" t="s">
        <v>276</v>
      </c>
      <c r="C43" s="79">
        <v>500</v>
      </c>
      <c r="D43" s="104" t="s">
        <v>25</v>
      </c>
    </row>
    <row r="44" spans="1:10" x14ac:dyDescent="0.2">
      <c r="A44" s="2">
        <v>41</v>
      </c>
      <c r="B44" s="91" t="s">
        <v>287</v>
      </c>
      <c r="C44" s="79">
        <v>500</v>
      </c>
      <c r="D44" s="104" t="s">
        <v>11</v>
      </c>
    </row>
    <row r="45" spans="1:10" x14ac:dyDescent="0.2">
      <c r="A45" s="2">
        <v>42</v>
      </c>
      <c r="B45" s="91" t="s">
        <v>8</v>
      </c>
      <c r="C45" s="79">
        <v>2000</v>
      </c>
      <c r="D45" s="104" t="s">
        <v>25</v>
      </c>
      <c r="F45" s="169" t="s">
        <v>298</v>
      </c>
      <c r="G45" s="170"/>
      <c r="H45" s="171"/>
    </row>
    <row r="46" spans="1:10" x14ac:dyDescent="0.2">
      <c r="A46" s="2">
        <v>43</v>
      </c>
      <c r="B46" s="91" t="s">
        <v>71</v>
      </c>
      <c r="C46" s="79">
        <v>2000</v>
      </c>
      <c r="D46" s="104" t="s">
        <v>25</v>
      </c>
      <c r="F46" s="127" t="s">
        <v>300</v>
      </c>
      <c r="G46" s="127" t="s">
        <v>301</v>
      </c>
      <c r="H46" s="127" t="s">
        <v>14</v>
      </c>
    </row>
    <row r="47" spans="1:10" x14ac:dyDescent="0.2">
      <c r="A47" s="2">
        <v>45</v>
      </c>
      <c r="B47" s="91" t="s">
        <v>288</v>
      </c>
      <c r="C47" s="79">
        <v>500</v>
      </c>
      <c r="D47" s="104" t="s">
        <v>11</v>
      </c>
      <c r="F47" s="117">
        <v>1</v>
      </c>
      <c r="G47" s="117">
        <v>9</v>
      </c>
      <c r="H47" s="117">
        <f>SUM(G47)*1</f>
        <v>9</v>
      </c>
    </row>
    <row r="48" spans="1:10" x14ac:dyDescent="0.2">
      <c r="A48" s="2">
        <v>46</v>
      </c>
      <c r="B48" s="91" t="s">
        <v>302</v>
      </c>
      <c r="C48" s="79">
        <v>200</v>
      </c>
      <c r="D48" s="104" t="s">
        <v>11</v>
      </c>
      <c r="F48" s="2">
        <v>2</v>
      </c>
      <c r="G48" s="2">
        <v>15</v>
      </c>
      <c r="H48" s="2">
        <f>SUM(G48)*2</f>
        <v>30</v>
      </c>
    </row>
    <row r="49" spans="1:11" x14ac:dyDescent="0.2">
      <c r="A49" s="2">
        <v>47</v>
      </c>
      <c r="B49" s="91" t="s">
        <v>303</v>
      </c>
      <c r="C49" s="79">
        <v>501</v>
      </c>
      <c r="D49" s="104" t="s">
        <v>11</v>
      </c>
      <c r="F49" s="2">
        <v>5</v>
      </c>
      <c r="G49" s="2">
        <v>8</v>
      </c>
      <c r="H49" s="2">
        <f>SUM(G49)*5</f>
        <v>40</v>
      </c>
    </row>
    <row r="50" spans="1:11" x14ac:dyDescent="0.2">
      <c r="A50" s="2">
        <v>48</v>
      </c>
      <c r="B50" s="91" t="s">
        <v>304</v>
      </c>
      <c r="C50" s="79">
        <v>100</v>
      </c>
      <c r="D50" s="104" t="s">
        <v>11</v>
      </c>
      <c r="F50" s="2">
        <v>10</v>
      </c>
      <c r="G50" s="2">
        <v>10</v>
      </c>
      <c r="H50" s="2">
        <f>SUM(G50)*10</f>
        <v>100</v>
      </c>
    </row>
    <row r="51" spans="1:11" x14ac:dyDescent="0.2">
      <c r="A51" s="2">
        <v>49</v>
      </c>
      <c r="B51" s="91" t="s">
        <v>305</v>
      </c>
      <c r="C51" s="79">
        <v>300</v>
      </c>
      <c r="D51" s="104" t="s">
        <v>11</v>
      </c>
      <c r="F51" s="2">
        <v>20</v>
      </c>
      <c r="G51" s="2">
        <v>4</v>
      </c>
      <c r="H51" s="2">
        <f>SUM(G51)*20</f>
        <v>80</v>
      </c>
    </row>
    <row r="52" spans="1:11" x14ac:dyDescent="0.2">
      <c r="A52" s="2">
        <v>50</v>
      </c>
      <c r="B52" s="91" t="s">
        <v>307</v>
      </c>
      <c r="C52" s="79">
        <v>200</v>
      </c>
      <c r="D52" s="104" t="s">
        <v>11</v>
      </c>
      <c r="F52" s="2">
        <v>50</v>
      </c>
      <c r="G52" s="2">
        <v>1</v>
      </c>
      <c r="H52" s="2">
        <f>SUM(G52)*50</f>
        <v>50</v>
      </c>
    </row>
    <row r="53" spans="1:11" x14ac:dyDescent="0.2">
      <c r="A53" s="2">
        <v>51</v>
      </c>
      <c r="B53" s="91" t="s">
        <v>309</v>
      </c>
      <c r="C53" s="79">
        <v>1000</v>
      </c>
      <c r="D53" s="104" t="s">
        <v>11</v>
      </c>
      <c r="F53" s="2">
        <v>100</v>
      </c>
      <c r="G53" s="2">
        <v>1</v>
      </c>
      <c r="H53" s="2">
        <f>SUM(G53)*100</f>
        <v>100</v>
      </c>
    </row>
    <row r="54" spans="1:11" x14ac:dyDescent="0.2">
      <c r="A54" s="2">
        <v>52</v>
      </c>
      <c r="B54" s="91" t="s">
        <v>320</v>
      </c>
      <c r="C54" s="79">
        <v>500</v>
      </c>
      <c r="D54" s="104" t="s">
        <v>11</v>
      </c>
      <c r="F54" s="2"/>
      <c r="G54" s="2"/>
      <c r="H54" s="2"/>
    </row>
    <row r="55" spans="1:11" x14ac:dyDescent="0.2">
      <c r="A55" s="2">
        <v>55</v>
      </c>
      <c r="B55" s="91" t="s">
        <v>299</v>
      </c>
      <c r="C55" s="79">
        <f>SUM(H55)</f>
        <v>409</v>
      </c>
      <c r="D55" s="104" t="s">
        <v>11</v>
      </c>
      <c r="F55" s="2"/>
      <c r="G55" s="70" t="s">
        <v>90</v>
      </c>
      <c r="H55" s="70">
        <f>SUM(H47:H53)</f>
        <v>409</v>
      </c>
    </row>
    <row r="56" spans="1:11" x14ac:dyDescent="0.2">
      <c r="A56" s="2"/>
      <c r="B56" s="91"/>
      <c r="C56" s="79"/>
      <c r="D56" s="104"/>
    </row>
    <row r="57" spans="1:11" ht="23.25" x14ac:dyDescent="0.3">
      <c r="A57" s="6"/>
      <c r="B57" s="92" t="s">
        <v>42</v>
      </c>
      <c r="C57" s="81">
        <f>SUM(C4:C56) +2000</f>
        <v>45219</v>
      </c>
      <c r="D57" s="108"/>
    </row>
    <row r="58" spans="1:11" ht="21" x14ac:dyDescent="0.3">
      <c r="A58" s="6"/>
      <c r="B58" s="93"/>
      <c r="C58" s="82"/>
      <c r="D58" s="108"/>
    </row>
    <row r="59" spans="1:11" x14ac:dyDescent="0.2">
      <c r="A59" s="6"/>
      <c r="B59" s="93"/>
      <c r="C59" s="83"/>
      <c r="D59" s="108"/>
    </row>
    <row r="60" spans="1:11" ht="18.75" x14ac:dyDescent="0.25">
      <c r="A60" s="6"/>
      <c r="B60" s="94" t="s">
        <v>284</v>
      </c>
      <c r="C60" s="83"/>
      <c r="D60" s="108"/>
    </row>
    <row r="62" spans="1:11" x14ac:dyDescent="0.2">
      <c r="A62" s="72" t="s">
        <v>272</v>
      </c>
      <c r="B62" s="134">
        <v>44777</v>
      </c>
      <c r="C62" s="77"/>
      <c r="D62" s="104"/>
      <c r="F62" s="19"/>
      <c r="G62" s="6"/>
      <c r="J62" s="6"/>
      <c r="K62" s="6"/>
    </row>
    <row r="63" spans="1:11" x14ac:dyDescent="0.2">
      <c r="A63" s="133"/>
      <c r="B63" s="90"/>
      <c r="C63" s="131"/>
      <c r="D63" s="105"/>
      <c r="F63" s="6"/>
      <c r="J63" s="98"/>
      <c r="K63" s="129"/>
    </row>
    <row r="64" spans="1:11" x14ac:dyDescent="0.2">
      <c r="A64" s="6"/>
      <c r="B64" s="96" t="s">
        <v>233</v>
      </c>
      <c r="C64" s="130" t="s">
        <v>234</v>
      </c>
      <c r="D64" s="104">
        <v>1001</v>
      </c>
      <c r="F64" s="6"/>
      <c r="J64" s="6"/>
      <c r="K64" s="6"/>
    </row>
    <row r="65" spans="1:7" x14ac:dyDescent="0.2">
      <c r="A65" s="6"/>
      <c r="B65" s="90"/>
      <c r="C65" s="130"/>
      <c r="D65" s="104"/>
      <c r="F65" s="6"/>
    </row>
    <row r="66" spans="1:7" x14ac:dyDescent="0.2">
      <c r="A66" s="6"/>
      <c r="B66" s="97" t="s">
        <v>36</v>
      </c>
      <c r="C66" s="130"/>
      <c r="D66" s="109">
        <f>SUM(D64:D65)</f>
        <v>1001</v>
      </c>
      <c r="F66" s="6"/>
    </row>
    <row r="67" spans="1:7" x14ac:dyDescent="0.2">
      <c r="A67" s="6"/>
      <c r="B67" s="90"/>
      <c r="C67" s="84"/>
      <c r="D67" s="106"/>
      <c r="F67" s="6"/>
      <c r="G67" s="6"/>
    </row>
    <row r="68" spans="1:7" ht="18.75" x14ac:dyDescent="0.25">
      <c r="B68" s="135" t="s">
        <v>43</v>
      </c>
      <c r="C68" s="85"/>
      <c r="D68" s="122" t="str">
        <f>IMSUB(C57,D66)</f>
        <v>44218</v>
      </c>
      <c r="F68" s="6"/>
      <c r="G68" s="6"/>
    </row>
    <row r="69" spans="1:7" x14ac:dyDescent="0.2">
      <c r="F69" s="6"/>
      <c r="G69" s="6"/>
    </row>
    <row r="70" spans="1:7" x14ac:dyDescent="0.2">
      <c r="A70" s="73" t="s">
        <v>273</v>
      </c>
      <c r="B70" s="132">
        <v>44803</v>
      </c>
      <c r="C70" s="130"/>
      <c r="D70" s="104"/>
      <c r="F70" s="6"/>
      <c r="G70" s="6"/>
    </row>
    <row r="71" spans="1:7" x14ac:dyDescent="0.2">
      <c r="A71" s="6"/>
      <c r="B71" s="90"/>
      <c r="C71" s="131"/>
      <c r="D71" s="105"/>
      <c r="F71" s="6"/>
      <c r="G71" s="6"/>
    </row>
    <row r="72" spans="1:7" x14ac:dyDescent="0.2">
      <c r="A72" s="6"/>
      <c r="B72" s="90" t="s">
        <v>259</v>
      </c>
      <c r="C72" s="130" t="s">
        <v>234</v>
      </c>
      <c r="D72" s="104">
        <v>6</v>
      </c>
      <c r="F72" s="6"/>
      <c r="G72" s="6"/>
    </row>
    <row r="73" spans="1:7" x14ac:dyDescent="0.2">
      <c r="A73" s="6"/>
      <c r="B73" s="90" t="s">
        <v>91</v>
      </c>
      <c r="C73" s="130" t="s">
        <v>234</v>
      </c>
      <c r="D73" s="104">
        <v>1100</v>
      </c>
    </row>
    <row r="74" spans="1:7" x14ac:dyDescent="0.2">
      <c r="A74" s="6"/>
      <c r="B74" s="90" t="s">
        <v>236</v>
      </c>
      <c r="C74" s="130" t="s">
        <v>234</v>
      </c>
      <c r="D74" s="104">
        <v>1100</v>
      </c>
    </row>
    <row r="75" spans="1:7" x14ac:dyDescent="0.2">
      <c r="A75" s="6"/>
      <c r="B75" s="90" t="s">
        <v>260</v>
      </c>
      <c r="C75" s="130" t="s">
        <v>234</v>
      </c>
      <c r="D75" s="104">
        <v>300</v>
      </c>
    </row>
    <row r="76" spans="1:7" x14ac:dyDescent="0.2">
      <c r="A76" s="6"/>
      <c r="B76" s="100" t="s">
        <v>261</v>
      </c>
      <c r="C76" s="130" t="s">
        <v>234</v>
      </c>
      <c r="D76" s="104">
        <v>9000</v>
      </c>
    </row>
    <row r="77" spans="1:7" x14ac:dyDescent="0.2">
      <c r="A77" s="6"/>
      <c r="B77" s="90" t="s">
        <v>262</v>
      </c>
      <c r="C77" s="130" t="s">
        <v>234</v>
      </c>
      <c r="D77" s="104">
        <v>100</v>
      </c>
    </row>
    <row r="78" spans="1:7" x14ac:dyDescent="0.2">
      <c r="A78" s="6"/>
      <c r="B78" s="90" t="s">
        <v>87</v>
      </c>
      <c r="C78" s="130" t="s">
        <v>234</v>
      </c>
      <c r="D78" s="104">
        <v>350</v>
      </c>
    </row>
    <row r="79" spans="1:7" x14ac:dyDescent="0.2">
      <c r="A79" s="6"/>
      <c r="B79" s="90"/>
      <c r="C79" s="130"/>
      <c r="D79" s="104"/>
    </row>
    <row r="80" spans="1:7" x14ac:dyDescent="0.2">
      <c r="A80" s="6"/>
      <c r="B80" s="97" t="s">
        <v>36</v>
      </c>
      <c r="C80" s="130"/>
      <c r="D80" s="109">
        <f>SUM(D72:D79)</f>
        <v>11956</v>
      </c>
    </row>
    <row r="81" spans="1:4" x14ac:dyDescent="0.2">
      <c r="A81" s="6"/>
      <c r="B81" s="98"/>
      <c r="C81" s="84"/>
      <c r="D81" s="106"/>
    </row>
    <row r="82" spans="1:4" ht="18.75" x14ac:dyDescent="0.25">
      <c r="B82" s="99" t="s">
        <v>43</v>
      </c>
      <c r="C82" s="85"/>
      <c r="D82" s="122" t="str">
        <f>IMSUB(D68,D80)</f>
        <v>32262</v>
      </c>
    </row>
    <row r="85" spans="1:4" x14ac:dyDescent="0.2">
      <c r="A85" s="74" t="s">
        <v>274</v>
      </c>
      <c r="B85" s="95">
        <v>44804</v>
      </c>
      <c r="C85" s="77"/>
      <c r="D85" s="104"/>
    </row>
    <row r="86" spans="1:4" x14ac:dyDescent="0.2">
      <c r="B86" s="91"/>
      <c r="C86" s="80"/>
      <c r="D86" s="105"/>
    </row>
    <row r="87" spans="1:4" x14ac:dyDescent="0.2">
      <c r="B87" s="90" t="s">
        <v>266</v>
      </c>
      <c r="C87" s="77" t="s">
        <v>11</v>
      </c>
      <c r="D87" s="104">
        <v>2</v>
      </c>
    </row>
    <row r="88" spans="1:4" x14ac:dyDescent="0.2">
      <c r="B88" s="100" t="s">
        <v>235</v>
      </c>
      <c r="C88" s="77" t="s">
        <v>234</v>
      </c>
      <c r="D88" s="104">
        <v>8200</v>
      </c>
    </row>
    <row r="89" spans="1:4" x14ac:dyDescent="0.2">
      <c r="B89" s="90" t="s">
        <v>270</v>
      </c>
      <c r="C89" s="77" t="s">
        <v>23</v>
      </c>
      <c r="D89" s="104">
        <v>2000</v>
      </c>
    </row>
    <row r="90" spans="1:4" x14ac:dyDescent="0.2">
      <c r="B90" s="90" t="s">
        <v>268</v>
      </c>
      <c r="C90" s="77" t="s">
        <v>23</v>
      </c>
      <c r="D90" s="104">
        <v>200</v>
      </c>
    </row>
    <row r="91" spans="1:4" x14ac:dyDescent="0.2">
      <c r="B91" s="90" t="s">
        <v>269</v>
      </c>
      <c r="C91" s="77" t="s">
        <v>234</v>
      </c>
      <c r="D91" s="104">
        <v>500</v>
      </c>
    </row>
    <row r="92" spans="1:4" x14ac:dyDescent="0.2">
      <c r="B92" s="90" t="s">
        <v>87</v>
      </c>
      <c r="C92" s="77" t="s">
        <v>234</v>
      </c>
      <c r="D92" s="104">
        <v>300</v>
      </c>
    </row>
    <row r="93" spans="1:4" x14ac:dyDescent="0.2">
      <c r="B93" s="90" t="s">
        <v>275</v>
      </c>
      <c r="C93" s="77" t="s">
        <v>234</v>
      </c>
      <c r="D93" s="104">
        <v>300</v>
      </c>
    </row>
    <row r="95" spans="1:4" x14ac:dyDescent="0.2">
      <c r="B95" s="97" t="s">
        <v>36</v>
      </c>
      <c r="C95" s="77"/>
      <c r="D95" s="109">
        <f>SUM(D87:D93)</f>
        <v>11502</v>
      </c>
    </row>
    <row r="97" spans="1:4" ht="18.75" x14ac:dyDescent="0.25">
      <c r="B97" s="101" t="s">
        <v>43</v>
      </c>
      <c r="C97" s="85"/>
      <c r="D97" s="122" t="str">
        <f>IMSUB(D82,D95)</f>
        <v>20760</v>
      </c>
    </row>
    <row r="98" spans="1:4" x14ac:dyDescent="0.2">
      <c r="D98" s="110"/>
    </row>
    <row r="99" spans="1:4" x14ac:dyDescent="0.2">
      <c r="A99" s="74" t="s">
        <v>277</v>
      </c>
      <c r="B99" s="95">
        <v>44806</v>
      </c>
      <c r="C99" s="77"/>
      <c r="D99" s="104"/>
    </row>
    <row r="100" spans="1:4" x14ac:dyDescent="0.2">
      <c r="B100" s="91"/>
      <c r="C100" s="80"/>
      <c r="D100" s="105"/>
    </row>
    <row r="101" spans="1:4" x14ac:dyDescent="0.2">
      <c r="B101" s="90" t="s">
        <v>278</v>
      </c>
      <c r="C101" s="77" t="s">
        <v>234</v>
      </c>
      <c r="D101" s="104">
        <v>535</v>
      </c>
    </row>
    <row r="102" spans="1:4" x14ac:dyDescent="0.2">
      <c r="B102" s="90"/>
      <c r="C102" s="77"/>
      <c r="D102" s="104"/>
    </row>
    <row r="103" spans="1:4" x14ac:dyDescent="0.2">
      <c r="B103" s="97" t="s">
        <v>36</v>
      </c>
      <c r="C103" s="77"/>
      <c r="D103" s="109">
        <f>SUM(D101:D102)</f>
        <v>535</v>
      </c>
    </row>
    <row r="104" spans="1:4" x14ac:dyDescent="0.2">
      <c r="D104" s="110"/>
    </row>
    <row r="105" spans="1:4" ht="18.75" x14ac:dyDescent="0.25">
      <c r="B105" s="101" t="s">
        <v>43</v>
      </c>
      <c r="C105" s="85"/>
      <c r="D105" s="122" t="str">
        <f>IMSUB(D97,D103)</f>
        <v>20225</v>
      </c>
    </row>
    <row r="107" spans="1:4" x14ac:dyDescent="0.2">
      <c r="A107" s="74" t="s">
        <v>279</v>
      </c>
      <c r="B107" s="95">
        <v>44807</v>
      </c>
      <c r="C107" s="77"/>
      <c r="D107" s="104"/>
    </row>
    <row r="108" spans="1:4" x14ac:dyDescent="0.2">
      <c r="B108" s="91"/>
      <c r="C108" s="80"/>
      <c r="D108" s="105"/>
    </row>
    <row r="109" spans="1:4" x14ac:dyDescent="0.2">
      <c r="B109" s="90" t="s">
        <v>280</v>
      </c>
      <c r="C109" s="77" t="s">
        <v>234</v>
      </c>
      <c r="D109" s="104">
        <v>140</v>
      </c>
    </row>
    <row r="110" spans="1:4" x14ac:dyDescent="0.2">
      <c r="B110" s="90"/>
      <c r="C110" s="77"/>
      <c r="D110" s="104"/>
    </row>
    <row r="111" spans="1:4" x14ac:dyDescent="0.2">
      <c r="B111" s="97" t="s">
        <v>36</v>
      </c>
      <c r="C111" s="77"/>
      <c r="D111" s="109">
        <f>SUM(D109:D110)</f>
        <v>140</v>
      </c>
    </row>
    <row r="113" spans="1:4" ht="18.75" x14ac:dyDescent="0.25">
      <c r="B113" s="101" t="s">
        <v>43</v>
      </c>
      <c r="C113" s="85"/>
      <c r="D113" s="122" t="str">
        <f>IMSUB(D105,D111)</f>
        <v>20085</v>
      </c>
    </row>
    <row r="115" spans="1:4" x14ac:dyDescent="0.2">
      <c r="A115" s="74" t="s">
        <v>281</v>
      </c>
      <c r="B115" s="95">
        <v>44809</v>
      </c>
      <c r="C115" s="77"/>
      <c r="D115" s="104"/>
    </row>
    <row r="116" spans="1:4" x14ac:dyDescent="0.2">
      <c r="B116" s="91"/>
      <c r="C116" s="80"/>
      <c r="D116" s="105"/>
    </row>
    <row r="117" spans="1:4" x14ac:dyDescent="0.2">
      <c r="B117" s="90" t="s">
        <v>282</v>
      </c>
      <c r="C117" s="77" t="s">
        <v>23</v>
      </c>
      <c r="D117" s="104">
        <v>286</v>
      </c>
    </row>
    <row r="118" spans="1:4" x14ac:dyDescent="0.2">
      <c r="B118" s="90" t="s">
        <v>283</v>
      </c>
      <c r="C118" s="77" t="s">
        <v>25</v>
      </c>
      <c r="D118" s="104">
        <v>155</v>
      </c>
    </row>
    <row r="119" spans="1:4" x14ac:dyDescent="0.2">
      <c r="B119" s="102"/>
      <c r="C119" s="87"/>
      <c r="D119" s="107"/>
    </row>
    <row r="120" spans="1:4" x14ac:dyDescent="0.2">
      <c r="B120" s="89" t="s">
        <v>36</v>
      </c>
      <c r="C120" s="87"/>
      <c r="D120" s="111">
        <f>SUM(D117:D119)</f>
        <v>441</v>
      </c>
    </row>
    <row r="122" spans="1:4" ht="18.75" x14ac:dyDescent="0.25">
      <c r="B122" s="99" t="s">
        <v>43</v>
      </c>
      <c r="C122" s="85"/>
      <c r="D122" s="122" t="str">
        <f>IMSUB(D113,D120)</f>
        <v>19644</v>
      </c>
    </row>
    <row r="124" spans="1:4" x14ac:dyDescent="0.2">
      <c r="A124" s="74" t="s">
        <v>289</v>
      </c>
      <c r="B124" s="95">
        <v>44813</v>
      </c>
      <c r="C124" s="77"/>
      <c r="D124" s="104"/>
    </row>
    <row r="125" spans="1:4" x14ac:dyDescent="0.2">
      <c r="B125" s="91"/>
      <c r="C125" s="80"/>
      <c r="D125" s="105"/>
    </row>
    <row r="126" spans="1:4" x14ac:dyDescent="0.2">
      <c r="B126" s="90" t="s">
        <v>293</v>
      </c>
      <c r="C126" s="77" t="s">
        <v>234</v>
      </c>
      <c r="D126" s="104">
        <v>465</v>
      </c>
    </row>
    <row r="127" spans="1:4" x14ac:dyDescent="0.2">
      <c r="B127" s="90" t="s">
        <v>296</v>
      </c>
      <c r="C127" s="77" t="s">
        <v>234</v>
      </c>
      <c r="D127" s="104">
        <v>140</v>
      </c>
    </row>
    <row r="128" spans="1:4" x14ac:dyDescent="0.2">
      <c r="B128" s="90" t="s">
        <v>294</v>
      </c>
      <c r="C128" s="77" t="s">
        <v>234</v>
      </c>
      <c r="D128" s="104">
        <v>80</v>
      </c>
    </row>
    <row r="129" spans="1:4" x14ac:dyDescent="0.2">
      <c r="B129" s="90" t="s">
        <v>295</v>
      </c>
      <c r="C129" s="77" t="s">
        <v>234</v>
      </c>
      <c r="D129" s="104">
        <v>1600</v>
      </c>
    </row>
    <row r="130" spans="1:4" x14ac:dyDescent="0.2">
      <c r="B130" s="90" t="s">
        <v>297</v>
      </c>
      <c r="C130" s="77" t="s">
        <v>234</v>
      </c>
      <c r="D130" s="104">
        <v>190</v>
      </c>
    </row>
    <row r="131" spans="1:4" x14ac:dyDescent="0.2">
      <c r="B131" s="90" t="s">
        <v>116</v>
      </c>
      <c r="C131" s="77" t="s">
        <v>234</v>
      </c>
      <c r="D131" s="104">
        <v>3359</v>
      </c>
    </row>
    <row r="132" spans="1:4" x14ac:dyDescent="0.2">
      <c r="B132" s="102" t="s">
        <v>87</v>
      </c>
      <c r="C132" s="87" t="s">
        <v>234</v>
      </c>
      <c r="D132" s="107">
        <v>200</v>
      </c>
    </row>
    <row r="133" spans="1:4" x14ac:dyDescent="0.2">
      <c r="B133" s="102"/>
      <c r="C133" s="87"/>
      <c r="D133" s="107"/>
    </row>
    <row r="134" spans="1:4" x14ac:dyDescent="0.2">
      <c r="B134" s="89" t="s">
        <v>36</v>
      </c>
      <c r="C134" s="87"/>
      <c r="D134" s="111">
        <f>SUM(D126:D133)</f>
        <v>6034</v>
      </c>
    </row>
    <row r="136" spans="1:4" ht="21" x14ac:dyDescent="0.3">
      <c r="B136" s="99" t="s">
        <v>43</v>
      </c>
      <c r="C136" s="85"/>
      <c r="D136" s="121" t="str">
        <f>IMSUB(D122,D134)</f>
        <v>13610</v>
      </c>
    </row>
    <row r="138" spans="1:4" x14ac:dyDescent="0.2">
      <c r="A138" s="74" t="s">
        <v>290</v>
      </c>
      <c r="B138" s="95">
        <v>44814</v>
      </c>
      <c r="C138" s="77"/>
      <c r="D138" s="104"/>
    </row>
    <row r="139" spans="1:4" x14ac:dyDescent="0.2">
      <c r="B139" s="91"/>
      <c r="C139" s="80"/>
      <c r="D139" s="105"/>
    </row>
    <row r="140" spans="1:4" x14ac:dyDescent="0.2">
      <c r="B140" s="90" t="s">
        <v>308</v>
      </c>
      <c r="C140" s="77" t="s">
        <v>25</v>
      </c>
      <c r="D140" s="104">
        <v>1400</v>
      </c>
    </row>
    <row r="141" spans="1:4" x14ac:dyDescent="0.2">
      <c r="B141" s="90" t="s">
        <v>310</v>
      </c>
      <c r="C141" s="77" t="s">
        <v>25</v>
      </c>
      <c r="D141" s="104">
        <v>1480</v>
      </c>
    </row>
    <row r="142" spans="1:4" x14ac:dyDescent="0.2">
      <c r="B142" s="102" t="s">
        <v>311</v>
      </c>
      <c r="C142" s="87" t="s">
        <v>25</v>
      </c>
      <c r="D142" s="107">
        <v>230</v>
      </c>
    </row>
    <row r="143" spans="1:4" x14ac:dyDescent="0.2">
      <c r="B143" s="102" t="s">
        <v>312</v>
      </c>
      <c r="C143" s="87" t="s">
        <v>25</v>
      </c>
      <c r="D143" s="107">
        <v>130</v>
      </c>
    </row>
    <row r="144" spans="1:4" x14ac:dyDescent="0.2">
      <c r="B144" s="102" t="s">
        <v>313</v>
      </c>
      <c r="C144" s="87" t="s">
        <v>11</v>
      </c>
      <c r="D144" s="107">
        <v>480</v>
      </c>
    </row>
    <row r="145" spans="2:4" x14ac:dyDescent="0.2">
      <c r="B145" s="102" t="s">
        <v>112</v>
      </c>
      <c r="C145" s="87" t="s">
        <v>25</v>
      </c>
      <c r="D145" s="107">
        <v>100</v>
      </c>
    </row>
    <row r="146" spans="2:4" x14ac:dyDescent="0.2">
      <c r="B146" s="102" t="s">
        <v>314</v>
      </c>
      <c r="C146" s="87" t="s">
        <v>11</v>
      </c>
      <c r="D146" s="107">
        <v>158</v>
      </c>
    </row>
    <row r="147" spans="2:4" x14ac:dyDescent="0.2">
      <c r="B147" s="102" t="s">
        <v>315</v>
      </c>
      <c r="C147" s="87" t="s">
        <v>11</v>
      </c>
      <c r="D147" s="107">
        <v>150</v>
      </c>
    </row>
    <row r="148" spans="2:4" x14ac:dyDescent="0.2">
      <c r="B148" s="102" t="s">
        <v>316</v>
      </c>
      <c r="C148" s="87" t="s">
        <v>25</v>
      </c>
      <c r="D148" s="107">
        <v>375</v>
      </c>
    </row>
    <row r="149" spans="2:4" x14ac:dyDescent="0.2">
      <c r="B149" s="102" t="s">
        <v>317</v>
      </c>
      <c r="C149" s="87" t="s">
        <v>11</v>
      </c>
      <c r="D149" s="107">
        <v>70</v>
      </c>
    </row>
    <row r="150" spans="2:4" x14ac:dyDescent="0.2">
      <c r="B150" s="102" t="s">
        <v>30</v>
      </c>
      <c r="C150" s="87" t="s">
        <v>11</v>
      </c>
      <c r="D150" s="107">
        <v>270</v>
      </c>
    </row>
    <row r="151" spans="2:4" x14ac:dyDescent="0.2">
      <c r="B151" s="102" t="s">
        <v>318</v>
      </c>
      <c r="C151" s="87" t="s">
        <v>234</v>
      </c>
      <c r="D151" s="107">
        <v>60</v>
      </c>
    </row>
    <row r="152" spans="2:4" x14ac:dyDescent="0.2">
      <c r="B152" s="102" t="s">
        <v>319</v>
      </c>
      <c r="C152" s="87" t="s">
        <v>11</v>
      </c>
      <c r="D152" s="107">
        <v>400</v>
      </c>
    </row>
    <row r="153" spans="2:4" x14ac:dyDescent="0.2">
      <c r="B153" s="102" t="s">
        <v>323</v>
      </c>
      <c r="C153" s="87" t="s">
        <v>25</v>
      </c>
      <c r="D153" s="107">
        <v>300</v>
      </c>
    </row>
    <row r="154" spans="2:4" x14ac:dyDescent="0.2">
      <c r="B154" s="102" t="s">
        <v>116</v>
      </c>
      <c r="C154" s="87" t="s">
        <v>25</v>
      </c>
      <c r="D154" s="107">
        <v>450</v>
      </c>
    </row>
    <row r="155" spans="2:4" x14ac:dyDescent="0.2">
      <c r="B155" s="102" t="s">
        <v>322</v>
      </c>
      <c r="C155" s="87" t="s">
        <v>25</v>
      </c>
      <c r="D155" s="107">
        <v>200</v>
      </c>
    </row>
    <row r="156" spans="2:4" x14ac:dyDescent="0.2">
      <c r="B156" s="102"/>
      <c r="C156" s="87"/>
      <c r="D156" s="107"/>
    </row>
    <row r="157" spans="2:4" x14ac:dyDescent="0.2">
      <c r="B157" s="89" t="s">
        <v>36</v>
      </c>
      <c r="C157" s="87"/>
      <c r="D157" s="111">
        <f>SUM(D140:D156)</f>
        <v>6253</v>
      </c>
    </row>
    <row r="159" spans="2:4" ht="23.25" x14ac:dyDescent="0.3">
      <c r="B159" s="99" t="s">
        <v>43</v>
      </c>
      <c r="C159" s="85"/>
      <c r="D159" s="120" t="str">
        <f>IMSUB(D136,D157)</f>
        <v>7357</v>
      </c>
    </row>
    <row r="161" spans="1:4" x14ac:dyDescent="0.2">
      <c r="A161" s="74" t="s">
        <v>291</v>
      </c>
      <c r="B161" s="95">
        <v>44815</v>
      </c>
      <c r="C161" s="77"/>
      <c r="D161" s="104"/>
    </row>
    <row r="162" spans="1:4" x14ac:dyDescent="0.2">
      <c r="B162" s="91"/>
      <c r="C162" s="80"/>
      <c r="D162" s="105"/>
    </row>
    <row r="163" spans="1:4" x14ac:dyDescent="0.2">
      <c r="B163" s="90" t="s">
        <v>321</v>
      </c>
      <c r="C163" s="77" t="s">
        <v>25</v>
      </c>
      <c r="D163" s="104">
        <v>500</v>
      </c>
    </row>
    <row r="164" spans="1:4" x14ac:dyDescent="0.2">
      <c r="B164" s="90" t="s">
        <v>325</v>
      </c>
      <c r="C164" s="77" t="s">
        <v>23</v>
      </c>
      <c r="D164" s="104">
        <v>740</v>
      </c>
    </row>
    <row r="165" spans="1:4" x14ac:dyDescent="0.2">
      <c r="B165" s="102" t="s">
        <v>324</v>
      </c>
      <c r="C165" s="87" t="s">
        <v>23</v>
      </c>
      <c r="D165" s="107">
        <v>437</v>
      </c>
    </row>
    <row r="166" spans="1:4" x14ac:dyDescent="0.2">
      <c r="B166" s="102" t="s">
        <v>260</v>
      </c>
      <c r="C166" s="87" t="s">
        <v>25</v>
      </c>
      <c r="D166" s="107">
        <v>2680</v>
      </c>
    </row>
    <row r="167" spans="1:4" x14ac:dyDescent="0.2">
      <c r="B167" s="102"/>
      <c r="C167" s="87"/>
      <c r="D167" s="107"/>
    </row>
    <row r="168" spans="1:4" x14ac:dyDescent="0.2">
      <c r="B168" s="89" t="s">
        <v>36</v>
      </c>
      <c r="C168" s="87"/>
      <c r="D168" s="111">
        <f>SUM(D163:D167)</f>
        <v>4357</v>
      </c>
    </row>
    <row r="170" spans="1:4" ht="25.5" x14ac:dyDescent="0.35">
      <c r="B170" s="99" t="s">
        <v>43</v>
      </c>
      <c r="C170" s="85"/>
      <c r="D170" s="146" t="str">
        <f>IMSUB(D159,D168)</f>
        <v>3000</v>
      </c>
    </row>
    <row r="172" spans="1:4" x14ac:dyDescent="0.2">
      <c r="B172" s="95">
        <v>44838</v>
      </c>
      <c r="C172" s="77"/>
      <c r="D172" s="104"/>
    </row>
    <row r="173" spans="1:4" x14ac:dyDescent="0.2">
      <c r="B173" s="148"/>
      <c r="C173" s="77"/>
      <c r="D173" s="104"/>
    </row>
    <row r="174" spans="1:4" x14ac:dyDescent="0.2">
      <c r="B174" s="90" t="s">
        <v>332</v>
      </c>
      <c r="C174" s="77" t="s">
        <v>25</v>
      </c>
      <c r="D174" s="104">
        <v>1300</v>
      </c>
    </row>
    <row r="175" spans="1:4" x14ac:dyDescent="0.2">
      <c r="B175" s="102"/>
      <c r="C175" s="87"/>
      <c r="D175" s="107"/>
    </row>
    <row r="176" spans="1:4" x14ac:dyDescent="0.2">
      <c r="B176" s="89" t="s">
        <v>36</v>
      </c>
      <c r="C176" s="87"/>
      <c r="D176" s="111">
        <f>SUM(D170:D175)</f>
        <v>1300</v>
      </c>
    </row>
    <row r="178" spans="1:12" ht="25.5" x14ac:dyDescent="0.35">
      <c r="B178" s="99" t="s">
        <v>43</v>
      </c>
      <c r="C178" s="85"/>
      <c r="D178" s="146" t="str">
        <f>IMSUB(D170,D176)</f>
        <v>1700</v>
      </c>
    </row>
    <row r="180" spans="1:12" x14ac:dyDescent="0.2">
      <c r="B180" s="95">
        <v>44839</v>
      </c>
      <c r="C180" s="77"/>
      <c r="D180" s="104"/>
    </row>
    <row r="181" spans="1:12" x14ac:dyDescent="0.2">
      <c r="B181" s="90"/>
      <c r="C181" s="77"/>
      <c r="D181" s="104"/>
    </row>
    <row r="182" spans="1:12" x14ac:dyDescent="0.2">
      <c r="B182" s="90" t="s">
        <v>333</v>
      </c>
      <c r="C182" s="77" t="s">
        <v>25</v>
      </c>
      <c r="D182" s="104">
        <v>1700</v>
      </c>
    </row>
    <row r="183" spans="1:12" x14ac:dyDescent="0.2">
      <c r="B183" s="102"/>
      <c r="C183" s="87"/>
      <c r="D183" s="107"/>
    </row>
    <row r="184" spans="1:12" x14ac:dyDescent="0.2">
      <c r="B184" s="89" t="s">
        <v>36</v>
      </c>
      <c r="C184" s="87"/>
      <c r="D184" s="111">
        <f>SUM(D182)</f>
        <v>1700</v>
      </c>
    </row>
    <row r="186" spans="1:12" ht="25.5" x14ac:dyDescent="0.35">
      <c r="B186" s="99" t="s">
        <v>43</v>
      </c>
      <c r="C186" s="85"/>
      <c r="D186" s="146" t="str">
        <f>IMSUB(D178,D184)</f>
        <v>0</v>
      </c>
    </row>
    <row r="188" spans="1:12" x14ac:dyDescent="0.2">
      <c r="A188" s="144" t="s">
        <v>132</v>
      </c>
      <c r="B188" s="144" t="s">
        <v>1</v>
      </c>
      <c r="C188" s="144" t="s">
        <v>123</v>
      </c>
      <c r="D188" s="144" t="s">
        <v>48</v>
      </c>
      <c r="E188" s="144" t="s">
        <v>4</v>
      </c>
      <c r="F188" s="144" t="s">
        <v>142</v>
      </c>
      <c r="G188" s="144" t="s">
        <v>147</v>
      </c>
      <c r="H188" s="144" t="s">
        <v>145</v>
      </c>
      <c r="I188" s="144" t="s">
        <v>146</v>
      </c>
      <c r="J188" s="144" t="s">
        <v>224</v>
      </c>
      <c r="K188" s="144" t="s">
        <v>149</v>
      </c>
      <c r="L188" s="144" t="s">
        <v>143</v>
      </c>
    </row>
    <row r="189" spans="1:12" x14ac:dyDescent="0.2">
      <c r="A189" s="2">
        <v>1</v>
      </c>
      <c r="B189" s="20">
        <v>44817</v>
      </c>
      <c r="C189" s="2" t="s">
        <v>148</v>
      </c>
      <c r="D189" s="2" t="s">
        <v>163</v>
      </c>
      <c r="E189" s="2">
        <v>1000</v>
      </c>
      <c r="F189" s="2">
        <v>2.5</v>
      </c>
      <c r="G189" s="20">
        <f ca="1">TODAY()</f>
        <v>44998</v>
      </c>
      <c r="H189" s="2">
        <f ca="1">G189-B189</f>
        <v>181</v>
      </c>
      <c r="I189" s="2">
        <f ca="1">(H189/365)*12</f>
        <v>5.9506849315068493</v>
      </c>
      <c r="J189" s="2">
        <f ca="1">ROUND(I189,1)</f>
        <v>6</v>
      </c>
      <c r="K189" s="2">
        <f ca="1">(E189*I189*F189) /100</f>
        <v>148.76712328767124</v>
      </c>
      <c r="L189" s="3">
        <f ca="1">E189+K189</f>
        <v>1148.7671232876712</v>
      </c>
    </row>
    <row r="190" spans="1:12" x14ac:dyDescent="0.2">
      <c r="A190" s="2">
        <v>2</v>
      </c>
      <c r="B190" s="20">
        <v>44817</v>
      </c>
      <c r="C190" s="2" t="s">
        <v>148</v>
      </c>
      <c r="D190" s="2" t="s">
        <v>33</v>
      </c>
      <c r="E190" s="2">
        <v>1000</v>
      </c>
      <c r="F190" s="2">
        <v>2.5</v>
      </c>
      <c r="G190" s="20">
        <f t="shared" ref="G190:G191" ca="1" si="1">TODAY()</f>
        <v>44998</v>
      </c>
      <c r="H190" s="2">
        <f t="shared" ref="H190" ca="1" si="2">G190-B190</f>
        <v>181</v>
      </c>
      <c r="I190" s="2">
        <f t="shared" ref="I190:I191" ca="1" si="3">(H190/365)*12</f>
        <v>5.9506849315068493</v>
      </c>
      <c r="J190" s="2">
        <f ca="1">ROUND(I190,1)</f>
        <v>6</v>
      </c>
      <c r="K190" s="2">
        <f t="shared" ref="K190" ca="1" si="4">(E190*I190*F190) /100</f>
        <v>148.76712328767124</v>
      </c>
      <c r="L190" s="3">
        <f ca="1">E190+K190</f>
        <v>1148.7671232876712</v>
      </c>
    </row>
    <row r="191" spans="1:12" x14ac:dyDescent="0.2">
      <c r="A191" s="2">
        <v>3</v>
      </c>
      <c r="B191" s="20">
        <v>44817</v>
      </c>
      <c r="C191" s="2" t="s">
        <v>148</v>
      </c>
      <c r="D191" s="2" t="s">
        <v>174</v>
      </c>
      <c r="E191" s="2">
        <v>1000</v>
      </c>
      <c r="F191" s="2">
        <v>2.5</v>
      </c>
      <c r="G191" s="20">
        <f t="shared" ca="1" si="1"/>
        <v>44998</v>
      </c>
      <c r="H191" s="2">
        <f ca="1">G191-B191</f>
        <v>181</v>
      </c>
      <c r="I191" s="2">
        <f t="shared" ca="1" si="3"/>
        <v>5.9506849315068493</v>
      </c>
      <c r="J191" s="2">
        <f t="shared" ref="J191" ca="1" si="5">ROUND(I191,1)</f>
        <v>6</v>
      </c>
      <c r="K191" s="2">
        <f ca="1">(E191*I191*F191) /100</f>
        <v>148.76712328767124</v>
      </c>
      <c r="L191" s="3">
        <f ca="1">E191+K191</f>
        <v>1148.7671232876712</v>
      </c>
    </row>
    <row r="195" spans="2:10" ht="25.5" x14ac:dyDescent="0.35">
      <c r="H195" s="145" t="s">
        <v>328</v>
      </c>
      <c r="I195" s="25"/>
      <c r="J195" s="147">
        <f ca="1">SUM(L189:L191)-1300-1700</f>
        <v>446.30136986301386</v>
      </c>
    </row>
    <row r="197" spans="2:10" x14ac:dyDescent="0.2">
      <c r="B197" s="149" t="s">
        <v>334</v>
      </c>
      <c r="D197" s="88">
        <v>450</v>
      </c>
    </row>
    <row r="199" spans="2:10" x14ac:dyDescent="0.2">
      <c r="B199" s="57" t="s">
        <v>104</v>
      </c>
    </row>
    <row r="200" spans="2:10" x14ac:dyDescent="0.2">
      <c r="B200" s="57" t="s">
        <v>33</v>
      </c>
    </row>
    <row r="201" spans="2:10" x14ac:dyDescent="0.2">
      <c r="B201" s="57" t="s">
        <v>164</v>
      </c>
    </row>
    <row r="202" spans="2:10" x14ac:dyDescent="0.2">
      <c r="B202" s="57" t="s">
        <v>38</v>
      </c>
    </row>
    <row r="203" spans="2:10" x14ac:dyDescent="0.2">
      <c r="B203" s="57" t="s">
        <v>103</v>
      </c>
    </row>
    <row r="204" spans="2:10" x14ac:dyDescent="0.2">
      <c r="B204" s="57" t="s">
        <v>26</v>
      </c>
    </row>
    <row r="205" spans="2:10" x14ac:dyDescent="0.2">
      <c r="B205" s="57" t="s">
        <v>163</v>
      </c>
    </row>
    <row r="206" spans="2:10" x14ac:dyDescent="0.2">
      <c r="B206" s="57" t="s">
        <v>174</v>
      </c>
    </row>
    <row r="207" spans="2:10" x14ac:dyDescent="0.2">
      <c r="B207" s="57" t="s">
        <v>193</v>
      </c>
    </row>
  </sheetData>
  <mergeCells count="3">
    <mergeCell ref="E3:F3"/>
    <mergeCell ref="A1:D1"/>
    <mergeCell ref="F45:H4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86A6-C653-AC4D-BA7C-ED700F950057}">
  <dimension ref="A1:D27"/>
  <sheetViews>
    <sheetView topLeftCell="B1" zoomScaleNormal="60" zoomScaleSheetLayoutView="100" workbookViewId="0">
      <selection activeCell="B30" sqref="B30"/>
    </sheetView>
  </sheetViews>
  <sheetFormatPr defaultRowHeight="15" x14ac:dyDescent="0.2"/>
  <cols>
    <col min="1" max="1" width="5.6484375" customWidth="1"/>
    <col min="2" max="2" width="20.17578125" customWidth="1"/>
    <col min="3" max="3" width="14.2578125" customWidth="1"/>
    <col min="4" max="4" width="11.97265625" bestFit="1" customWidth="1"/>
  </cols>
  <sheetData>
    <row r="1" spans="1:4" x14ac:dyDescent="0.2">
      <c r="A1" s="136" t="s">
        <v>132</v>
      </c>
      <c r="B1" s="162" t="s">
        <v>48</v>
      </c>
      <c r="C1" s="136" t="s">
        <v>4</v>
      </c>
    </row>
    <row r="2" spans="1:4" x14ac:dyDescent="0.2">
      <c r="A2" s="2"/>
      <c r="B2" s="2"/>
      <c r="C2" s="2"/>
    </row>
    <row r="3" spans="1:4" x14ac:dyDescent="0.2">
      <c r="A3" s="2">
        <v>1</v>
      </c>
      <c r="B3" s="2" t="s">
        <v>33</v>
      </c>
      <c r="C3" s="2">
        <v>215</v>
      </c>
    </row>
    <row r="4" spans="1:4" x14ac:dyDescent="0.2">
      <c r="A4" s="2">
        <v>2</v>
      </c>
      <c r="B4" s="2" t="s">
        <v>164</v>
      </c>
      <c r="C4" s="2"/>
    </row>
    <row r="5" spans="1:4" x14ac:dyDescent="0.2">
      <c r="A5" s="2">
        <v>3</v>
      </c>
      <c r="B5" s="2" t="s">
        <v>29</v>
      </c>
      <c r="C5" s="2">
        <v>215</v>
      </c>
    </row>
    <row r="6" spans="1:4" x14ac:dyDescent="0.2">
      <c r="A6" s="2">
        <v>4</v>
      </c>
      <c r="B6" s="2" t="s">
        <v>193</v>
      </c>
      <c r="C6" s="2"/>
    </row>
    <row r="7" spans="1:4" x14ac:dyDescent="0.2">
      <c r="A7" s="2">
        <v>5</v>
      </c>
      <c r="B7" s="2" t="s">
        <v>174</v>
      </c>
      <c r="C7" s="2">
        <v>215</v>
      </c>
    </row>
    <row r="8" spans="1:4" x14ac:dyDescent="0.2">
      <c r="A8" s="2">
        <v>6</v>
      </c>
      <c r="B8" s="2" t="s">
        <v>38</v>
      </c>
      <c r="C8" s="2">
        <v>215</v>
      </c>
    </row>
    <row r="9" spans="1:4" x14ac:dyDescent="0.2">
      <c r="A9" s="2">
        <v>7</v>
      </c>
      <c r="B9" s="2" t="s">
        <v>103</v>
      </c>
      <c r="C9" s="2">
        <v>215</v>
      </c>
    </row>
    <row r="10" spans="1:4" x14ac:dyDescent="0.2">
      <c r="A10" s="2">
        <v>8</v>
      </c>
      <c r="B10" s="2" t="s">
        <v>26</v>
      </c>
      <c r="C10" s="2"/>
    </row>
    <row r="11" spans="1:4" x14ac:dyDescent="0.2">
      <c r="A11" s="2">
        <v>9</v>
      </c>
      <c r="B11" s="2" t="s">
        <v>217</v>
      </c>
      <c r="C11" s="2">
        <v>215</v>
      </c>
    </row>
    <row r="12" spans="1:4" x14ac:dyDescent="0.2">
      <c r="A12" s="2">
        <v>10</v>
      </c>
      <c r="B12" s="2" t="s">
        <v>163</v>
      </c>
      <c r="C12" s="2"/>
    </row>
    <row r="13" spans="1:4" x14ac:dyDescent="0.2">
      <c r="A13" s="2">
        <v>11</v>
      </c>
      <c r="B13" s="2" t="s">
        <v>104</v>
      </c>
      <c r="C13" s="2">
        <v>215</v>
      </c>
    </row>
    <row r="14" spans="1:4" x14ac:dyDescent="0.2">
      <c r="A14" s="2">
        <v>12</v>
      </c>
      <c r="B14" s="2" t="s">
        <v>34</v>
      </c>
      <c r="C14" s="2"/>
    </row>
    <row r="15" spans="1:4" x14ac:dyDescent="0.2">
      <c r="A15" s="2">
        <v>13</v>
      </c>
      <c r="B15" s="2" t="s">
        <v>357</v>
      </c>
      <c r="C15" s="2"/>
      <c r="D15" s="10"/>
    </row>
    <row r="16" spans="1:4" x14ac:dyDescent="0.2">
      <c r="A16" s="2">
        <v>14</v>
      </c>
      <c r="B16" s="2" t="s">
        <v>254</v>
      </c>
      <c r="C16" s="2"/>
    </row>
    <row r="17" spans="1:4" x14ac:dyDescent="0.2">
      <c r="A17" s="2">
        <v>15</v>
      </c>
      <c r="B17" s="2" t="s">
        <v>358</v>
      </c>
      <c r="C17" s="9">
        <v>215</v>
      </c>
      <c r="D17" t="s">
        <v>97</v>
      </c>
    </row>
    <row r="18" spans="1:4" x14ac:dyDescent="0.2">
      <c r="A18" s="2"/>
      <c r="B18" s="2"/>
      <c r="C18" s="2"/>
    </row>
    <row r="19" spans="1:4" x14ac:dyDescent="0.2">
      <c r="A19" s="2"/>
      <c r="B19" s="2" t="s">
        <v>361</v>
      </c>
      <c r="C19" s="160">
        <f>SUM(C3:C17)+2280</f>
        <v>4000</v>
      </c>
    </row>
    <row r="21" spans="1:4" x14ac:dyDescent="0.2">
      <c r="A21" s="172" t="s">
        <v>360</v>
      </c>
      <c r="B21" s="172"/>
      <c r="C21" s="12">
        <v>10000</v>
      </c>
    </row>
    <row r="22" spans="1:4" x14ac:dyDescent="0.2">
      <c r="B22" s="161" t="s">
        <v>359</v>
      </c>
      <c r="C22" s="12">
        <v>7720</v>
      </c>
    </row>
    <row r="23" spans="1:4" x14ac:dyDescent="0.2">
      <c r="B23" s="12"/>
      <c r="C23" s="12"/>
    </row>
    <row r="24" spans="1:4" x14ac:dyDescent="0.2">
      <c r="B24" s="161" t="s">
        <v>362</v>
      </c>
      <c r="C24" s="159">
        <v>2280</v>
      </c>
    </row>
    <row r="26" spans="1:4" x14ac:dyDescent="0.2">
      <c r="B26" t="s">
        <v>363</v>
      </c>
      <c r="C26" s="12">
        <v>5500</v>
      </c>
    </row>
    <row r="27" spans="1:4" x14ac:dyDescent="0.2">
      <c r="B27" t="s">
        <v>365</v>
      </c>
      <c r="C27" t="s">
        <v>364</v>
      </c>
      <c r="D27" s="12">
        <f>(5500-2280) /15</f>
        <v>214.66666666666666</v>
      </c>
    </row>
  </sheetData>
  <mergeCells count="1"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Daily Pivot</vt:lpstr>
      <vt:lpstr>RAW</vt:lpstr>
      <vt:lpstr>Daily Expenditure</vt:lpstr>
      <vt:lpstr>House</vt:lpstr>
      <vt:lpstr>HouseGraph</vt:lpstr>
      <vt:lpstr>Car Loan</vt:lpstr>
      <vt:lpstr>Home Loan</vt:lpstr>
      <vt:lpstr>Temple Collection </vt:lpstr>
      <vt:lpstr>Deviramma Banavara</vt:lpstr>
      <vt:lpstr>Ganapati</vt:lpstr>
      <vt:lpstr>Drone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 R, HarishKumar</cp:lastModifiedBy>
  <dcterms:created xsi:type="dcterms:W3CDTF">2021-10-24T13:39:22Z</dcterms:created>
  <dcterms:modified xsi:type="dcterms:W3CDTF">2023-02-03T14:36:49Z</dcterms:modified>
</cp:coreProperties>
</file>