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erhr-my.sharepoint.com/personal/ap55849_fer_hr/Documents/Dokumenti Laptop/Academic_Weapon/"/>
    </mc:Choice>
  </mc:AlternateContent>
  <xr:revisionPtr revIDLastSave="346" documentId="8_{37AD6AAF-48ED-4C7E-AA93-6B557C5A0206}" xr6:coauthVersionLast="47" xr6:coauthVersionMax="47" xr10:uidLastSave="{0D1D28E4-B91B-4877-B090-AA8829533C8E}"/>
  <bookViews>
    <workbookView xWindow="-108" yWindow="-108" windowWidth="23256" windowHeight="13896" xr2:uid="{00000000-000D-0000-FFFF-FFFF00000000}"/>
  </bookViews>
  <sheets>
    <sheet name="ECTS" sheetId="5" r:id="rId1"/>
    <sheet name="SEM1" sheetId="1" r:id="rId2"/>
    <sheet name="ZIR" sheetId="2" r:id="rId3"/>
    <sheet name="SEM2" sheetId="3" r:id="rId4"/>
    <sheet name="LJI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7" i="4"/>
  <c r="B3" i="4"/>
  <c r="B14" i="3"/>
  <c r="B35" i="3"/>
  <c r="B13" i="4"/>
  <c r="D13" i="4" s="1"/>
  <c r="D19" i="3"/>
  <c r="B7" i="3"/>
  <c r="N8" i="3" s="1"/>
  <c r="B7" i="1"/>
  <c r="N6" i="1" s="1"/>
  <c r="B14" i="4"/>
  <c r="F24" i="4"/>
  <c r="F21" i="4"/>
  <c r="F9" i="4"/>
  <c r="F22" i="2"/>
  <c r="E12" i="5"/>
  <c r="D12" i="5"/>
  <c r="B12" i="5"/>
  <c r="E7" i="5"/>
  <c r="B12" i="4"/>
  <c r="D12" i="4" s="1"/>
  <c r="D16" i="4"/>
  <c r="D17" i="4"/>
  <c r="B2" i="4"/>
  <c r="D2" i="4" s="1"/>
  <c r="D4" i="4"/>
  <c r="D5" i="4"/>
  <c r="B30" i="3"/>
  <c r="Q8" i="3" s="1"/>
  <c r="E21" i="3"/>
  <c r="D6" i="3"/>
  <c r="Q7" i="4"/>
  <c r="Q6" i="4"/>
  <c r="Q5" i="4"/>
  <c r="Q4" i="4"/>
  <c r="P7" i="4"/>
  <c r="P6" i="4"/>
  <c r="P5" i="4"/>
  <c r="P4" i="4"/>
  <c r="N5" i="4"/>
  <c r="D24" i="4"/>
  <c r="D21" i="4"/>
  <c r="D17" i="3"/>
  <c r="D20" i="3"/>
  <c r="D21" i="3"/>
  <c r="D22" i="3"/>
  <c r="D34" i="3"/>
  <c r="D29" i="3"/>
  <c r="D28" i="3"/>
  <c r="D27" i="3"/>
  <c r="D23" i="3"/>
  <c r="D13" i="3"/>
  <c r="D12" i="3"/>
  <c r="D5" i="3"/>
  <c r="D4" i="3"/>
  <c r="D3" i="3"/>
  <c r="D6" i="1"/>
  <c r="B13" i="1"/>
  <c r="D13" i="1" s="1"/>
  <c r="D35" i="1"/>
  <c r="D4" i="1"/>
  <c r="B20" i="2"/>
  <c r="D20" i="2" s="1"/>
  <c r="D19" i="2"/>
  <c r="E22" i="2"/>
  <c r="B7" i="2"/>
  <c r="B9" i="2" s="1"/>
  <c r="B18" i="2"/>
  <c r="B22" i="2" s="1"/>
  <c r="D22" i="2" s="1"/>
  <c r="D21" i="2"/>
  <c r="D34" i="1"/>
  <c r="D30" i="1"/>
  <c r="D31" i="1"/>
  <c r="D32" i="1"/>
  <c r="D33" i="1"/>
  <c r="D29" i="1"/>
  <c r="P8" i="2"/>
  <c r="P7" i="2"/>
  <c r="P6" i="2"/>
  <c r="P5" i="2"/>
  <c r="O8" i="2"/>
  <c r="O7" i="2"/>
  <c r="O6" i="2"/>
  <c r="O5" i="2"/>
  <c r="B4" i="2"/>
  <c r="M7" i="2" s="1"/>
  <c r="D2" i="2"/>
  <c r="D15" i="2"/>
  <c r="D12" i="2"/>
  <c r="D8" i="2"/>
  <c r="D3" i="2"/>
  <c r="Q5" i="2"/>
  <c r="Q8" i="2"/>
  <c r="Q7" i="2"/>
  <c r="Q6" i="2"/>
  <c r="Q9" i="2"/>
  <c r="D23" i="1"/>
  <c r="D24" i="1"/>
  <c r="D22" i="1"/>
  <c r="D17" i="1"/>
  <c r="D18" i="1"/>
  <c r="D16" i="1"/>
  <c r="D11" i="1"/>
  <c r="D12" i="1"/>
  <c r="D10" i="1"/>
  <c r="D3" i="1"/>
  <c r="D5" i="1"/>
  <c r="D2" i="1"/>
  <c r="B19" i="1"/>
  <c r="D19" i="1" s="1"/>
  <c r="B25" i="1"/>
  <c r="D25" i="1" s="1"/>
  <c r="Q7" i="1" l="1"/>
  <c r="Q8" i="1"/>
  <c r="Q5" i="1"/>
  <c r="O7" i="3"/>
  <c r="D10" i="3"/>
  <c r="B24" i="3"/>
  <c r="P7" i="3" s="1"/>
  <c r="B15" i="4"/>
  <c r="D15" i="4" s="1"/>
  <c r="P6" i="1"/>
  <c r="P7" i="1"/>
  <c r="P5" i="1"/>
  <c r="P8" i="1"/>
  <c r="D18" i="2"/>
  <c r="D18" i="3"/>
  <c r="P9" i="1"/>
  <c r="E19" i="1" s="1"/>
  <c r="F19" i="1" s="1"/>
  <c r="D14" i="4"/>
  <c r="D11" i="3"/>
  <c r="D4" i="2"/>
  <c r="P9" i="2"/>
  <c r="E15" i="2" s="1"/>
  <c r="O9" i="2"/>
  <c r="E12" i="2" s="1"/>
  <c r="Q6" i="1"/>
  <c r="M6" i="2"/>
  <c r="M5" i="2"/>
  <c r="M8" i="2"/>
  <c r="B6" i="4"/>
  <c r="D3" i="4"/>
  <c r="Q8" i="4"/>
  <c r="E24" i="4" s="1"/>
  <c r="N6" i="3"/>
  <c r="D7" i="3"/>
  <c r="N7" i="3"/>
  <c r="D14" i="3"/>
  <c r="O8" i="3"/>
  <c r="O6" i="3"/>
  <c r="N7" i="4"/>
  <c r="N4" i="4"/>
  <c r="N6" i="4"/>
  <c r="P8" i="4"/>
  <c r="E21" i="4" s="1"/>
  <c r="D9" i="4"/>
  <c r="N5" i="3"/>
  <c r="D30" i="3"/>
  <c r="Q7" i="3"/>
  <c r="Q6" i="3"/>
  <c r="O5" i="3"/>
  <c r="Q5" i="3"/>
  <c r="D2" i="3"/>
  <c r="N5" i="1"/>
  <c r="N7" i="2"/>
  <c r="N8" i="2"/>
  <c r="D9" i="2"/>
  <c r="N5" i="2"/>
  <c r="N6" i="2"/>
  <c r="D7" i="2"/>
  <c r="O8" i="1"/>
  <c r="O6" i="1"/>
  <c r="O5" i="1"/>
  <c r="O7" i="1"/>
  <c r="B36" i="1"/>
  <c r="R8" i="1" s="1"/>
  <c r="D7" i="1"/>
  <c r="N7" i="1"/>
  <c r="N8" i="1"/>
  <c r="Q9" i="1" l="1"/>
  <c r="E25" i="1" s="1"/>
  <c r="C6" i="5"/>
  <c r="B18" i="4"/>
  <c r="O6" i="4" s="1"/>
  <c r="P6" i="3"/>
  <c r="D24" i="3"/>
  <c r="P5" i="3"/>
  <c r="P8" i="3"/>
  <c r="F15" i="2"/>
  <c r="D7" i="5"/>
  <c r="F12" i="2"/>
  <c r="C7" i="5"/>
  <c r="C5" i="5" s="1"/>
  <c r="D6" i="5"/>
  <c r="F25" i="1"/>
  <c r="M9" i="2"/>
  <c r="E4" i="2" s="1"/>
  <c r="M5" i="4"/>
  <c r="M4" i="4"/>
  <c r="M7" i="4"/>
  <c r="M6" i="4"/>
  <c r="D6" i="4"/>
  <c r="O9" i="3"/>
  <c r="E14" i="3" s="1"/>
  <c r="N8" i="4"/>
  <c r="E9" i="4" s="1"/>
  <c r="N9" i="3"/>
  <c r="E7" i="3" s="1"/>
  <c r="Q9" i="3"/>
  <c r="E30" i="3" s="1"/>
  <c r="F30" i="3" s="1"/>
  <c r="N9" i="1"/>
  <c r="E7" i="1" s="1"/>
  <c r="O9" i="1"/>
  <c r="E13" i="1" s="1"/>
  <c r="N9" i="2"/>
  <c r="E9" i="2" s="1"/>
  <c r="R7" i="1"/>
  <c r="R5" i="1"/>
  <c r="D36" i="1"/>
  <c r="R6" i="1"/>
  <c r="O7" i="4" l="1"/>
  <c r="D18" i="4"/>
  <c r="O4" i="4"/>
  <c r="O5" i="4"/>
  <c r="P9" i="3"/>
  <c r="E24" i="3" s="1"/>
  <c r="C11" i="5" s="1"/>
  <c r="M8" i="4"/>
  <c r="E6" i="4" s="1"/>
  <c r="D11" i="5"/>
  <c r="D10" i="5" s="1"/>
  <c r="B11" i="5"/>
  <c r="B10" i="5" s="1"/>
  <c r="F14" i="3"/>
  <c r="F7" i="3"/>
  <c r="A11" i="5"/>
  <c r="D5" i="5"/>
  <c r="B7" i="5"/>
  <c r="F9" i="2"/>
  <c r="B6" i="5"/>
  <c r="F13" i="1"/>
  <c r="A6" i="5"/>
  <c r="F7" i="1"/>
  <c r="A7" i="5"/>
  <c r="F4" i="2"/>
  <c r="R9" i="1"/>
  <c r="E36" i="1" s="1"/>
  <c r="O8" i="4" l="1"/>
  <c r="E18" i="4" s="1"/>
  <c r="F24" i="3"/>
  <c r="C12" i="5"/>
  <c r="C10" i="5" s="1"/>
  <c r="F18" i="4"/>
  <c r="A12" i="5"/>
  <c r="A10" i="5" s="1"/>
  <c r="F6" i="4"/>
  <c r="B5" i="5"/>
  <c r="A5" i="5"/>
  <c r="E6" i="5"/>
  <c r="E5" i="5" s="1"/>
  <c r="F4" i="5" s="1"/>
  <c r="F36" i="1"/>
  <c r="F2" i="1" s="1"/>
  <c r="F2" i="2"/>
  <c r="F2" i="4" l="1"/>
  <c r="R8" i="3"/>
  <c r="R6" i="3"/>
  <c r="R7" i="3"/>
  <c r="R9" i="3" s="1"/>
  <c r="E35" i="3" s="1"/>
  <c r="F35" i="3" s="1"/>
  <c r="F2" i="3" s="1"/>
  <c r="D35" i="3"/>
  <c r="R5" i="3"/>
  <c r="E11" i="5" l="1"/>
  <c r="E10" i="5" s="1"/>
  <c r="F9" i="5" s="1"/>
  <c r="I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tc={048DD218-393A-4AD5-968E-6FB055C98BFC}</author>
    <author>tc={2E7764DA-5587-4B31-8CA8-03314B1AD733}</author>
    <author>tc={79436E82-2329-417C-93BF-913CC54B60B9}</author>
    <author>tc={B8C00CC6-9561-471A-8418-228EC3B2A655}</author>
    <author>tc={8336269A-3E16-4DCA-809F-D8012D883B9F}</author>
  </authors>
  <commentList>
    <comment ref="D7" authorId="0" shapeId="0" xr:uid="{048DD218-393A-4AD5-968E-6FB055C98BF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Dovoljan (2) 50 % 
Dobar (3) 62 % 
Vrlo dobar (4) 75 % 
Izvrstan (5) 88 %</t>
      </text>
    </comment>
    <comment ref="D13" authorId="1" shapeId="0" xr:uid="{2E7764DA-5587-4B31-8CA8-03314B1AD733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[87.5, 100] 5 
[75, 87.5) 4 
[62.5, 75) 3 
[50, 62.5) 2 </t>
      </text>
    </comment>
    <comment ref="D19" authorId="2" shapeId="0" xr:uid="{79436E82-2329-417C-93BF-913CC54B60B9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45 bodova………dovoljan (2) 
55 bodova………dobar (3) 
70 bodova………vrlo dobar (4) 
85 bodova………izvrstan (5) </t>
      </text>
    </comment>
    <comment ref="D25" authorId="3" shapeId="0" xr:uid="{B8C00CC6-9561-471A-8418-228EC3B2A65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6" authorId="4" shapeId="0" xr:uid="{8336269A-3E16-4DCA-809F-D8012D883B9F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70 dobar
60 dovoljan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tc={8466538D-CB99-4685-8D00-C6B9C6699AC0}</author>
    <author>tc={2E7B1771-4A33-442B-BD13-A927A1CA313D}</author>
    <author>tc={40C51B75-82AA-4452-9884-5B9F3D50D7A2}</author>
    <author>tc={7026532A-443C-46BF-B9D8-05ADE320B1CB}</author>
    <author>tc={0C339E6C-19AE-4F2A-BA83-337FA80BEB9D}</author>
  </authors>
  <commentList>
    <comment ref="D7" authorId="0" shapeId="0" xr:uid="{8466538D-CB99-4685-8D00-C6B9C6699AC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
</t>
      </text>
    </comment>
    <comment ref="D14" authorId="1" shapeId="0" xr:uid="{2E7B1771-4A33-442B-BD13-A927A1CA313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 (5)
80 vrlo dobar (4)
65 dobar (3)
50 dovoljan (2)
</t>
      </text>
    </comment>
    <comment ref="D24" authorId="2" shapeId="0" xr:uid="{40C51B75-82AA-4452-9884-5B9F3D50D7A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 (5)
74 vrlo dobar (4)
62 dobar (3)
50 dovoljan (2)
</t>
      </text>
    </comment>
    <comment ref="D30" authorId="3" shapeId="0" xr:uid="{7026532A-443C-46BF-B9D8-05ADE320B1CB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5" authorId="4" shapeId="0" xr:uid="{0C339E6C-19AE-4F2A-BA83-337FA80BEB9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35,5 izvrstan (5) 
30 vrlo dobar (4) 
24 dobar (3)
20 dovoljan (2) </t>
      </text>
    </comment>
  </commentList>
</comments>
</file>

<file path=xl/sharedStrings.xml><?xml version="1.0" encoding="utf-8"?>
<sst xmlns="http://schemas.openxmlformats.org/spreadsheetml/2006/main" count="248" uniqueCount="59">
  <si>
    <t>DIGLOG</t>
  </si>
  <si>
    <t>Labos</t>
  </si>
  <si>
    <t>Zadace</t>
  </si>
  <si>
    <t>KPZ</t>
  </si>
  <si>
    <t>MI</t>
  </si>
  <si>
    <t>ZI</t>
  </si>
  <si>
    <t>Moji Bodovi</t>
  </si>
  <si>
    <t>Maximum</t>
  </si>
  <si>
    <t>UKUPNO</t>
  </si>
  <si>
    <t>UPRO</t>
  </si>
  <si>
    <t>LINALG</t>
  </si>
  <si>
    <t>Zadaće</t>
  </si>
  <si>
    <t>MATAN - ONE</t>
  </si>
  <si>
    <t>Postotak</t>
  </si>
  <si>
    <t>Ocjena:</t>
  </si>
  <si>
    <t>Racunanje ocjene</t>
  </si>
  <si>
    <t>MATAN</t>
  </si>
  <si>
    <t>zbroj</t>
  </si>
  <si>
    <t>Ispit</t>
  </si>
  <si>
    <t>Linearna</t>
  </si>
  <si>
    <t xml:space="preserve">Maximum </t>
  </si>
  <si>
    <t>Ukupno</t>
  </si>
  <si>
    <t>Matan1</t>
  </si>
  <si>
    <t>Ocjena</t>
  </si>
  <si>
    <t>VJEKOM &gt;:(</t>
  </si>
  <si>
    <t>Pripreme</t>
  </si>
  <si>
    <t>Projekt</t>
  </si>
  <si>
    <t>Sudjelovanje</t>
  </si>
  <si>
    <t>MI/ZI</t>
  </si>
  <si>
    <t>VJEKOM</t>
  </si>
  <si>
    <t xml:space="preserve">VJEKOM </t>
  </si>
  <si>
    <t>Bonus</t>
  </si>
  <si>
    <t>FIZIKA</t>
  </si>
  <si>
    <t>MI pismeni</t>
  </si>
  <si>
    <t>ZI pismeni</t>
  </si>
  <si>
    <t>ZI usmeni</t>
  </si>
  <si>
    <t>OOP</t>
  </si>
  <si>
    <t>OE</t>
  </si>
  <si>
    <t>Labosi</t>
  </si>
  <si>
    <t>DZ</t>
  </si>
  <si>
    <t>lil extra</t>
  </si>
  <si>
    <t>PITI</t>
  </si>
  <si>
    <t>OElektro</t>
  </si>
  <si>
    <t>MATAN#2</t>
  </si>
  <si>
    <t>FIZ</t>
  </si>
  <si>
    <t>MATAN2</t>
  </si>
  <si>
    <t>Matan2</t>
  </si>
  <si>
    <t xml:space="preserve">PITI </t>
  </si>
  <si>
    <t>Pismeni</t>
  </si>
  <si>
    <t>Usmeni</t>
  </si>
  <si>
    <t>ECTS</t>
  </si>
  <si>
    <t>TRENUTNO STANJE</t>
  </si>
  <si>
    <t>#1 SEMESTAR</t>
  </si>
  <si>
    <t>#2 SEMESTAR</t>
  </si>
  <si>
    <t>UKUPNO:</t>
  </si>
  <si>
    <t>stanje :</t>
  </si>
  <si>
    <t>po semestru</t>
  </si>
  <si>
    <t>&lt;-- link</t>
  </si>
  <si>
    <t>https://github.com/APapratt13/Academic_Weapon/tree/master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</si>
</sst>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009E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7A00"/>
        <bgColor indexed="64"/>
      </patternFill>
    </fill>
    <fill>
      <patternFill patternType="solid">
        <fgColor rgb="FFF68D00"/>
        <bgColor indexed="64"/>
      </patternFill>
    </fill>
    <fill>
      <patternFill patternType="solid">
        <fgColor rgb="FFFFD49B"/>
        <bgColor indexed="64"/>
      </patternFill>
    </fill>
    <fill>
      <patternFill patternType="solid">
        <fgColor rgb="FFFFC2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A228C"/>
        <bgColor indexed="64"/>
      </patternFill>
    </fill>
    <fill>
      <patternFill patternType="solid">
        <fgColor rgb="FFD12FBE"/>
        <bgColor indexed="64"/>
      </patternFill>
    </fill>
    <fill>
      <patternFill patternType="solid">
        <fgColor rgb="FFF0BAEA"/>
        <bgColor indexed="64"/>
      </patternFill>
    </fill>
    <fill>
      <patternFill patternType="solid">
        <fgColor rgb="FFE894D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15">
    <xf numFmtId="0" fontId="0" fillId="0" borderId="0" xfId="0"/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7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7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0" xfId="0" applyFill="1"/>
    <xf numFmtId="9" fontId="0" fillId="5" borderId="0" xfId="0" applyNumberFormat="1" applyFill="1"/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0" fontId="0" fillId="12" borderId="5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0" fillId="13" borderId="7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17" borderId="7" xfId="0" applyNumberForma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10" fontId="0" fillId="16" borderId="16" xfId="0" applyNumberFormat="1" applyFill="1" applyBorder="1" applyAlignment="1">
      <alignment horizontal="center" vertical="center"/>
    </xf>
    <xf numFmtId="10" fontId="0" fillId="17" borderId="17" xfId="0" applyNumberFormat="1" applyFill="1" applyBorder="1" applyAlignment="1">
      <alignment horizontal="center" vertical="center"/>
    </xf>
    <xf numFmtId="10" fontId="0" fillId="12" borderId="16" xfId="0" applyNumberFormat="1" applyFill="1" applyBorder="1" applyAlignment="1">
      <alignment horizontal="center" vertical="center"/>
    </xf>
    <xf numFmtId="10" fontId="0" fillId="13" borderId="17" xfId="0" applyNumberFormat="1" applyFill="1" applyBorder="1" applyAlignment="1">
      <alignment horizontal="center" vertical="center"/>
    </xf>
    <xf numFmtId="10" fontId="0" fillId="5" borderId="16" xfId="0" applyNumberFormat="1" applyFill="1" applyBorder="1" applyAlignment="1">
      <alignment horizontal="center" vertical="center"/>
    </xf>
    <xf numFmtId="10" fontId="0" fillId="10" borderId="17" xfId="0" applyNumberFormat="1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10" fontId="0" fillId="8" borderId="17" xfId="0" applyNumberFormat="1" applyFill="1" applyBorder="1" applyAlignment="1">
      <alignment horizontal="center" vertical="center"/>
    </xf>
    <xf numFmtId="9" fontId="1" fillId="6" borderId="18" xfId="0" applyNumberFormat="1" applyFont="1" applyFill="1" applyBorder="1"/>
    <xf numFmtId="9" fontId="1" fillId="3" borderId="18" xfId="0" applyNumberFormat="1" applyFont="1" applyFill="1" applyBorder="1"/>
    <xf numFmtId="0" fontId="1" fillId="4" borderId="18" xfId="0" applyFont="1" applyFill="1" applyBorder="1"/>
    <xf numFmtId="0" fontId="1" fillId="14" borderId="18" xfId="0" applyFont="1" applyFill="1" applyBorder="1"/>
    <xf numFmtId="0" fontId="0" fillId="8" borderId="19" xfId="0" applyFill="1" applyBorder="1"/>
    <xf numFmtId="0" fontId="0" fillId="10" borderId="19" xfId="0" applyFill="1" applyBorder="1"/>
    <xf numFmtId="0" fontId="0" fillId="13" borderId="19" xfId="0" applyFill="1" applyBorder="1"/>
    <xf numFmtId="0" fontId="0" fillId="17" borderId="19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8" borderId="18" xfId="0" applyFont="1" applyFill="1" applyBorder="1"/>
    <xf numFmtId="0" fontId="0" fillId="5" borderId="19" xfId="0" applyFill="1" applyBorder="1"/>
    <xf numFmtId="0" fontId="1" fillId="3" borderId="18" xfId="0" applyFont="1" applyFill="1" applyBorder="1"/>
    <xf numFmtId="0" fontId="0" fillId="16" borderId="19" xfId="0" applyFill="1" applyBorder="1"/>
    <xf numFmtId="0" fontId="0" fillId="12" borderId="19" xfId="0" applyFill="1" applyBorder="1"/>
    <xf numFmtId="0" fontId="0" fillId="9" borderId="19" xfId="0" applyFill="1" applyBorder="1"/>
    <xf numFmtId="10" fontId="0" fillId="8" borderId="16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10" fontId="0" fillId="10" borderId="16" xfId="0" applyNumberFormat="1" applyFill="1" applyBorder="1" applyAlignment="1">
      <alignment horizontal="center" vertical="center"/>
    </xf>
    <xf numFmtId="10" fontId="0" fillId="5" borderId="17" xfId="0" applyNumberFormat="1" applyFill="1" applyBorder="1" applyAlignment="1">
      <alignment horizontal="center" vertical="center"/>
    </xf>
    <xf numFmtId="10" fontId="0" fillId="12" borderId="25" xfId="0" applyNumberFormat="1" applyFill="1" applyBorder="1" applyAlignment="1">
      <alignment horizontal="center" vertical="center"/>
    </xf>
    <xf numFmtId="10" fontId="0" fillId="16" borderId="25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10" fontId="0" fillId="21" borderId="5" xfId="0" applyNumberFormat="1" applyFill="1" applyBorder="1" applyAlignment="1">
      <alignment horizontal="center" vertical="center"/>
    </xf>
    <xf numFmtId="10" fontId="0" fillId="22" borderId="7" xfId="0" applyNumberFormat="1" applyFill="1" applyBorder="1" applyAlignment="1">
      <alignment horizontal="center" vertical="center"/>
    </xf>
    <xf numFmtId="10" fontId="0" fillId="21" borderId="7" xfId="0" applyNumberFormat="1" applyFill="1" applyBorder="1" applyAlignment="1">
      <alignment horizontal="center" vertical="center"/>
    </xf>
    <xf numFmtId="10" fontId="0" fillId="22" borderId="26" xfId="0" applyNumberForma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22" borderId="19" xfId="0" applyFill="1" applyBorder="1" applyAlignment="1">
      <alignment horizontal="right" vertical="center"/>
    </xf>
    <xf numFmtId="0" fontId="1" fillId="19" borderId="18" xfId="0" applyFont="1" applyFill="1" applyBorder="1"/>
    <xf numFmtId="0" fontId="0" fillId="22" borderId="19" xfId="0" applyFill="1" applyBorder="1"/>
    <xf numFmtId="2" fontId="0" fillId="22" borderId="8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0" fontId="0" fillId="5" borderId="29" xfId="0" applyNumberFormat="1" applyFill="1" applyBorder="1" applyAlignment="1">
      <alignment horizontal="center" vertical="center"/>
    </xf>
    <xf numFmtId="10" fontId="0" fillId="12" borderId="7" xfId="0" applyNumberFormat="1" applyFill="1" applyBorder="1" applyAlignment="1">
      <alignment horizontal="center" vertical="center"/>
    </xf>
    <xf numFmtId="10" fontId="0" fillId="13" borderId="30" xfId="0" applyNumberFormat="1" applyFill="1" applyBorder="1" applyAlignment="1">
      <alignment horizontal="center" vertical="center"/>
    </xf>
    <xf numFmtId="10" fontId="0" fillId="23" borderId="7" xfId="0" applyNumberFormat="1" applyFill="1" applyBorder="1" applyAlignment="1">
      <alignment horizontal="center" vertical="center"/>
    </xf>
    <xf numFmtId="10" fontId="0" fillId="23" borderId="26" xfId="0" applyNumberForma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10" fontId="0" fillId="24" borderId="5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0" fontId="0" fillId="24" borderId="7" xfId="0" applyNumberFormat="1" applyFill="1" applyBorder="1" applyAlignment="1">
      <alignment horizontal="center" vertical="center"/>
    </xf>
    <xf numFmtId="10" fontId="0" fillId="24" borderId="16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0" fontId="0" fillId="26" borderId="7" xfId="0" applyNumberFormat="1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10" fontId="0" fillId="26" borderId="26" xfId="0" applyNumberFormat="1" applyFill="1" applyBorder="1" applyAlignment="1">
      <alignment horizontal="center" vertical="center"/>
    </xf>
    <xf numFmtId="0" fontId="0" fillId="24" borderId="19" xfId="0" applyFill="1" applyBorder="1"/>
    <xf numFmtId="0" fontId="0" fillId="26" borderId="19" xfId="0" applyFill="1" applyBorder="1"/>
    <xf numFmtId="0" fontId="1" fillId="27" borderId="2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27" borderId="13" xfId="0" applyFont="1" applyFill="1" applyBorder="1" applyAlignment="1">
      <alignment horizontal="center" vertical="center"/>
    </xf>
    <xf numFmtId="0" fontId="1" fillId="28" borderId="15" xfId="0" applyFont="1" applyFill="1" applyBorder="1" applyAlignment="1">
      <alignment horizontal="center" vertical="center"/>
    </xf>
    <xf numFmtId="0" fontId="1" fillId="28" borderId="10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10" fontId="0" fillId="30" borderId="5" xfId="0" applyNumberFormat="1" applyFill="1" applyBorder="1" applyAlignment="1">
      <alignment horizontal="center" vertical="center"/>
    </xf>
    <xf numFmtId="0" fontId="1" fillId="31" borderId="15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4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18" xfId="0" applyFont="1" applyFill="1" applyBorder="1"/>
    <xf numFmtId="9" fontId="1" fillId="27" borderId="18" xfId="0" applyNumberFormat="1" applyFont="1" applyFill="1" applyBorder="1"/>
    <xf numFmtId="0" fontId="4" fillId="5" borderId="0" xfId="0" applyFont="1" applyFill="1"/>
    <xf numFmtId="0" fontId="4" fillId="34" borderId="3" xfId="0" applyFont="1" applyFill="1" applyBorder="1" applyAlignment="1">
      <alignment horizontal="center" vertical="center"/>
    </xf>
    <xf numFmtId="0" fontId="4" fillId="34" borderId="4" xfId="0" applyFont="1" applyFill="1" applyBorder="1" applyAlignment="1">
      <alignment horizontal="center" vertical="center"/>
    </xf>
    <xf numFmtId="10" fontId="4" fillId="34" borderId="5" xfId="0" applyNumberFormat="1" applyFont="1" applyFill="1" applyBorder="1" applyAlignment="1">
      <alignment horizontal="center" vertical="center"/>
    </xf>
    <xf numFmtId="0" fontId="4" fillId="35" borderId="6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10" fontId="4" fillId="35" borderId="7" xfId="0" applyNumberFormat="1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10" fontId="4" fillId="34" borderId="16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4" fillId="33" borderId="19" xfId="0" applyFont="1" applyFill="1" applyBorder="1"/>
    <xf numFmtId="10" fontId="4" fillId="35" borderId="3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7" borderId="18" xfId="0" applyFont="1" applyFill="1" applyBorder="1"/>
    <xf numFmtId="10" fontId="0" fillId="26" borderId="16" xfId="0" applyNumberFormat="1" applyFill="1" applyBorder="1" applyAlignment="1">
      <alignment horizontal="center" vertical="center"/>
    </xf>
    <xf numFmtId="10" fontId="0" fillId="24" borderId="17" xfId="0" applyNumberForma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6" borderId="23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8" xfId="0" applyFont="1" applyFill="1" applyBorder="1"/>
    <xf numFmtId="0" fontId="1" fillId="31" borderId="22" xfId="0" applyFont="1" applyFill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center" vertical="center"/>
    </xf>
    <xf numFmtId="10" fontId="2" fillId="34" borderId="25" xfId="0" applyNumberFormat="1" applyFont="1" applyFill="1" applyBorder="1" applyAlignment="1">
      <alignment horizontal="center" vertical="center"/>
    </xf>
    <xf numFmtId="0" fontId="2" fillId="34" borderId="19" xfId="0" applyFont="1" applyFill="1" applyBorder="1"/>
    <xf numFmtId="0" fontId="5" fillId="37" borderId="2" xfId="0" applyFont="1" applyFill="1" applyBorder="1" applyAlignment="1">
      <alignment horizontal="center" vertical="center"/>
    </xf>
    <xf numFmtId="0" fontId="5" fillId="37" borderId="14" xfId="0" applyFont="1" applyFill="1" applyBorder="1" applyAlignment="1">
      <alignment horizontal="center" vertical="center"/>
    </xf>
    <xf numFmtId="0" fontId="5" fillId="37" borderId="12" xfId="0" applyFont="1" applyFill="1" applyBorder="1" applyAlignment="1">
      <alignment horizontal="center" vertical="center"/>
    </xf>
    <xf numFmtId="0" fontId="5" fillId="37" borderId="13" xfId="0" applyFont="1" applyFill="1" applyBorder="1" applyAlignment="1">
      <alignment horizontal="center" vertical="center"/>
    </xf>
    <xf numFmtId="0" fontId="5" fillId="38" borderId="10" xfId="0" applyFont="1" applyFill="1" applyBorder="1" applyAlignment="1">
      <alignment horizontal="center" vertical="center"/>
    </xf>
    <xf numFmtId="0" fontId="5" fillId="38" borderId="11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10" fontId="2" fillId="39" borderId="7" xfId="0" applyNumberFormat="1" applyFont="1" applyFill="1" applyBorder="1" applyAlignment="1">
      <alignment horizontal="center" vertical="center"/>
    </xf>
    <xf numFmtId="0" fontId="5" fillId="37" borderId="18" xfId="0" applyFont="1" applyFill="1" applyBorder="1" applyAlignment="1">
      <alignment horizontal="left" vertical="center"/>
    </xf>
    <xf numFmtId="0" fontId="2" fillId="40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10" fontId="2" fillId="40" borderId="26" xfId="0" applyNumberFormat="1" applyFont="1" applyFill="1" applyBorder="1" applyAlignment="1">
      <alignment horizontal="center" vertical="center"/>
    </xf>
    <xf numFmtId="0" fontId="2" fillId="40" borderId="19" xfId="0" applyFont="1" applyFill="1" applyBorder="1" applyAlignment="1">
      <alignment horizontal="right" vertical="center"/>
    </xf>
    <xf numFmtId="2" fontId="0" fillId="40" borderId="8" xfId="0" applyNumberFormat="1" applyFill="1" applyBorder="1" applyAlignment="1">
      <alignment horizontal="center" vertical="center"/>
    </xf>
    <xf numFmtId="0" fontId="0" fillId="40" borderId="9" xfId="0" applyFill="1" applyBorder="1" applyAlignment="1">
      <alignment horizontal="center" vertical="center"/>
    </xf>
    <xf numFmtId="10" fontId="0" fillId="40" borderId="26" xfId="0" applyNumberFormat="1" applyFill="1" applyBorder="1" applyAlignment="1">
      <alignment horizontal="center" vertical="center"/>
    </xf>
    <xf numFmtId="0" fontId="0" fillId="40" borderId="19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0" fontId="6" fillId="12" borderId="30" xfId="0" applyNumberFormat="1" applyFont="1" applyFill="1" applyBorder="1" applyAlignment="1">
      <alignment horizontal="center" vertical="center"/>
    </xf>
    <xf numFmtId="10" fontId="6" fillId="13" borderId="7" xfId="0" applyNumberFormat="1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5" fillId="37" borderId="31" xfId="0" applyFont="1" applyFill="1" applyBorder="1" applyAlignment="1">
      <alignment horizontal="center" vertical="center"/>
    </xf>
    <xf numFmtId="0" fontId="5" fillId="37" borderId="20" xfId="0" applyFont="1" applyFill="1" applyBorder="1" applyAlignment="1">
      <alignment horizontal="center" vertical="center"/>
    </xf>
    <xf numFmtId="0" fontId="5" fillId="37" borderId="23" xfId="0" applyFont="1" applyFill="1" applyBorder="1" applyAlignment="1">
      <alignment horizontal="center" vertical="center"/>
    </xf>
    <xf numFmtId="10" fontId="0" fillId="13" borderId="16" xfId="0" applyNumberFormat="1" applyFill="1" applyBorder="1" applyAlignment="1">
      <alignment horizontal="center" vertical="center"/>
    </xf>
    <xf numFmtId="0" fontId="1" fillId="4" borderId="34" xfId="0" applyFont="1" applyFill="1" applyBorder="1"/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26" borderId="27" xfId="0" applyFill="1" applyBorder="1" applyAlignment="1">
      <alignment horizontal="center" vertical="center"/>
    </xf>
    <xf numFmtId="10" fontId="0" fillId="24" borderId="35" xfId="1" applyNumberFormat="1" applyFont="1" applyFill="1" applyBorder="1" applyAlignment="1">
      <alignment horizontal="center" vertical="center"/>
    </xf>
    <xf numFmtId="10" fontId="0" fillId="26" borderId="35" xfId="1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4" fillId="23" borderId="19" xfId="0" applyFont="1" applyFill="1" applyBorder="1"/>
    <xf numFmtId="10" fontId="0" fillId="23" borderId="17" xfId="0" applyNumberForma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10" fontId="6" fillId="12" borderId="29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10" fontId="6" fillId="12" borderId="39" xfId="0" applyNumberFormat="1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10" fontId="6" fillId="13" borderId="40" xfId="0" applyNumberFormat="1" applyFont="1" applyFill="1" applyBorder="1" applyAlignment="1">
      <alignment horizontal="center" vertical="center"/>
    </xf>
    <xf numFmtId="10" fontId="6" fillId="13" borderId="39" xfId="0" applyNumberFormat="1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0" fillId="5" borderId="22" xfId="0" applyFill="1" applyBorder="1"/>
    <xf numFmtId="0" fontId="5" fillId="38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37" xfId="0" applyFont="1" applyFill="1" applyBorder="1"/>
    <xf numFmtId="0" fontId="0" fillId="5" borderId="37" xfId="0" applyFill="1" applyBorder="1"/>
    <xf numFmtId="0" fontId="4" fillId="5" borderId="0" xfId="0" quotePrefix="1" applyFont="1" applyFill="1"/>
    <xf numFmtId="0" fontId="0" fillId="23" borderId="41" xfId="0" applyFill="1" applyBorder="1"/>
    <xf numFmtId="0" fontId="2" fillId="23" borderId="41" xfId="0" applyFont="1" applyFill="1" applyBorder="1"/>
    <xf numFmtId="0" fontId="8" fillId="33" borderId="36" xfId="0" applyFont="1" applyFill="1" applyBorder="1"/>
    <xf numFmtId="0" fontId="8" fillId="33" borderId="31" xfId="0" applyFont="1" applyFill="1" applyBorder="1"/>
    <xf numFmtId="0" fontId="3" fillId="5" borderId="42" xfId="0" applyFont="1" applyFill="1" applyBorder="1"/>
    <xf numFmtId="0" fontId="4" fillId="4" borderId="37" xfId="0" applyFont="1" applyFill="1" applyBorder="1" applyAlignment="1">
      <alignment horizontal="center"/>
    </xf>
    <xf numFmtId="0" fontId="4" fillId="41" borderId="43" xfId="0" applyFont="1" applyFill="1" applyBorder="1" applyAlignment="1">
      <alignment horizontal="center"/>
    </xf>
    <xf numFmtId="0" fontId="0" fillId="13" borderId="46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1" borderId="47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2" fillId="43" borderId="0" xfId="2" applyFont="1" applyFill="1"/>
    <xf numFmtId="0" fontId="13" fillId="5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34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9" fillId="41" borderId="44" xfId="0" applyFont="1" applyFill="1" applyBorder="1" applyAlignment="1">
      <alignment horizontal="center"/>
    </xf>
    <xf numFmtId="0" fontId="9" fillId="41" borderId="45" xfId="0" applyFont="1" applyFill="1" applyBorder="1" applyAlignment="1">
      <alignment horizontal="center"/>
    </xf>
    <xf numFmtId="0" fontId="8" fillId="41" borderId="53" xfId="0" applyFont="1" applyFill="1" applyBorder="1" applyAlignment="1">
      <alignment horizontal="center" vertical="center"/>
    </xf>
    <xf numFmtId="0" fontId="8" fillId="41" borderId="51" xfId="0" applyFont="1" applyFill="1" applyBorder="1" applyAlignment="1">
      <alignment horizontal="center" vertical="center"/>
    </xf>
    <xf numFmtId="0" fontId="9" fillId="12" borderId="54" xfId="0" applyFont="1" applyFill="1" applyBorder="1" applyAlignment="1">
      <alignment horizontal="center" vertical="center"/>
    </xf>
    <xf numFmtId="0" fontId="9" fillId="12" borderId="51" xfId="0" applyFont="1" applyFill="1" applyBorder="1" applyAlignment="1">
      <alignment horizontal="center" vertical="center"/>
    </xf>
    <xf numFmtId="0" fontId="8" fillId="42" borderId="43" xfId="0" applyFont="1" applyFill="1" applyBorder="1" applyAlignment="1">
      <alignment horizontal="center"/>
    </xf>
    <xf numFmtId="0" fontId="8" fillId="42" borderId="47" xfId="0" applyFont="1" applyFill="1" applyBorder="1" applyAlignment="1">
      <alignment horizontal="center"/>
    </xf>
    <xf numFmtId="164" fontId="4" fillId="41" borderId="5" xfId="1" applyNumberFormat="1" applyFont="1" applyFill="1" applyBorder="1" applyAlignment="1">
      <alignment horizontal="center" vertical="center"/>
    </xf>
    <xf numFmtId="164" fontId="4" fillId="41" borderId="26" xfId="1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</cellXfs>
  <cellStyles count="3">
    <cellStyle name="Hiperveza" xfId="2" builtinId="8"/>
    <cellStyle name="Normalno" xfId="0" builtinId="0"/>
    <cellStyle name="Postotak" xfId="1" builtinId="5"/>
  </cellStyles>
  <dxfs count="0"/>
  <tableStyles count="0" defaultTableStyle="TableStyleMedium2" defaultPivotStyle="PivotStyleLight16"/>
  <colors>
    <mruColors>
      <color rgb="FFFF0000"/>
      <color rgb="FF66FF66"/>
      <color rgb="FF16E600"/>
      <color rgb="FF00FFCC"/>
      <color rgb="FF33CCCC"/>
      <color rgb="FFFF7C80"/>
      <color rgb="FFCC0000"/>
      <color rgb="FF990033"/>
      <color rgb="FF00FF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ea Parat" id="{468A9F94-3E22-4C77-9DB2-F93CA62472B4}" userId="S::ap55849@fer.hr::08f9e4c3-c215-4342-b21f-d070729ca9e1" providerId="AD"/>
  <person displayName="Roko Tojčić" id="{FD268F47-D829-4CB8-89FB-B62E668C6620}" userId="S::roko.tojcic@skole.hr::6c805348-660d-4813-b5ae-61540b5471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4-01-13T19:50:27.13" personId="{FD268F47-D829-4CB8-89FB-B62E668C6620}" id="{048DD218-393A-4AD5-968E-6FB055C98BFC}">
    <text>Dovoljan (2) 50 % 
Dobar (3) 62 % 
Vrlo dobar (4) 75 % 
Izvrstan (5) 88 %</text>
  </threadedComment>
  <threadedComment ref="D13" dT="2024-01-13T19:52:48.27" personId="{FD268F47-D829-4CB8-89FB-B62E668C6620}" id="{2E7764DA-5587-4B31-8CA8-03314B1AD733}">
    <text xml:space="preserve">[87.5, 100] 5 
[75, 87.5) 4 
[62.5, 75) 3 
[50, 62.5) 2 </text>
  </threadedComment>
  <threadedComment ref="D19" dT="2024-01-13T19:53:31.85" personId="{FD268F47-D829-4CB8-89FB-B62E668C6620}" id="{79436E82-2329-417C-93BF-913CC54B60B9}">
    <text xml:space="preserve">45 bodova………dovoljan (2) 
55 bodova………dobar (3) 
70 bodova………vrlo dobar (4) 
85 bodova………izvrstan (5) </text>
  </threadedComment>
  <threadedComment ref="D25" dT="2024-01-13T19:43:29.26" personId="{FD268F47-D829-4CB8-89FB-B62E668C6620}" id="{B8C00CC6-9561-471A-8418-228EC3B2A655}">
    <text>86 izvrstan
72 vrlo dobar
58 dobar
50 dovoljan</text>
  </threadedComment>
  <threadedComment ref="D36" dT="2024-01-15T16:52:32.18" personId="{FD268F47-D829-4CB8-89FB-B62E668C6620}" id="{8336269A-3E16-4DCA-809F-D8012D883B9F}">
    <text xml:space="preserve">90 izvrstan
80 vrlo dobar
70 dobar
60 dovoljan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4-02-13T16:30:27.79" personId="{468A9F94-3E22-4C77-9DB2-F93CA62472B4}" id="{8466538D-CB99-4685-8D00-C6B9C6699AC0}">
    <text xml:space="preserve">MI &amp; ZI 1/4 računskih zadataka mora biti u cijelosti točno riješen
85 izvrstan
70 vrlo dobar
60 dobar
50 dovoljan
</text>
  </threadedComment>
  <threadedComment ref="D14" dT="2024-02-13T16:37:51.46" personId="{468A9F94-3E22-4C77-9DB2-F93CA62472B4}" id="{2E7B1771-4A33-442B-BD13-A927A1CA313D}">
    <text xml:space="preserve">90 izvrstan (5)
80 vrlo dobar (4)
65 dobar (3)
50 dovoljan (2)
</text>
  </threadedComment>
  <threadedComment ref="D24" dT="2024-02-13T16:38:49.27" personId="{468A9F94-3E22-4C77-9DB2-F93CA62472B4}" id="{40C51B75-82AA-4452-9884-5B9F3D50D7A2}">
    <text xml:space="preserve">86 izvrstan (5)
74 vrlo dobar (4)
62 dobar (3)
50 dovoljan (2)
</text>
  </threadedComment>
  <threadedComment ref="D30" dT="2024-01-13T19:43:29.26" personId="{FD268F47-D829-4CB8-89FB-B62E668C6620}" id="{7026532A-443C-46BF-B9D8-05ADE320B1CB}">
    <text>86 izvrstan
72 vrlo dobar
58 dobar
50 dovoljan</text>
  </threadedComment>
  <threadedComment ref="D35" dT="2024-02-13T16:40:18.11" personId="{468A9F94-3E22-4C77-9DB2-F93CA62472B4}" id="{0C339E6C-19AE-4F2A-BA83-337FA80BEB9D}">
    <text xml:space="preserve">35,5 izvrstan (5) 
30 vrlo dobar (4) 
24 dobar (3)
20 dovoljan (2)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Papratt13/Academic_Weapon/tree/mast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BB1-5D44-4F3D-8F14-D97808DE5CC5}">
  <dimension ref="A1:L12"/>
  <sheetViews>
    <sheetView tabSelected="1" zoomScale="121" zoomScaleNormal="155" workbookViewId="0">
      <selection activeCell="I7" sqref="I7"/>
    </sheetView>
  </sheetViews>
  <sheetFormatPr defaultRowHeight="14.4" x14ac:dyDescent="0.3"/>
  <cols>
    <col min="1" max="1" width="8.88671875" style="43" customWidth="1"/>
    <col min="2" max="5" width="8.88671875" style="43"/>
    <col min="6" max="6" width="11" style="253" bestFit="1" customWidth="1"/>
    <col min="7" max="16384" width="8.88671875" style="43"/>
  </cols>
  <sheetData>
    <row r="1" spans="1:12" ht="15" thickBot="1" x14ac:dyDescent="0.35">
      <c r="A1" s="303" t="s">
        <v>51</v>
      </c>
      <c r="B1" s="303"/>
      <c r="C1" s="303"/>
      <c r="D1" s="303"/>
      <c r="E1" s="303"/>
      <c r="F1" s="293" t="s">
        <v>56</v>
      </c>
    </row>
    <row r="2" spans="1:12" ht="15" thickBot="1" x14ac:dyDescent="0.35">
      <c r="A2" s="294" t="s">
        <v>58</v>
      </c>
      <c r="B2" s="43" t="s">
        <v>57</v>
      </c>
      <c r="H2" s="281" t="s">
        <v>54</v>
      </c>
      <c r="I2" s="282">
        <f>SUM(F4,F9)</f>
        <v>0</v>
      </c>
    </row>
    <row r="3" spans="1:12" ht="15" thickBot="1" x14ac:dyDescent="0.35">
      <c r="A3" s="310" t="s">
        <v>52</v>
      </c>
      <c r="B3" s="310"/>
      <c r="C3" s="310"/>
      <c r="D3" s="310"/>
      <c r="E3" s="311"/>
      <c r="F3" s="292"/>
      <c r="H3" s="275"/>
      <c r="I3" s="275"/>
      <c r="J3" s="275"/>
      <c r="K3" s="275"/>
      <c r="L3" s="208"/>
    </row>
    <row r="4" spans="1:12" ht="15.6" thickTop="1" thickBot="1" x14ac:dyDescent="0.35">
      <c r="A4" s="284" t="s">
        <v>0</v>
      </c>
      <c r="B4" s="284" t="s">
        <v>9</v>
      </c>
      <c r="C4" s="284" t="s">
        <v>10</v>
      </c>
      <c r="D4" s="284" t="s">
        <v>16</v>
      </c>
      <c r="E4" s="290" t="s">
        <v>29</v>
      </c>
      <c r="F4" s="306">
        <f>SUM(A5:E5)</f>
        <v>0</v>
      </c>
      <c r="H4" s="275"/>
      <c r="I4" s="275"/>
      <c r="J4" s="275"/>
      <c r="K4" s="275"/>
      <c r="L4" s="275"/>
    </row>
    <row r="5" spans="1:12" ht="15" thickBot="1" x14ac:dyDescent="0.35">
      <c r="A5" s="285">
        <f>IF(SUM(A6:A7)&gt;0,6,0)</f>
        <v>0</v>
      </c>
      <c r="B5" s="285">
        <f>IF(SUM(B6:B7)&gt;0,7,0)</f>
        <v>0</v>
      </c>
      <c r="C5" s="285">
        <f>IF(SUM(C6:C7)&gt;0,5,0)</f>
        <v>0</v>
      </c>
      <c r="D5" s="285">
        <f>IF(SUM(D6:D7)&gt;0,8,0)</f>
        <v>0</v>
      </c>
      <c r="E5" s="291">
        <f>IF(SUM(E6:E7)&gt;0,4,0)</f>
        <v>0</v>
      </c>
      <c r="F5" s="307"/>
    </row>
    <row r="6" spans="1:12" ht="15" thickTop="1" x14ac:dyDescent="0.3">
      <c r="A6" s="254">
        <f>IF('SEM1'!E7 &gt;1, 1, 0)</f>
        <v>0</v>
      </c>
      <c r="B6" s="254">
        <f>IF('SEM1'!E13 &gt;1, 1, 0)</f>
        <v>0</v>
      </c>
      <c r="C6" s="254">
        <f>IF('SEM1'!E19 &gt;1, 1, 0)</f>
        <v>0</v>
      </c>
      <c r="D6" s="254">
        <f>IF('SEM1'!E25 &gt;1, 1, 0)</f>
        <v>0</v>
      </c>
      <c r="E6" s="254">
        <f>IF('SEM1'!E36 &gt;1, 1, 0)</f>
        <v>0</v>
      </c>
    </row>
    <row r="7" spans="1:12" ht="15" thickBot="1" x14ac:dyDescent="0.35">
      <c r="A7" s="283">
        <f>IF(ZIR!E4 &gt;1, 1, 0)</f>
        <v>0</v>
      </c>
      <c r="B7" s="283">
        <f>IF(ZIR!E9 &gt;1, 1, 0)</f>
        <v>0</v>
      </c>
      <c r="C7" s="283">
        <f>IF(ZIR!E12 &gt;1, 1, 0)</f>
        <v>0</v>
      </c>
      <c r="D7" s="283">
        <f>IF(ZIR!E15 &gt;1, 1, 0)</f>
        <v>0</v>
      </c>
      <c r="E7" s="283">
        <f>IF(ZIR!E22 &gt;1, 1, 0)</f>
        <v>0</v>
      </c>
    </row>
    <row r="8" spans="1:12" ht="15.6" thickTop="1" thickBot="1" x14ac:dyDescent="0.35">
      <c r="A8" s="304" t="s">
        <v>53</v>
      </c>
      <c r="B8" s="305"/>
      <c r="C8" s="305"/>
      <c r="D8" s="305"/>
      <c r="E8" s="305"/>
      <c r="F8" s="292"/>
    </row>
    <row r="9" spans="1:12" ht="15.6" thickTop="1" thickBot="1" x14ac:dyDescent="0.35">
      <c r="A9" s="286" t="s">
        <v>44</v>
      </c>
      <c r="B9" s="288" t="s">
        <v>36</v>
      </c>
      <c r="C9" s="288" t="s">
        <v>37</v>
      </c>
      <c r="D9" s="288" t="s">
        <v>45</v>
      </c>
      <c r="E9" s="288" t="s">
        <v>41</v>
      </c>
      <c r="F9" s="308">
        <f>SUM(A10:E10)</f>
        <v>0</v>
      </c>
    </row>
    <row r="10" spans="1:12" ht="15" thickBot="1" x14ac:dyDescent="0.35">
      <c r="A10" s="287">
        <f>IF(SUM(A11:A12)&gt;0,6,0)</f>
        <v>0</v>
      </c>
      <c r="B10" s="289">
        <f>IF(SUM(B11:B12)&gt;0,8,0)</f>
        <v>0</v>
      </c>
      <c r="C10" s="289">
        <f>IF(SUM(C11:C12)&gt;0,7,0)</f>
        <v>0</v>
      </c>
      <c r="D10" s="289">
        <f>IF(SUM(D11:D12)&gt;0,7,0)</f>
        <v>0</v>
      </c>
      <c r="E10" s="289">
        <f>IF(SUM(E11:E12)&gt;0,2,0)</f>
        <v>0</v>
      </c>
      <c r="F10" s="309"/>
    </row>
    <row r="11" spans="1:12" ht="15" thickTop="1" x14ac:dyDescent="0.3">
      <c r="A11" s="254">
        <f>IF('SEM2'!E7 &gt;1, 1, 0)</f>
        <v>0</v>
      </c>
      <c r="B11" s="254">
        <f>IF('SEM2'!E14 &gt;1, 1, 0)</f>
        <v>0</v>
      </c>
      <c r="C11" s="254">
        <f>IF('SEM2'!E24 &gt;1, 1, 0)</f>
        <v>0</v>
      </c>
      <c r="D11" s="254">
        <f>IF('SEM2'!E30 &gt;1, 1, 0)</f>
        <v>0</v>
      </c>
      <c r="E11" s="254">
        <f>IF('SEM2'!E35 &gt;1, 1, 0)</f>
        <v>0</v>
      </c>
      <c r="H11" s="208"/>
      <c r="I11" s="208"/>
      <c r="J11" s="208"/>
      <c r="K11" s="208"/>
      <c r="L11" s="208"/>
    </row>
    <row r="12" spans="1:12" x14ac:dyDescent="0.3">
      <c r="A12" s="254">
        <f>IF(LJIR!E6 &gt;1, 1, 0)</f>
        <v>0</v>
      </c>
      <c r="B12" s="254">
        <f>IF(LJIR!E9 &gt;1, 1, 0)</f>
        <v>0</v>
      </c>
      <c r="C12" s="254">
        <f>IF(LJIR!E18 &gt;1, 1, 0)</f>
        <v>0</v>
      </c>
      <c r="D12" s="254">
        <f>IF(LJIR!E21 &gt;1, 1, 0)</f>
        <v>0</v>
      </c>
      <c r="E12" s="254">
        <f>IF(LJIR!E24 &gt;1, 1, 0)</f>
        <v>0</v>
      </c>
      <c r="H12" s="208"/>
      <c r="I12" s="208"/>
      <c r="J12" s="208"/>
      <c r="K12" s="208"/>
      <c r="L12" s="208"/>
    </row>
  </sheetData>
  <mergeCells count="5">
    <mergeCell ref="A1:E1"/>
    <mergeCell ref="A8:E8"/>
    <mergeCell ref="F4:F5"/>
    <mergeCell ref="F9:F10"/>
    <mergeCell ref="A3:E3"/>
  </mergeCells>
  <hyperlinks>
    <hyperlink ref="A2" r:id="rId1" xr:uid="{AED85BA7-2BF7-44CB-B181-5EE3391179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opLeftCell="A12" zoomScale="120" zoomScaleNormal="120" workbookViewId="0">
      <selection activeCell="B29" sqref="B29:B35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16384" width="8.88671875" style="43"/>
  </cols>
  <sheetData>
    <row r="1" spans="1:20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</row>
    <row r="2" spans="1:20" ht="15" thickBot="1" x14ac:dyDescent="0.35">
      <c r="A2" s="12" t="s">
        <v>1</v>
      </c>
      <c r="B2" s="23"/>
      <c r="C2" s="24">
        <v>15</v>
      </c>
      <c r="D2" s="25">
        <f>B2/C2</f>
        <v>0</v>
      </c>
      <c r="E2" s="44"/>
      <c r="F2" s="277">
        <f>SUM(F7:F36)</f>
        <v>0</v>
      </c>
      <c r="M2" s="88"/>
      <c r="N2" s="88"/>
      <c r="O2" s="88"/>
      <c r="P2" s="88"/>
      <c r="Q2" s="88"/>
    </row>
    <row r="3" spans="1:20" x14ac:dyDescent="0.3">
      <c r="A3" s="13" t="s">
        <v>2</v>
      </c>
      <c r="B3" s="15"/>
      <c r="C3" s="16">
        <v>10</v>
      </c>
      <c r="D3" s="17">
        <f t="shared" ref="D3:D7" si="0">B3/C3</f>
        <v>0</v>
      </c>
      <c r="L3" s="88"/>
      <c r="M3" s="138" t="s">
        <v>15</v>
      </c>
      <c r="N3" s="138" t="s">
        <v>0</v>
      </c>
      <c r="O3" s="138" t="s">
        <v>9</v>
      </c>
      <c r="P3" s="138" t="s">
        <v>10</v>
      </c>
      <c r="Q3" s="138" t="s">
        <v>16</v>
      </c>
      <c r="R3" s="138" t="s">
        <v>29</v>
      </c>
    </row>
    <row r="4" spans="1:20" x14ac:dyDescent="0.3">
      <c r="A4" s="13" t="s">
        <v>3</v>
      </c>
      <c r="B4" s="20"/>
      <c r="C4" s="21">
        <v>5</v>
      </c>
      <c r="D4" s="22">
        <f t="shared" si="0"/>
        <v>0</v>
      </c>
      <c r="L4" s="88"/>
      <c r="M4" s="138">
        <v>1</v>
      </c>
      <c r="N4" s="138">
        <v>1</v>
      </c>
      <c r="O4" s="138">
        <v>1</v>
      </c>
      <c r="P4" s="138">
        <v>1</v>
      </c>
      <c r="Q4" s="138">
        <v>1</v>
      </c>
      <c r="R4" s="138">
        <v>1</v>
      </c>
      <c r="S4" s="88"/>
      <c r="T4" s="88"/>
    </row>
    <row r="5" spans="1:20" ht="15" thickBot="1" x14ac:dyDescent="0.35">
      <c r="A5" s="13" t="s">
        <v>4</v>
      </c>
      <c r="B5" s="15"/>
      <c r="C5" s="16">
        <v>30</v>
      </c>
      <c r="D5" s="17">
        <f t="shared" si="0"/>
        <v>0</v>
      </c>
      <c r="L5" s="88"/>
      <c r="M5" s="138">
        <v>2</v>
      </c>
      <c r="N5" s="138">
        <f>IF($B$7 &gt;= 50, 1, 0)</f>
        <v>0</v>
      </c>
      <c r="O5" s="138">
        <f>IF($B$13 &gt;= 50, 1, 0)</f>
        <v>0</v>
      </c>
      <c r="P5" s="138">
        <f>IF($B$19 &gt;= 45, 1, 0)</f>
        <v>0</v>
      </c>
      <c r="Q5" s="138">
        <f>IF($B$25 &gt;= 50, 1,)</f>
        <v>0</v>
      </c>
      <c r="R5" s="138">
        <f>IF($B$36 &gt;= 60, 1,)</f>
        <v>0</v>
      </c>
      <c r="S5" s="88"/>
      <c r="T5" s="88"/>
    </row>
    <row r="6" spans="1:20" x14ac:dyDescent="0.3">
      <c r="A6" s="13" t="s">
        <v>5</v>
      </c>
      <c r="B6" s="20"/>
      <c r="C6" s="21">
        <v>40</v>
      </c>
      <c r="D6" s="78">
        <f>B6/C6</f>
        <v>0</v>
      </c>
      <c r="E6" s="80" t="s">
        <v>14</v>
      </c>
      <c r="F6" s="279" t="s">
        <v>50</v>
      </c>
      <c r="L6" s="88"/>
      <c r="M6" s="138">
        <v>3</v>
      </c>
      <c r="N6" s="138">
        <f>IF($B$7 &gt;= 62, 1, 0)</f>
        <v>0</v>
      </c>
      <c r="O6" s="138">
        <f>IF($B$13 &gt;= 62.5, 1, 0)</f>
        <v>0</v>
      </c>
      <c r="P6" s="138">
        <f>IF($B$19 &gt;= 55, 1, )</f>
        <v>0</v>
      </c>
      <c r="Q6" s="138">
        <f>IF($B$25 &gt;= 58, 1, )</f>
        <v>0</v>
      </c>
      <c r="R6" s="138">
        <f>IF($B$36 &gt;= 70, 1,)</f>
        <v>0</v>
      </c>
      <c r="S6" s="88"/>
      <c r="T6" s="88"/>
    </row>
    <row r="7" spans="1:20" ht="15" thickBot="1" x14ac:dyDescent="0.35">
      <c r="A7" s="14" t="s">
        <v>8</v>
      </c>
      <c r="B7" s="18">
        <f>SUM(B2:B6)</f>
        <v>0</v>
      </c>
      <c r="C7" s="19">
        <v>100</v>
      </c>
      <c r="D7" s="79">
        <f t="shared" si="0"/>
        <v>0</v>
      </c>
      <c r="E7" s="84">
        <f>N9</f>
        <v>1</v>
      </c>
      <c r="F7" s="277">
        <f>IF($E$7 &gt;1, 6, 0)</f>
        <v>0</v>
      </c>
      <c r="L7" s="88"/>
      <c r="M7" s="138">
        <v>4</v>
      </c>
      <c r="N7" s="138">
        <f>IF($B$7 &gt;= 75, 1, 0)</f>
        <v>0</v>
      </c>
      <c r="O7" s="138">
        <f>IF($B$13 &gt;= 75, 1, 0)</f>
        <v>0</v>
      </c>
      <c r="P7" s="138">
        <f>IF($B$19 &gt;= 70, 1, 0)</f>
        <v>0</v>
      </c>
      <c r="Q7" s="138">
        <f>IF($B$25 &gt;= 72, 1, )</f>
        <v>0</v>
      </c>
      <c r="R7" s="138">
        <f>IF($B$36 &gt;= 80, 1,)</f>
        <v>0</v>
      </c>
      <c r="S7" s="88"/>
      <c r="T7" s="88"/>
    </row>
    <row r="8" spans="1:20" ht="15" thickBot="1" x14ac:dyDescent="0.35">
      <c r="L8" s="88"/>
      <c r="M8" s="138">
        <v>5</v>
      </c>
      <c r="N8" s="138">
        <f>IF($B$7 &gt;= 88, 1, 0)</f>
        <v>0</v>
      </c>
      <c r="O8" s="138">
        <f>IF($B$13 &gt;= 87.5, 1, 0)</f>
        <v>0</v>
      </c>
      <c r="P8" s="138">
        <f>IF($B$19 &gt;= 85, 1, 0)</f>
        <v>0</v>
      </c>
      <c r="Q8" s="138">
        <f>IF($B$25 &gt;= 86, 1, 0)</f>
        <v>0</v>
      </c>
      <c r="R8" s="138">
        <f>IF($B$36 &gt;= 90, 1,)</f>
        <v>0</v>
      </c>
      <c r="S8" s="88"/>
      <c r="T8" s="88"/>
    </row>
    <row r="9" spans="1:20" ht="15" thickBot="1" x14ac:dyDescent="0.35">
      <c r="A9" s="39" t="s">
        <v>9</v>
      </c>
      <c r="B9" s="40" t="s">
        <v>6</v>
      </c>
      <c r="C9" s="41" t="s">
        <v>7</v>
      </c>
      <c r="D9" s="42" t="s">
        <v>13</v>
      </c>
      <c r="L9" s="88"/>
      <c r="M9" s="138" t="s">
        <v>17</v>
      </c>
      <c r="N9" s="138">
        <f>SUM(N4:N8)</f>
        <v>1</v>
      </c>
      <c r="O9" s="138">
        <f t="shared" ref="O9" si="1">SUM(O4:O8)</f>
        <v>1</v>
      </c>
      <c r="P9" s="138">
        <f t="shared" ref="P9" si="2">SUM(P4:P8)</f>
        <v>1</v>
      </c>
      <c r="Q9" s="138">
        <f t="shared" ref="Q9" si="3">SUM(Q4:Q8)</f>
        <v>1</v>
      </c>
      <c r="R9" s="138">
        <f>SUM(R4:R8)</f>
        <v>1</v>
      </c>
      <c r="S9" s="88"/>
      <c r="T9" s="88"/>
    </row>
    <row r="10" spans="1:20" x14ac:dyDescent="0.3">
      <c r="A10" s="36" t="s">
        <v>1</v>
      </c>
      <c r="B10" s="33"/>
      <c r="C10" s="34">
        <v>30</v>
      </c>
      <c r="D10" s="35">
        <f>B10/C10</f>
        <v>0</v>
      </c>
      <c r="M10" s="88"/>
      <c r="N10" s="88"/>
      <c r="O10" s="88"/>
      <c r="P10" s="88"/>
      <c r="Q10" s="88"/>
      <c r="R10" s="88"/>
      <c r="S10" s="88"/>
      <c r="T10" s="88"/>
    </row>
    <row r="11" spans="1:20" ht="15" thickBot="1" x14ac:dyDescent="0.35">
      <c r="A11" s="37" t="s">
        <v>4</v>
      </c>
      <c r="B11" s="26"/>
      <c r="C11" s="27">
        <v>30</v>
      </c>
      <c r="D11" s="28">
        <f t="shared" ref="D11:D13" si="4">B11/C11</f>
        <v>0</v>
      </c>
      <c r="M11" s="88"/>
      <c r="N11" s="88"/>
      <c r="O11" s="88"/>
      <c r="P11" s="88"/>
      <c r="Q11" s="88"/>
      <c r="R11" s="88"/>
      <c r="S11" s="88"/>
      <c r="T11" s="88"/>
    </row>
    <row r="12" spans="1:20" x14ac:dyDescent="0.3">
      <c r="A12" s="37" t="s">
        <v>5</v>
      </c>
      <c r="B12" s="31"/>
      <c r="C12" s="32">
        <v>40</v>
      </c>
      <c r="D12" s="76">
        <f t="shared" si="4"/>
        <v>0</v>
      </c>
      <c r="E12" s="81" t="s">
        <v>14</v>
      </c>
      <c r="F12" s="279" t="s">
        <v>50</v>
      </c>
      <c r="N12" s="88"/>
      <c r="O12" s="88"/>
      <c r="P12" s="88"/>
      <c r="Q12" s="88"/>
      <c r="R12" s="88"/>
      <c r="S12" s="88"/>
      <c r="T12" s="88"/>
    </row>
    <row r="13" spans="1:20" ht="15" thickBot="1" x14ac:dyDescent="0.35">
      <c r="A13" s="38" t="s">
        <v>8</v>
      </c>
      <c r="B13" s="29">
        <f>SUM(B10:B12)</f>
        <v>0</v>
      </c>
      <c r="C13" s="30">
        <v>100</v>
      </c>
      <c r="D13" s="77">
        <f t="shared" si="4"/>
        <v>0</v>
      </c>
      <c r="E13" s="85">
        <f>O9</f>
        <v>1</v>
      </c>
      <c r="F13" s="277">
        <f>IF($E$13 &gt;1, 7, 0)</f>
        <v>0</v>
      </c>
      <c r="N13" s="88"/>
      <c r="O13" s="88"/>
      <c r="P13" s="88"/>
      <c r="Q13" s="88"/>
      <c r="R13" s="88"/>
      <c r="S13" s="88"/>
      <c r="T13" s="88"/>
    </row>
    <row r="14" spans="1:20" ht="15" thickBot="1" x14ac:dyDescent="0.35"/>
    <row r="15" spans="1:20" ht="15" thickBot="1" x14ac:dyDescent="0.35">
      <c r="A15" s="4" t="s">
        <v>10</v>
      </c>
      <c r="B15" s="5" t="s">
        <v>6</v>
      </c>
      <c r="C15" s="6" t="s">
        <v>7</v>
      </c>
      <c r="D15" s="7" t="s">
        <v>13</v>
      </c>
    </row>
    <row r="16" spans="1:20" x14ac:dyDescent="0.3">
      <c r="A16" s="1" t="s">
        <v>11</v>
      </c>
      <c r="B16" s="45"/>
      <c r="C16" s="46">
        <v>5</v>
      </c>
      <c r="D16" s="47">
        <f>B16/C16</f>
        <v>0</v>
      </c>
    </row>
    <row r="17" spans="1:6" ht="15" thickBot="1" x14ac:dyDescent="0.35">
      <c r="A17" s="2" t="s">
        <v>4</v>
      </c>
      <c r="B17" s="50"/>
      <c r="C17" s="51">
        <v>50</v>
      </c>
      <c r="D17" s="52">
        <f t="shared" ref="D17:D19" si="5">B17/C17</f>
        <v>0</v>
      </c>
    </row>
    <row r="18" spans="1:6" x14ac:dyDescent="0.3">
      <c r="A18" s="2" t="s">
        <v>5</v>
      </c>
      <c r="B18" s="48"/>
      <c r="C18" s="49">
        <v>50</v>
      </c>
      <c r="D18" s="74">
        <f t="shared" si="5"/>
        <v>0</v>
      </c>
      <c r="E18" s="82" t="s">
        <v>14</v>
      </c>
      <c r="F18" s="279" t="s">
        <v>50</v>
      </c>
    </row>
    <row r="19" spans="1:6" ht="15" thickBot="1" x14ac:dyDescent="0.35">
      <c r="A19" s="3" t="s">
        <v>8</v>
      </c>
      <c r="B19" s="53">
        <f>IF((B17+B18) &gt;= 45,SUM(B16:B18),(B17+B18))</f>
        <v>0</v>
      </c>
      <c r="C19" s="54">
        <v>100</v>
      </c>
      <c r="D19" s="75">
        <f t="shared" si="5"/>
        <v>0</v>
      </c>
      <c r="E19" s="86">
        <f>P9</f>
        <v>1</v>
      </c>
      <c r="F19" s="277">
        <f>IF($E$19 &gt;1, 5, 0)</f>
        <v>0</v>
      </c>
    </row>
    <row r="20" spans="1:6" ht="15" thickBot="1" x14ac:dyDescent="0.35"/>
    <row r="21" spans="1:6" ht="15" thickBot="1" x14ac:dyDescent="0.35">
      <c r="A21" s="55" t="s">
        <v>12</v>
      </c>
      <c r="B21" s="56" t="s">
        <v>6</v>
      </c>
      <c r="C21" s="57" t="s">
        <v>7</v>
      </c>
      <c r="D21" s="58" t="s">
        <v>13</v>
      </c>
    </row>
    <row r="22" spans="1:6" x14ac:dyDescent="0.3">
      <c r="A22" s="59" t="s">
        <v>3</v>
      </c>
      <c r="B22" s="62"/>
      <c r="C22" s="63">
        <v>6</v>
      </c>
      <c r="D22" s="64">
        <f>B22/C22</f>
        <v>0</v>
      </c>
    </row>
    <row r="23" spans="1:6" ht="15" thickBot="1" x14ac:dyDescent="0.35">
      <c r="A23" s="60" t="s">
        <v>4</v>
      </c>
      <c r="B23" s="67"/>
      <c r="C23" s="68">
        <v>47</v>
      </c>
      <c r="D23" s="69">
        <f t="shared" ref="D23:D25" si="6">B23/C23</f>
        <v>0</v>
      </c>
    </row>
    <row r="24" spans="1:6" x14ac:dyDescent="0.3">
      <c r="A24" s="60" t="s">
        <v>5</v>
      </c>
      <c r="B24" s="65"/>
      <c r="C24" s="66">
        <v>47</v>
      </c>
      <c r="D24" s="72">
        <f t="shared" si="6"/>
        <v>0</v>
      </c>
      <c r="E24" s="83" t="s">
        <v>14</v>
      </c>
      <c r="F24" s="279" t="s">
        <v>50</v>
      </c>
    </row>
    <row r="25" spans="1:6" ht="15" thickBot="1" x14ac:dyDescent="0.35">
      <c r="A25" s="61" t="s">
        <v>8</v>
      </c>
      <c r="B25" s="70">
        <f>SUM(B22:B24)</f>
        <v>0</v>
      </c>
      <c r="C25" s="71">
        <v>100</v>
      </c>
      <c r="D25" s="73">
        <f t="shared" si="6"/>
        <v>0</v>
      </c>
      <c r="E25" s="87">
        <f>Q9</f>
        <v>1</v>
      </c>
      <c r="F25" s="277">
        <f>IF($E$25 &gt;1, 8, 0)</f>
        <v>0</v>
      </c>
    </row>
    <row r="27" spans="1:6" ht="15" thickBot="1" x14ac:dyDescent="0.35"/>
    <row r="28" spans="1:6" ht="15" thickBot="1" x14ac:dyDescent="0.35">
      <c r="A28" s="132" t="s">
        <v>24</v>
      </c>
      <c r="B28" s="130" t="s">
        <v>6</v>
      </c>
      <c r="C28" s="123" t="s">
        <v>7</v>
      </c>
      <c r="D28" s="124" t="s">
        <v>13</v>
      </c>
    </row>
    <row r="29" spans="1:6" x14ac:dyDescent="0.3">
      <c r="A29" s="131" t="s">
        <v>25</v>
      </c>
      <c r="B29" s="125"/>
      <c r="C29" s="126">
        <v>10</v>
      </c>
      <c r="D29" s="133">
        <f>B29/C29</f>
        <v>0</v>
      </c>
    </row>
    <row r="30" spans="1:6" x14ac:dyDescent="0.3">
      <c r="A30" s="121" t="s">
        <v>27</v>
      </c>
      <c r="B30" s="127"/>
      <c r="C30" s="118">
        <v>5</v>
      </c>
      <c r="D30" s="134">
        <f t="shared" ref="D30:D36" si="7">B30/C30</f>
        <v>0</v>
      </c>
    </row>
    <row r="31" spans="1:6" x14ac:dyDescent="0.3">
      <c r="A31" s="121" t="s">
        <v>3</v>
      </c>
      <c r="B31" s="128"/>
      <c r="C31" s="117">
        <v>10</v>
      </c>
      <c r="D31" s="135">
        <f t="shared" si="7"/>
        <v>0</v>
      </c>
    </row>
    <row r="32" spans="1:6" x14ac:dyDescent="0.3">
      <c r="A32" s="121" t="s">
        <v>11</v>
      </c>
      <c r="B32" s="127"/>
      <c r="C32" s="118">
        <v>25</v>
      </c>
      <c r="D32" s="134">
        <f t="shared" si="7"/>
        <v>0</v>
      </c>
    </row>
    <row r="33" spans="1:6" x14ac:dyDescent="0.3">
      <c r="A33" s="121" t="s">
        <v>26</v>
      </c>
      <c r="B33" s="128"/>
      <c r="C33" s="117">
        <v>30</v>
      </c>
      <c r="D33" s="135">
        <f t="shared" si="7"/>
        <v>0</v>
      </c>
    </row>
    <row r="34" spans="1:6" ht="15" thickBot="1" x14ac:dyDescent="0.35">
      <c r="A34" s="121" t="s">
        <v>31</v>
      </c>
      <c r="B34" s="127"/>
      <c r="C34" s="118">
        <v>10</v>
      </c>
      <c r="D34" s="134">
        <f t="shared" si="7"/>
        <v>0</v>
      </c>
    </row>
    <row r="35" spans="1:6" x14ac:dyDescent="0.3">
      <c r="A35" s="121" t="s">
        <v>28</v>
      </c>
      <c r="B35" s="128"/>
      <c r="C35" s="117">
        <v>20</v>
      </c>
      <c r="D35" s="135">
        <f t="shared" si="7"/>
        <v>0</v>
      </c>
      <c r="E35" s="137" t="s">
        <v>14</v>
      </c>
      <c r="F35" s="279" t="s">
        <v>50</v>
      </c>
    </row>
    <row r="36" spans="1:6" ht="15" thickBot="1" x14ac:dyDescent="0.35">
      <c r="A36" s="122" t="s">
        <v>8</v>
      </c>
      <c r="B36" s="129">
        <f>SUM(B29:B35)</f>
        <v>0</v>
      </c>
      <c r="C36" s="120">
        <v>100</v>
      </c>
      <c r="D36" s="136">
        <f t="shared" si="7"/>
        <v>0</v>
      </c>
      <c r="E36" s="139">
        <f>R9</f>
        <v>1</v>
      </c>
      <c r="F36" s="277">
        <f>IF($E$36 &gt;1, 4, 0)</f>
        <v>0</v>
      </c>
    </row>
  </sheetData>
  <conditionalFormatting sqref="D2 D7 D13 D25 D29:D33 D35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2:D4 D12 D15 D29:D36 D6:D9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{09D29813-1A5F-4C87-9AD2-6D28F23B09B2}</x14:id>
        </ext>
      </extLst>
    </cfRule>
  </conditionalFormatting>
  <conditionalFormatting sqref="D6">
    <cfRule type="iconSet" priority="1">
      <iconSet iconSet="3Symbols2">
        <cfvo type="percent" val="0"/>
        <cfvo type="num" val="0.39"/>
        <cfvo type="num" val="0.39"/>
      </iconSet>
    </cfRule>
  </conditionalFormatting>
  <conditionalFormatting sqref="D10:D13 D16:D19 D22:D25 D2:D7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{BDEEF6D8-2305-47FF-8299-63F9DB48D21B}</x14:id>
        </ext>
      </extLst>
    </cfRule>
  </conditionalFormatting>
  <conditionalFormatting sqref="D12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D19">
    <cfRule type="iconSet" priority="3">
      <iconSet iconSet="3Symbols2">
        <cfvo type="percent" val="0"/>
        <cfvo type="num" val="0.45"/>
        <cfvo type="num" val="0.45"/>
      </iconSet>
    </cfRule>
  </conditionalFormatting>
  <conditionalFormatting sqref="D36">
    <cfRule type="iconSet" priority="2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29813-1A5F-4C87-9AD2-6D28F23B09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D2:D4 D12 D15 D29:D36 D6:D9</xm:sqref>
        </x14:conditionalFormatting>
        <x14:conditionalFormatting xmlns:xm="http://schemas.microsoft.com/office/excel/2006/main">
          <x14:cfRule type="dataBar" id="{BDEEF6D8-2305-47FF-8299-63F9DB48D21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D10:D13 D16:D19 D22:D25 D2:D7</xm:sqref>
        </x14:conditionalFormatting>
        <x14:conditionalFormatting xmlns:xm="http://schemas.microsoft.com/office/excel/2006/main">
          <x14:cfRule type="iconSet" priority="6" id="{22EE1DB6-E84D-464A-A597-8CB03284CDC0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E7 E13 E19 E25 E36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E857-27D0-4456-BD14-AA85986C9660}">
  <dimension ref="A1:X28"/>
  <sheetViews>
    <sheetView zoomScale="120" zoomScaleNormal="120" workbookViewId="0">
      <selection activeCell="B12" sqref="B12"/>
    </sheetView>
  </sheetViews>
  <sheetFormatPr defaultColWidth="8.88671875" defaultRowHeight="14.4" x14ac:dyDescent="0.3"/>
  <cols>
    <col min="1" max="1" width="8.88671875" style="43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4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  <c r="H1" s="195"/>
      <c r="I1" s="195"/>
      <c r="J1" s="195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  <c r="X1" s="195"/>
    </row>
    <row r="2" spans="1:24" ht="15" thickBot="1" x14ac:dyDescent="0.35">
      <c r="A2" s="12" t="s">
        <v>1</v>
      </c>
      <c r="B2" s="23">
        <f>'SEM1'!B2</f>
        <v>0</v>
      </c>
      <c r="C2" s="24">
        <v>15</v>
      </c>
      <c r="D2" s="25">
        <f t="shared" ref="D2:D4" si="0">B2/C2</f>
        <v>0</v>
      </c>
      <c r="F2" s="277">
        <f>SUM(F4:F34)</f>
        <v>0</v>
      </c>
      <c r="H2" s="195"/>
      <c r="I2" s="195"/>
      <c r="J2" s="195"/>
      <c r="K2" s="254"/>
      <c r="L2" s="254"/>
      <c r="M2" s="254"/>
      <c r="N2" s="254"/>
      <c r="O2" s="254"/>
      <c r="P2" s="254"/>
      <c r="Q2" s="254"/>
      <c r="R2" s="195"/>
      <c r="S2" s="195"/>
      <c r="T2" s="195"/>
      <c r="U2" s="195"/>
      <c r="V2" s="195"/>
      <c r="W2" s="195"/>
      <c r="X2" s="195"/>
    </row>
    <row r="3" spans="1:24" x14ac:dyDescent="0.3">
      <c r="A3" s="13" t="s">
        <v>18</v>
      </c>
      <c r="B3" s="15"/>
      <c r="C3" s="16">
        <v>85</v>
      </c>
      <c r="D3" s="111">
        <f t="shared" si="0"/>
        <v>0</v>
      </c>
      <c r="E3" s="105" t="s">
        <v>23</v>
      </c>
      <c r="F3" s="279" t="s">
        <v>50</v>
      </c>
      <c r="H3" s="195"/>
      <c r="I3" s="195"/>
      <c r="J3" s="195"/>
      <c r="K3" s="254"/>
      <c r="L3" s="89" t="s">
        <v>15</v>
      </c>
      <c r="M3" s="89" t="s">
        <v>0</v>
      </c>
      <c r="N3" s="89" t="s">
        <v>9</v>
      </c>
      <c r="O3" s="89" t="s">
        <v>10</v>
      </c>
      <c r="P3" s="89" t="s">
        <v>16</v>
      </c>
      <c r="Q3" s="138" t="s">
        <v>29</v>
      </c>
      <c r="R3" s="195"/>
      <c r="S3" s="195"/>
      <c r="T3" s="195"/>
      <c r="U3" s="195"/>
      <c r="V3" s="195"/>
      <c r="W3" s="195"/>
      <c r="X3" s="195"/>
    </row>
    <row r="4" spans="1:24" ht="15" thickBot="1" x14ac:dyDescent="0.35">
      <c r="A4" s="14" t="s">
        <v>21</v>
      </c>
      <c r="B4" s="94">
        <f>SUM(B2:B3)</f>
        <v>0</v>
      </c>
      <c r="C4" s="92">
        <v>100</v>
      </c>
      <c r="D4" s="112">
        <f t="shared" si="0"/>
        <v>0</v>
      </c>
      <c r="E4" s="110">
        <f>M9</f>
        <v>1</v>
      </c>
      <c r="F4" s="277">
        <f>IF($E$4 &gt;1, 6, 0)</f>
        <v>0</v>
      </c>
      <c r="H4" s="195"/>
      <c r="I4" s="195"/>
      <c r="J4" s="195"/>
      <c r="K4" s="254"/>
      <c r="L4" s="89">
        <v>1</v>
      </c>
      <c r="M4" s="89">
        <v>1</v>
      </c>
      <c r="N4" s="89">
        <v>1</v>
      </c>
      <c r="O4" s="89">
        <v>1</v>
      </c>
      <c r="P4" s="89">
        <v>1</v>
      </c>
      <c r="Q4" s="138">
        <v>1</v>
      </c>
      <c r="R4" s="195"/>
      <c r="S4" s="195"/>
      <c r="T4" s="195"/>
      <c r="U4" s="195"/>
      <c r="V4" s="195"/>
      <c r="W4" s="195"/>
      <c r="X4" s="195"/>
    </row>
    <row r="5" spans="1:24" ht="15" thickBot="1" x14ac:dyDescent="0.35">
      <c r="A5" s="90"/>
      <c r="B5" s="90"/>
      <c r="C5" s="90"/>
      <c r="D5" s="90"/>
      <c r="H5" s="195"/>
      <c r="I5" s="195"/>
      <c r="J5" s="195"/>
      <c r="K5" s="254"/>
      <c r="L5" s="89">
        <v>2</v>
      </c>
      <c r="M5" s="89">
        <f>IF($B$4 &gt;= 50, 1, 0)</f>
        <v>0</v>
      </c>
      <c r="N5" s="89">
        <f>IF($B$9 &gt;= 50, 1, 0)</f>
        <v>0</v>
      </c>
      <c r="O5" s="89">
        <f>IF($B$12 &gt;= 45, 1, 0)</f>
        <v>0</v>
      </c>
      <c r="P5" s="89">
        <f>IF($B$15 &gt;= 50, 1,)</f>
        <v>0</v>
      </c>
      <c r="Q5" s="138">
        <f>IF($B$23 &gt;= 60, 1,)</f>
        <v>0</v>
      </c>
      <c r="R5" s="195"/>
      <c r="S5" s="195"/>
      <c r="T5" s="195"/>
      <c r="U5" s="195"/>
      <c r="V5" s="195"/>
      <c r="W5" s="195"/>
      <c r="X5" s="195"/>
    </row>
    <row r="6" spans="1:24" ht="15" thickBot="1" x14ac:dyDescent="0.35">
      <c r="A6" s="39" t="s">
        <v>9</v>
      </c>
      <c r="B6" s="40" t="s">
        <v>6</v>
      </c>
      <c r="C6" s="41" t="s">
        <v>7</v>
      </c>
      <c r="D6" s="42" t="s">
        <v>13</v>
      </c>
      <c r="H6" s="195"/>
      <c r="I6" s="195"/>
      <c r="J6" s="195"/>
      <c r="K6" s="254"/>
      <c r="L6" s="89">
        <v>3</v>
      </c>
      <c r="M6" s="89">
        <f>IF($B$4 &gt;= 62, 1, 0)</f>
        <v>0</v>
      </c>
      <c r="N6" s="89">
        <f>IF($B$9 &gt;= 62.5, 1, 0)</f>
        <v>0</v>
      </c>
      <c r="O6" s="89">
        <f>IF($B$12 &gt;= 55, 1, )</f>
        <v>0</v>
      </c>
      <c r="P6" s="89">
        <f>IF($B$15 &gt;= 58, 1, )</f>
        <v>0</v>
      </c>
      <c r="Q6" s="138">
        <f>IF($B$23 &gt;= 70, 1,)</f>
        <v>0</v>
      </c>
      <c r="R6" s="195"/>
      <c r="S6" s="195"/>
      <c r="T6" s="195"/>
      <c r="U6" s="195"/>
      <c r="V6" s="195"/>
      <c r="W6" s="195"/>
      <c r="X6" s="195"/>
    </row>
    <row r="7" spans="1:24" ht="15" thickBot="1" x14ac:dyDescent="0.35">
      <c r="A7" s="36" t="s">
        <v>1</v>
      </c>
      <c r="B7" s="33">
        <f>'SEM1'!B10</f>
        <v>0</v>
      </c>
      <c r="C7" s="34">
        <v>30</v>
      </c>
      <c r="D7" s="35">
        <f>B7/C7</f>
        <v>0</v>
      </c>
      <c r="H7" s="195"/>
      <c r="I7" s="195"/>
      <c r="J7" s="195"/>
      <c r="K7" s="254"/>
      <c r="L7" s="89">
        <v>4</v>
      </c>
      <c r="M7" s="89">
        <f>IF($B$4 &gt;= 75, 1, 0)</f>
        <v>0</v>
      </c>
      <c r="N7" s="89">
        <f>IF($B$9 &gt;= 75, 1, 0)</f>
        <v>0</v>
      </c>
      <c r="O7" s="89">
        <f>IF($B$12&gt;= 70, 1, 0)</f>
        <v>0</v>
      </c>
      <c r="P7" s="89">
        <f>IF($B$15 &gt;= 72, 1, )</f>
        <v>0</v>
      </c>
      <c r="Q7" s="138">
        <f>IF($B$23 &gt;= 80, 1,)</f>
        <v>0</v>
      </c>
      <c r="R7" s="195"/>
      <c r="S7" s="195"/>
      <c r="T7" s="195"/>
      <c r="U7" s="195"/>
      <c r="V7" s="195"/>
      <c r="W7" s="195"/>
      <c r="X7" s="195"/>
    </row>
    <row r="8" spans="1:24" x14ac:dyDescent="0.3">
      <c r="A8" s="37" t="s">
        <v>18</v>
      </c>
      <c r="B8" s="26"/>
      <c r="C8" s="27">
        <v>70</v>
      </c>
      <c r="D8" s="113">
        <f t="shared" ref="D8:D9" si="1">B8/C8</f>
        <v>0</v>
      </c>
      <c r="E8" s="107" t="s">
        <v>23</v>
      </c>
      <c r="F8" s="279" t="s">
        <v>50</v>
      </c>
      <c r="H8" s="195"/>
      <c r="I8" s="195"/>
      <c r="J8" s="195"/>
      <c r="K8" s="254"/>
      <c r="L8" s="89">
        <v>5</v>
      </c>
      <c r="M8" s="89">
        <f>IF($B$4 &gt;= 88, 1, 0)</f>
        <v>0</v>
      </c>
      <c r="N8" s="89">
        <f>IF($B$9 &gt;= 87.5, 1, 0)</f>
        <v>0</v>
      </c>
      <c r="O8" s="89">
        <f>IF($B$12 &gt;= 85, 1, 0)</f>
        <v>0</v>
      </c>
      <c r="P8" s="89">
        <f>IF($B$15 &gt;= 86, 1, 0)</f>
        <v>0</v>
      </c>
      <c r="Q8" s="138">
        <f>IF($B$23 &gt;= 90, 1,)</f>
        <v>0</v>
      </c>
      <c r="R8" s="195"/>
      <c r="S8" s="195"/>
      <c r="T8" s="195"/>
      <c r="U8" s="195"/>
      <c r="V8" s="195"/>
      <c r="W8" s="195"/>
      <c r="X8" s="195"/>
    </row>
    <row r="9" spans="1:24" ht="15" thickBot="1" x14ac:dyDescent="0.35">
      <c r="A9" s="38" t="s">
        <v>21</v>
      </c>
      <c r="B9" s="93">
        <f>SUM(B7:B8)</f>
        <v>0</v>
      </c>
      <c r="C9" s="91">
        <v>100</v>
      </c>
      <c r="D9" s="114">
        <f t="shared" si="1"/>
        <v>0</v>
      </c>
      <c r="E9" s="106">
        <f>N9</f>
        <v>1</v>
      </c>
      <c r="F9" s="277">
        <f>IF($E$9 &gt;1, 7, 0)</f>
        <v>0</v>
      </c>
      <c r="H9" s="195"/>
      <c r="I9" s="195"/>
      <c r="J9" s="195"/>
      <c r="K9" s="254"/>
      <c r="L9" s="89" t="s">
        <v>17</v>
      </c>
      <c r="M9" s="89">
        <f>SUM(M4:M8)</f>
        <v>1</v>
      </c>
      <c r="N9" s="89">
        <f t="shared" ref="N9:P9" si="2">SUM(N4:N8)</f>
        <v>1</v>
      </c>
      <c r="O9" s="89">
        <f t="shared" si="2"/>
        <v>1</v>
      </c>
      <c r="P9" s="89">
        <f t="shared" si="2"/>
        <v>1</v>
      </c>
      <c r="Q9" s="138">
        <f>SUM(Q4:Q8)</f>
        <v>1</v>
      </c>
      <c r="R9" s="195"/>
      <c r="S9" s="195"/>
      <c r="T9" s="195"/>
      <c r="U9" s="195"/>
      <c r="V9" s="195"/>
      <c r="W9" s="195"/>
      <c r="X9" s="195"/>
    </row>
    <row r="10" spans="1:24" ht="15" thickBot="1" x14ac:dyDescent="0.35">
      <c r="A10" s="90"/>
      <c r="B10" s="90"/>
      <c r="C10" s="90"/>
      <c r="D10" s="90"/>
      <c r="H10" s="195"/>
      <c r="I10" s="195"/>
      <c r="J10" s="195"/>
      <c r="K10" s="254"/>
      <c r="L10" s="254"/>
      <c r="M10" s="254"/>
      <c r="N10" s="254"/>
      <c r="O10" s="254"/>
      <c r="P10" s="254"/>
      <c r="Q10" s="254"/>
      <c r="R10" s="195"/>
      <c r="S10" s="195"/>
      <c r="T10" s="195"/>
      <c r="U10" s="195"/>
      <c r="V10" s="195"/>
      <c r="W10" s="195"/>
      <c r="X10" s="195"/>
    </row>
    <row r="11" spans="1:24" ht="15" thickBot="1" x14ac:dyDescent="0.35">
      <c r="A11" s="4" t="s">
        <v>19</v>
      </c>
      <c r="B11" s="5" t="s">
        <v>6</v>
      </c>
      <c r="C11" s="6" t="s">
        <v>20</v>
      </c>
      <c r="D11" s="103" t="s">
        <v>13</v>
      </c>
      <c r="E11" s="82" t="s">
        <v>23</v>
      </c>
      <c r="F11" s="279" t="s">
        <v>50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</row>
    <row r="12" spans="1:24" ht="15" thickBot="1" x14ac:dyDescent="0.35">
      <c r="A12" s="95" t="s">
        <v>18</v>
      </c>
      <c r="B12" s="96"/>
      <c r="C12" s="97">
        <v>100</v>
      </c>
      <c r="D12" s="115">
        <f>B12/C12</f>
        <v>0</v>
      </c>
      <c r="E12" s="109">
        <f>O9</f>
        <v>1</v>
      </c>
      <c r="F12" s="277">
        <f>IF($E$12 &gt;1, 5, 0)</f>
        <v>0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</row>
    <row r="13" spans="1:24" ht="15" thickBot="1" x14ac:dyDescent="0.35">
      <c r="A13" s="90"/>
      <c r="B13" s="90"/>
      <c r="C13" s="90"/>
      <c r="D13" s="90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</row>
    <row r="14" spans="1:24" ht="15" thickBot="1" x14ac:dyDescent="0.35">
      <c r="A14" s="55" t="s">
        <v>22</v>
      </c>
      <c r="B14" s="98" t="s">
        <v>6</v>
      </c>
      <c r="C14" s="99" t="s">
        <v>7</v>
      </c>
      <c r="D14" s="104" t="s">
        <v>13</v>
      </c>
      <c r="E14" s="83" t="s">
        <v>23</v>
      </c>
      <c r="F14" s="279" t="s">
        <v>50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</row>
    <row r="15" spans="1:24" ht="15" thickBot="1" x14ac:dyDescent="0.35">
      <c r="A15" s="100" t="s">
        <v>18</v>
      </c>
      <c r="B15" s="101"/>
      <c r="C15" s="102">
        <v>100</v>
      </c>
      <c r="D15" s="116">
        <f>B15/C15</f>
        <v>0</v>
      </c>
      <c r="E15" s="108">
        <f>P9</f>
        <v>1</v>
      </c>
      <c r="F15" s="277">
        <f>IF($E$15 &gt;1, 8, 0)</f>
        <v>0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</row>
    <row r="16" spans="1:24" ht="15" thickBot="1" x14ac:dyDescent="0.35"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</row>
    <row r="17" spans="1:24" ht="15" thickBot="1" x14ac:dyDescent="0.35">
      <c r="A17" s="132" t="s">
        <v>30</v>
      </c>
      <c r="B17" s="130" t="s">
        <v>6</v>
      </c>
      <c r="C17" s="123" t="s">
        <v>7</v>
      </c>
      <c r="D17" s="124" t="s">
        <v>13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</row>
    <row r="18" spans="1:24" x14ac:dyDescent="0.3">
      <c r="A18" s="131" t="s">
        <v>11</v>
      </c>
      <c r="B18" s="125">
        <f>('SEM1'!B32/25) * 40</f>
        <v>0</v>
      </c>
      <c r="C18" s="126">
        <v>40</v>
      </c>
      <c r="D18" s="133">
        <f>B18/C18</f>
        <v>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</row>
    <row r="19" spans="1:24" x14ac:dyDescent="0.3">
      <c r="A19" s="121" t="s">
        <v>3</v>
      </c>
      <c r="B19" s="127"/>
      <c r="C19" s="118">
        <v>10</v>
      </c>
      <c r="D19" s="134">
        <f t="shared" ref="D19:D21" si="3">B19/C19</f>
        <v>0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</row>
    <row r="20" spans="1:24" ht="15" thickBot="1" x14ac:dyDescent="0.35">
      <c r="A20" s="121" t="s">
        <v>26</v>
      </c>
      <c r="B20" s="128">
        <f>'SEM1'!B33</f>
        <v>0</v>
      </c>
      <c r="C20" s="117">
        <v>30</v>
      </c>
      <c r="D20" s="135">
        <f t="shared" si="3"/>
        <v>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</row>
    <row r="21" spans="1:24" x14ac:dyDescent="0.3">
      <c r="A21" s="121" t="s">
        <v>18</v>
      </c>
      <c r="B21" s="127"/>
      <c r="C21" s="118">
        <v>20</v>
      </c>
      <c r="D21" s="134">
        <f t="shared" si="3"/>
        <v>0</v>
      </c>
      <c r="E21" s="140" t="s">
        <v>23</v>
      </c>
      <c r="F21" s="279" t="s">
        <v>50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</row>
    <row r="22" spans="1:24" ht="15" thickBot="1" x14ac:dyDescent="0.35">
      <c r="A22" s="122" t="s">
        <v>21</v>
      </c>
      <c r="B22" s="142">
        <f>SUM(B17:B21)</f>
        <v>0</v>
      </c>
      <c r="C22" s="120">
        <v>100</v>
      </c>
      <c r="D22" s="136">
        <f t="shared" ref="D22" si="4">B22/C22</f>
        <v>0</v>
      </c>
      <c r="E22" s="141">
        <f>Q9</f>
        <v>1</v>
      </c>
      <c r="F22" s="277">
        <f>IF($E$22 &gt;1, 4, 0)</f>
        <v>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</row>
    <row r="23" spans="1:24" x14ac:dyDescent="0.3">
      <c r="A23" s="119"/>
      <c r="B23" s="143"/>
      <c r="C23" s="90"/>
      <c r="D23" s="144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</row>
    <row r="24" spans="1:24" x14ac:dyDescent="0.3"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</row>
    <row r="25" spans="1:24" x14ac:dyDescent="0.3"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</row>
    <row r="26" spans="1:24" x14ac:dyDescent="0.3"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</row>
    <row r="27" spans="1:24" x14ac:dyDescent="0.3"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</row>
    <row r="28" spans="1:24" x14ac:dyDescent="0.3"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</row>
  </sheetData>
  <conditionalFormatting sqref="D2:D4 D7:D9 D12 D15 D18:D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{1BC900FF-8DD7-4311-8CE5-25E2A253943D}</x14:id>
        </ext>
      </extLst>
    </cfRule>
  </conditionalFormatting>
  <conditionalFormatting sqref="D2:D4 D8:D9 D15 D18 D20:D21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12">
    <cfRule type="iconSet" priority="2">
      <iconSet iconSet="3Symbols2">
        <cfvo type="percent" val="0"/>
        <cfvo type="num" val="0.45"/>
        <cfvo type="num" val="0.45"/>
      </iconSet>
    </cfRule>
  </conditionalFormatting>
  <conditionalFormatting sqref="D22:D23">
    <cfRule type="iconSet" priority="1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900FF-8DD7-4311-8CE5-25E2A25394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 D7:D9 D12 D15 D18:D23</xm:sqref>
        </x14:conditionalFormatting>
        <x14:conditionalFormatting xmlns:xm="http://schemas.microsoft.com/office/excel/2006/main">
          <x14:cfRule type="iconSet" priority="4" id="{31FEB6C0-6CE1-4A7D-8351-E0976F130F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 E9 E12 E15 E22:E23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292-5C2A-464C-A604-04024A6EF04E}">
  <dimension ref="A1:Y39"/>
  <sheetViews>
    <sheetView zoomScale="110" zoomScaleNormal="120" workbookViewId="0">
      <selection activeCell="B34" sqref="B34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5" width="10.5546875" style="43" bestFit="1" customWidth="1"/>
    <col min="6" max="6" width="8.88671875" style="195"/>
    <col min="7" max="16384" width="8.88671875" style="43"/>
  </cols>
  <sheetData>
    <row r="1" spans="1:21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G1" s="295"/>
      <c r="H1" s="295"/>
      <c r="I1" s="295"/>
      <c r="J1" s="295"/>
      <c r="K1" s="295"/>
      <c r="L1" s="254"/>
      <c r="M1" s="295"/>
      <c r="N1" s="295"/>
      <c r="O1" s="295"/>
      <c r="P1" s="295"/>
      <c r="Q1" s="295"/>
      <c r="R1" s="295"/>
      <c r="S1" s="295"/>
      <c r="T1" s="295"/>
    </row>
    <row r="2" spans="1:21" ht="15" thickBot="1" x14ac:dyDescent="0.35">
      <c r="A2" s="161" t="s">
        <v>1</v>
      </c>
      <c r="B2" s="152"/>
      <c r="C2" s="153">
        <v>10</v>
      </c>
      <c r="D2" s="157">
        <f>B2/C2</f>
        <v>0</v>
      </c>
      <c r="E2" s="44"/>
      <c r="F2" s="277">
        <f>SUM(F7:F35)</f>
        <v>0</v>
      </c>
      <c r="G2" s="295"/>
      <c r="H2" s="295"/>
      <c r="I2" s="295"/>
      <c r="J2" s="295"/>
      <c r="K2" s="295"/>
      <c r="L2" s="254"/>
      <c r="M2" s="295"/>
      <c r="N2" s="295"/>
      <c r="O2" s="295"/>
      <c r="P2" s="295"/>
      <c r="Q2" s="295"/>
      <c r="R2" s="295"/>
      <c r="S2" s="295"/>
      <c r="T2" s="295"/>
    </row>
    <row r="3" spans="1:21" x14ac:dyDescent="0.3">
      <c r="A3" s="162" t="s">
        <v>2</v>
      </c>
      <c r="B3" s="164"/>
      <c r="C3" s="165">
        <v>10</v>
      </c>
      <c r="D3" s="166">
        <f t="shared" ref="D3:D5" si="0">B3/C3</f>
        <v>0</v>
      </c>
      <c r="G3" s="295"/>
      <c r="H3" s="295"/>
      <c r="I3" s="295"/>
      <c r="J3" s="295"/>
      <c r="K3" s="295"/>
      <c r="L3" s="296"/>
      <c r="M3" s="297" t="s">
        <v>15</v>
      </c>
      <c r="N3" s="297" t="s">
        <v>44</v>
      </c>
      <c r="O3" s="297" t="s">
        <v>36</v>
      </c>
      <c r="P3" s="297" t="s">
        <v>37</v>
      </c>
      <c r="Q3" s="297" t="s">
        <v>45</v>
      </c>
      <c r="R3" s="297" t="s">
        <v>41</v>
      </c>
      <c r="S3" s="296"/>
      <c r="T3" s="295"/>
    </row>
    <row r="4" spans="1:21" x14ac:dyDescent="0.3">
      <c r="A4" s="162" t="s">
        <v>33</v>
      </c>
      <c r="B4" s="155"/>
      <c r="C4" s="156">
        <v>28</v>
      </c>
      <c r="D4" s="157">
        <f t="shared" si="0"/>
        <v>0</v>
      </c>
      <c r="G4" s="295"/>
      <c r="H4" s="295"/>
      <c r="I4" s="295"/>
      <c r="J4" s="295"/>
      <c r="K4" s="295"/>
      <c r="L4" s="296"/>
      <c r="M4" s="297">
        <v>1</v>
      </c>
      <c r="N4" s="297">
        <v>1</v>
      </c>
      <c r="O4" s="297">
        <v>1</v>
      </c>
      <c r="P4" s="297">
        <v>1</v>
      </c>
      <c r="Q4" s="297">
        <v>1</v>
      </c>
      <c r="R4" s="297">
        <v>1</v>
      </c>
      <c r="S4" s="296"/>
      <c r="T4" s="295"/>
    </row>
    <row r="5" spans="1:21" ht="15" thickBot="1" x14ac:dyDescent="0.35">
      <c r="A5" s="162" t="s">
        <v>34</v>
      </c>
      <c r="B5" s="164"/>
      <c r="C5" s="165">
        <v>28</v>
      </c>
      <c r="D5" s="166">
        <f t="shared" si="0"/>
        <v>0</v>
      </c>
      <c r="G5" s="295"/>
      <c r="H5" s="295"/>
      <c r="I5" s="295"/>
      <c r="J5" s="295"/>
      <c r="K5" s="295"/>
      <c r="L5" s="296"/>
      <c r="M5" s="297">
        <v>2</v>
      </c>
      <c r="N5" s="297">
        <f>IF($B$7 &gt;= 50, 1, 0)</f>
        <v>0</v>
      </c>
      <c r="O5" s="297">
        <f>IF($B$14 &gt;= 50, 1, 0)</f>
        <v>0</v>
      </c>
      <c r="P5" s="297">
        <f>IF($B$24 &gt;= 50, 1, 0)</f>
        <v>0</v>
      </c>
      <c r="Q5" s="297">
        <f>IF($B$30 &gt;= 50, 1,)</f>
        <v>0</v>
      </c>
      <c r="R5" s="297">
        <f>IF($B$35 &gt;= 20, 1,)</f>
        <v>0</v>
      </c>
      <c r="S5" s="296"/>
      <c r="T5" s="295"/>
    </row>
    <row r="6" spans="1:21" x14ac:dyDescent="0.3">
      <c r="A6" s="162" t="s">
        <v>35</v>
      </c>
      <c r="B6" s="155"/>
      <c r="C6" s="156">
        <v>24</v>
      </c>
      <c r="D6" s="158">
        <f>B6/C6</f>
        <v>0</v>
      </c>
      <c r="E6" s="194" t="s">
        <v>14</v>
      </c>
      <c r="F6" s="280" t="s">
        <v>50</v>
      </c>
      <c r="G6" s="295"/>
      <c r="H6" s="295"/>
      <c r="I6" s="295"/>
      <c r="J6" s="295"/>
      <c r="K6" s="295"/>
      <c r="L6" s="296"/>
      <c r="M6" s="297">
        <v>3</v>
      </c>
      <c r="N6" s="297">
        <f>IF($B$7 &gt;= 60, 1, 0)</f>
        <v>0</v>
      </c>
      <c r="O6" s="297">
        <f>IF($B$14 &gt;= 65, 1, 0)</f>
        <v>0</v>
      </c>
      <c r="P6" s="297">
        <f>IF($B$24 &gt;= 62, 1, )</f>
        <v>0</v>
      </c>
      <c r="Q6" s="297">
        <f>IF($B$30 &gt;= 58, 1, )</f>
        <v>0</v>
      </c>
      <c r="R6" s="297">
        <f>IF($B$35 &gt;= 24, 1,)</f>
        <v>0</v>
      </c>
      <c r="S6" s="296"/>
      <c r="T6" s="295"/>
    </row>
    <row r="7" spans="1:21" ht="15" thickBot="1" x14ac:dyDescent="0.35">
      <c r="A7" s="163" t="s">
        <v>8</v>
      </c>
      <c r="B7" s="167">
        <f>SUM(B2:B6)</f>
        <v>0</v>
      </c>
      <c r="C7" s="168">
        <v>100</v>
      </c>
      <c r="D7" s="169">
        <f>B7/C7</f>
        <v>0</v>
      </c>
      <c r="E7" s="171">
        <f>N9</f>
        <v>1</v>
      </c>
      <c r="F7" s="276">
        <f>IF($E$7 &gt;1, 6, 0)</f>
        <v>0</v>
      </c>
      <c r="G7" s="295"/>
      <c r="H7" s="295"/>
      <c r="I7" s="295"/>
      <c r="J7" s="295"/>
      <c r="K7" s="295"/>
      <c r="L7" s="296"/>
      <c r="M7" s="297">
        <v>4</v>
      </c>
      <c r="N7" s="297">
        <f>IF($B$7 &gt;= 70, 1, 0)</f>
        <v>0</v>
      </c>
      <c r="O7" s="297">
        <f>IF($B$14 &gt;= 80, 1, 0)</f>
        <v>0</v>
      </c>
      <c r="P7" s="297">
        <f>IF($B$24 &gt;= 74, 1, 0)</f>
        <v>0</v>
      </c>
      <c r="Q7" s="297">
        <f>IF($B$30 &gt;= 72, 1, )</f>
        <v>0</v>
      </c>
      <c r="R7" s="297">
        <f>IF($B$35 &gt;= 30, 1,)</f>
        <v>0</v>
      </c>
      <c r="S7" s="296"/>
      <c r="T7" s="295"/>
    </row>
    <row r="8" spans="1:21" ht="15" thickBot="1" x14ac:dyDescent="0.35">
      <c r="F8" s="88"/>
      <c r="G8" s="295"/>
      <c r="H8" s="295"/>
      <c r="I8" s="295"/>
      <c r="J8" s="295"/>
      <c r="K8" s="295"/>
      <c r="L8" s="296"/>
      <c r="M8" s="297">
        <v>5</v>
      </c>
      <c r="N8" s="297">
        <f>IF($B$7 &gt;= 85, 1, 0)</f>
        <v>0</v>
      </c>
      <c r="O8" s="297">
        <f>IF($B$14 &gt;= 90, 1, 0)</f>
        <v>0</v>
      </c>
      <c r="P8" s="297">
        <f>IF($B$24 &gt;= 86, 1, 0)</f>
        <v>0</v>
      </c>
      <c r="Q8" s="297">
        <f>IF($B$30 &gt;= 86, 1, 0)</f>
        <v>0</v>
      </c>
      <c r="R8" s="297">
        <f>IF($B$35 &gt;= 36, 1,)</f>
        <v>0</v>
      </c>
      <c r="S8" s="296"/>
      <c r="T8" s="295"/>
    </row>
    <row r="9" spans="1:21" ht="15" thickBot="1" x14ac:dyDescent="0.35">
      <c r="A9" s="179" t="s">
        <v>36</v>
      </c>
      <c r="B9" s="180" t="s">
        <v>6</v>
      </c>
      <c r="C9" s="181" t="s">
        <v>7</v>
      </c>
      <c r="D9" s="182" t="s">
        <v>13</v>
      </c>
      <c r="F9" s="88"/>
      <c r="G9" s="295"/>
      <c r="H9" s="295"/>
      <c r="I9" s="295"/>
      <c r="J9" s="295"/>
      <c r="K9" s="295"/>
      <c r="L9" s="296"/>
      <c r="M9" s="297" t="s">
        <v>17</v>
      </c>
      <c r="N9" s="297">
        <f>SUM(N4:N8)</f>
        <v>1</v>
      </c>
      <c r="O9" s="297">
        <f t="shared" ref="O9:Q9" si="1">SUM(O4:O8)</f>
        <v>1</v>
      </c>
      <c r="P9" s="297">
        <f t="shared" si="1"/>
        <v>1</v>
      </c>
      <c r="Q9" s="297">
        <f t="shared" si="1"/>
        <v>1</v>
      </c>
      <c r="R9" s="297">
        <f>SUM(R4:R8)</f>
        <v>1</v>
      </c>
      <c r="S9" s="296"/>
      <c r="T9" s="295"/>
    </row>
    <row r="10" spans="1:21" x14ac:dyDescent="0.3">
      <c r="A10" s="176" t="s">
        <v>1</v>
      </c>
      <c r="B10" s="183"/>
      <c r="C10" s="184">
        <v>10</v>
      </c>
      <c r="D10" s="185">
        <f>B10/C10</f>
        <v>0</v>
      </c>
      <c r="F10" s="88"/>
      <c r="G10" s="295"/>
      <c r="H10" s="295"/>
      <c r="I10" s="295"/>
      <c r="J10" s="295"/>
      <c r="K10" s="295"/>
      <c r="L10" s="296"/>
      <c r="M10" s="296"/>
      <c r="N10" s="296"/>
      <c r="O10" s="296"/>
      <c r="P10" s="296"/>
      <c r="Q10" s="296"/>
      <c r="R10" s="296"/>
      <c r="S10" s="296"/>
      <c r="T10" s="295"/>
    </row>
    <row r="11" spans="1:21" x14ac:dyDescent="0.3">
      <c r="A11" s="176" t="s">
        <v>3</v>
      </c>
      <c r="B11" s="145"/>
      <c r="C11" s="146">
        <v>10</v>
      </c>
      <c r="D11" s="147">
        <f>B11/C11</f>
        <v>0</v>
      </c>
      <c r="F11" s="88"/>
      <c r="G11" s="295"/>
      <c r="H11" s="295"/>
      <c r="I11" s="295"/>
      <c r="J11" s="295"/>
      <c r="K11" s="295"/>
      <c r="L11" s="254"/>
      <c r="M11" s="295"/>
      <c r="N11" s="295"/>
      <c r="O11" s="295"/>
      <c r="P11" s="295"/>
      <c r="Q11" s="295"/>
      <c r="R11" s="295"/>
      <c r="S11" s="295"/>
      <c r="T11" s="295"/>
    </row>
    <row r="12" spans="1:21" ht="15" thickBot="1" x14ac:dyDescent="0.35">
      <c r="A12" s="177" t="s">
        <v>4</v>
      </c>
      <c r="B12" s="26"/>
      <c r="C12" s="27">
        <v>40</v>
      </c>
      <c r="D12" s="150">
        <f t="shared" ref="D12:D14" si="2">B12/C12</f>
        <v>0</v>
      </c>
      <c r="F12" s="88"/>
      <c r="G12" s="295"/>
      <c r="H12" s="295"/>
      <c r="I12" s="295"/>
      <c r="J12" s="295"/>
      <c r="K12" s="295"/>
      <c r="L12" s="254"/>
      <c r="M12" s="295"/>
      <c r="N12" s="295"/>
      <c r="O12" s="295"/>
      <c r="P12" s="295"/>
      <c r="Q12" s="295"/>
      <c r="R12" s="295"/>
      <c r="S12" s="295"/>
      <c r="T12" s="295"/>
    </row>
    <row r="13" spans="1:21" x14ac:dyDescent="0.3">
      <c r="A13" s="177" t="s">
        <v>5</v>
      </c>
      <c r="B13" s="298"/>
      <c r="C13" s="32">
        <v>40</v>
      </c>
      <c r="D13" s="76">
        <f t="shared" si="2"/>
        <v>0</v>
      </c>
      <c r="E13" s="81" t="s">
        <v>14</v>
      </c>
      <c r="F13" s="280" t="s">
        <v>50</v>
      </c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</row>
    <row r="14" spans="1:21" ht="15" thickBot="1" x14ac:dyDescent="0.35">
      <c r="A14" s="178" t="s">
        <v>8</v>
      </c>
      <c r="B14" s="29">
        <f>SUM(B10:B13)</f>
        <v>0</v>
      </c>
      <c r="C14" s="30">
        <v>100</v>
      </c>
      <c r="D14" s="151">
        <f t="shared" si="2"/>
        <v>0</v>
      </c>
      <c r="E14" s="85">
        <f>O9</f>
        <v>1</v>
      </c>
      <c r="F14" s="276">
        <f>IF($E$14 &gt;1, 8, 0)</f>
        <v>0</v>
      </c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</row>
    <row r="15" spans="1:21" ht="15" thickBot="1" x14ac:dyDescent="0.35">
      <c r="F15" s="88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</row>
    <row r="16" spans="1:21" ht="15" thickBot="1" x14ac:dyDescent="0.35">
      <c r="A16" s="4" t="s">
        <v>42</v>
      </c>
      <c r="B16" s="5" t="s">
        <v>6</v>
      </c>
      <c r="C16" s="6" t="s">
        <v>7</v>
      </c>
      <c r="D16" s="7" t="s">
        <v>13</v>
      </c>
      <c r="F16" s="88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</row>
    <row r="17" spans="1:25" x14ac:dyDescent="0.3">
      <c r="A17" s="1" t="s">
        <v>38</v>
      </c>
      <c r="B17" s="45"/>
      <c r="C17" s="46">
        <v>6</v>
      </c>
      <c r="D17" s="47">
        <f>B17/C17</f>
        <v>0</v>
      </c>
      <c r="F17" s="88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</row>
    <row r="18" spans="1:25" x14ac:dyDescent="0.3">
      <c r="A18" s="2" t="s">
        <v>39</v>
      </c>
      <c r="B18" s="50"/>
      <c r="C18" s="51">
        <v>5</v>
      </c>
      <c r="D18" s="52">
        <f t="shared" ref="D18:D24" si="3">B18/C18</f>
        <v>0</v>
      </c>
      <c r="F18" s="88"/>
      <c r="G18" s="295"/>
      <c r="H18" s="295"/>
      <c r="I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</row>
    <row r="19" spans="1:25" x14ac:dyDescent="0.3">
      <c r="A19" s="2" t="s">
        <v>3</v>
      </c>
      <c r="B19" s="48"/>
      <c r="C19" s="49">
        <v>9</v>
      </c>
      <c r="D19" s="148">
        <f t="shared" si="3"/>
        <v>0</v>
      </c>
      <c r="F19" s="88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</row>
    <row r="20" spans="1:25" ht="15" thickBot="1" x14ac:dyDescent="0.35">
      <c r="A20" s="2" t="s">
        <v>40</v>
      </c>
      <c r="B20" s="50"/>
      <c r="C20" s="51">
        <v>4</v>
      </c>
      <c r="D20" s="52">
        <f t="shared" si="3"/>
        <v>0</v>
      </c>
      <c r="E20" s="273"/>
      <c r="F20" s="88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</row>
    <row r="21" spans="1:25" x14ac:dyDescent="0.3">
      <c r="A21" s="2" t="s">
        <v>33</v>
      </c>
      <c r="B21" s="48"/>
      <c r="C21" s="49">
        <v>26</v>
      </c>
      <c r="D21" s="74">
        <f t="shared" si="3"/>
        <v>0</v>
      </c>
      <c r="E21" s="312">
        <f>SUM(B21:B22)/52</f>
        <v>0</v>
      </c>
      <c r="F21" s="88"/>
      <c r="G21" s="314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</row>
    <row r="22" spans="1:25" ht="15" thickBot="1" x14ac:dyDescent="0.35">
      <c r="A22" s="2" t="s">
        <v>34</v>
      </c>
      <c r="B22" s="300"/>
      <c r="C22" s="51">
        <v>26</v>
      </c>
      <c r="D22" s="251">
        <f t="shared" si="3"/>
        <v>0</v>
      </c>
      <c r="E22" s="313"/>
      <c r="F22" s="88"/>
      <c r="G22" s="314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</row>
    <row r="23" spans="1:25" x14ac:dyDescent="0.3">
      <c r="A23" s="2" t="s">
        <v>35</v>
      </c>
      <c r="B23" s="301"/>
      <c r="C23" s="49">
        <v>24</v>
      </c>
      <c r="D23" s="148">
        <f>B23/C23</f>
        <v>0</v>
      </c>
      <c r="E23" s="252" t="s">
        <v>14</v>
      </c>
      <c r="F23" s="280" t="s">
        <v>50</v>
      </c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</row>
    <row r="24" spans="1:25" ht="15" thickBot="1" x14ac:dyDescent="0.35">
      <c r="A24" s="3" t="s">
        <v>8</v>
      </c>
      <c r="B24" s="53">
        <f>SUM(B17:B23)</f>
        <v>0</v>
      </c>
      <c r="C24" s="54">
        <v>100</v>
      </c>
      <c r="D24" s="149">
        <f t="shared" si="3"/>
        <v>0</v>
      </c>
      <c r="E24" s="86">
        <f>P9</f>
        <v>1</v>
      </c>
      <c r="F24" s="276">
        <f>IF($E$24 &gt;1, 7, 0)</f>
        <v>0</v>
      </c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</row>
    <row r="25" spans="1:25" ht="15" thickBot="1" x14ac:dyDescent="0.35">
      <c r="F25" s="88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</row>
    <row r="26" spans="1:25" ht="15" thickBot="1" x14ac:dyDescent="0.35">
      <c r="A26" s="189" t="s">
        <v>43</v>
      </c>
      <c r="B26" s="190" t="s">
        <v>6</v>
      </c>
      <c r="C26" s="191" t="s">
        <v>7</v>
      </c>
      <c r="D26" s="192" t="s">
        <v>13</v>
      </c>
      <c r="F26" s="88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</row>
    <row r="27" spans="1:25" x14ac:dyDescent="0.3">
      <c r="A27" s="186" t="s">
        <v>40</v>
      </c>
      <c r="B27" s="196"/>
      <c r="C27" s="197">
        <v>5</v>
      </c>
      <c r="D27" s="198">
        <f>B27/C27</f>
        <v>0</v>
      </c>
      <c r="E27" s="195"/>
      <c r="F27" s="88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</row>
    <row r="28" spans="1:25" ht="15" thickBot="1" x14ac:dyDescent="0.35">
      <c r="A28" s="187" t="s">
        <v>4</v>
      </c>
      <c r="B28" s="199"/>
      <c r="C28" s="200">
        <v>50</v>
      </c>
      <c r="D28" s="201">
        <f t="shared" ref="D28:D30" si="4">B28/C28</f>
        <v>0</v>
      </c>
      <c r="E28" s="195"/>
      <c r="F28" s="88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</row>
    <row r="29" spans="1:25" x14ac:dyDescent="0.3">
      <c r="A29" s="187" t="s">
        <v>5</v>
      </c>
      <c r="B29" s="299"/>
      <c r="C29" s="202">
        <v>50</v>
      </c>
      <c r="D29" s="203">
        <f t="shared" si="4"/>
        <v>0</v>
      </c>
      <c r="E29" s="193" t="s">
        <v>14</v>
      </c>
      <c r="F29" s="280" t="s">
        <v>50</v>
      </c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</row>
    <row r="30" spans="1:25" ht="15" thickBot="1" x14ac:dyDescent="0.35">
      <c r="A30" s="188" t="s">
        <v>8</v>
      </c>
      <c r="B30" s="204">
        <f>SUM(B27:B29)</f>
        <v>0</v>
      </c>
      <c r="C30" s="205">
        <v>100</v>
      </c>
      <c r="D30" s="207">
        <f t="shared" si="4"/>
        <v>0</v>
      </c>
      <c r="E30" s="206">
        <f>Q9</f>
        <v>1</v>
      </c>
      <c r="F30" s="276">
        <f>IF($E$30 &gt;1, 7, 0)</f>
        <v>0</v>
      </c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</row>
    <row r="31" spans="1:25" x14ac:dyDescent="0.3">
      <c r="F31" s="88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</row>
    <row r="32" spans="1:25" ht="15" thickBot="1" x14ac:dyDescent="0.35">
      <c r="F32" s="88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</row>
    <row r="33" spans="1:25" ht="15" thickBot="1" x14ac:dyDescent="0.35">
      <c r="A33" s="222" t="s">
        <v>41</v>
      </c>
      <c r="B33" s="223" t="s">
        <v>6</v>
      </c>
      <c r="C33" s="224" t="s">
        <v>7</v>
      </c>
      <c r="D33" s="225" t="s">
        <v>13</v>
      </c>
      <c r="F33" s="88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</row>
    <row r="34" spans="1:25" x14ac:dyDescent="0.3">
      <c r="A34" s="226" t="s">
        <v>5</v>
      </c>
      <c r="B34" s="228"/>
      <c r="C34" s="229">
        <v>40</v>
      </c>
      <c r="D34" s="230">
        <f>B34/C34</f>
        <v>0</v>
      </c>
      <c r="E34" s="231" t="s">
        <v>14</v>
      </c>
      <c r="F34" s="280" t="s">
        <v>50</v>
      </c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</row>
    <row r="35" spans="1:25" ht="15" thickBot="1" x14ac:dyDescent="0.35">
      <c r="A35" s="227" t="s">
        <v>8</v>
      </c>
      <c r="B35" s="232">
        <f>B34</f>
        <v>0</v>
      </c>
      <c r="C35" s="233">
        <v>50</v>
      </c>
      <c r="D35" s="234">
        <f>B35/C35</f>
        <v>0</v>
      </c>
      <c r="E35" s="235">
        <f>R9</f>
        <v>1</v>
      </c>
      <c r="F35" s="276">
        <f>IF($E$35 &gt;1, 2, 0)</f>
        <v>0</v>
      </c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</row>
    <row r="36" spans="1:25" x14ac:dyDescent="0.3"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</row>
    <row r="37" spans="1:25" x14ac:dyDescent="0.3"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</row>
    <row r="38" spans="1:25" x14ac:dyDescent="0.3"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</row>
    <row r="39" spans="1:25" x14ac:dyDescent="0.3"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</row>
  </sheetData>
  <mergeCells count="2">
    <mergeCell ref="E21:E22"/>
    <mergeCell ref="G21:G22"/>
  </mergeCells>
  <conditionalFormatting sqref="D2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2:D35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{EEF1AEBF-34A8-439D-BF23-CA91530FCC6D}</x14:id>
        </ext>
      </extLst>
    </cfRule>
  </conditionalFormatting>
  <conditionalFormatting sqref="D6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7">
    <cfRule type="iconSet" priority="5">
      <iconSet iconSet="3Symbols2">
        <cfvo type="percent" val="0"/>
        <cfvo type="num" val="0.5"/>
        <cfvo type="num" val="0.5"/>
      </iconSet>
    </cfRule>
  </conditionalFormatting>
  <conditionalFormatting sqref="D12:D13">
    <cfRule type="iconSet" priority="17">
      <iconSet iconSet="3Symbols2">
        <cfvo type="percent" val="0"/>
        <cfvo type="num" val="0.25"/>
        <cfvo type="num" val="0.25"/>
      </iconSe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23">
    <cfRule type="iconSet" priority="11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1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35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E21:E22">
    <cfRule type="iconSet" priority="2">
      <iconSet iconSet="3Symbols2">
        <cfvo type="percent" val="0"/>
        <cfvo type="num" val="0.34599999999999997"/>
        <cfvo type="num" val="0.3459999999999999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1AEBF-34A8-439D-BF23-CA91530FCC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iconSet" priority="16" id="{0AD91399-3209-483E-B706-8D9A04F2B2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E35 E7 E14 E24 E30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038-55AB-4B0D-A728-14CD33811049}">
  <dimension ref="A1:W35"/>
  <sheetViews>
    <sheetView zoomScale="120" zoomScaleNormal="120" workbookViewId="0">
      <selection activeCell="B17" sqref="B17"/>
    </sheetView>
  </sheetViews>
  <sheetFormatPr defaultColWidth="8.88671875" defaultRowHeight="14.4" x14ac:dyDescent="0.3"/>
  <cols>
    <col min="1" max="1" width="10.109375" style="43" customWidth="1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3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H1" s="195"/>
      <c r="I1" s="195"/>
      <c r="J1" s="254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</row>
    <row r="2" spans="1:23" ht="15" thickBot="1" x14ac:dyDescent="0.35">
      <c r="A2" s="161" t="s">
        <v>1</v>
      </c>
      <c r="B2" s="152">
        <f>'SEM2'!B2</f>
        <v>0</v>
      </c>
      <c r="C2" s="153">
        <v>10</v>
      </c>
      <c r="D2" s="154">
        <f>B2/C2</f>
        <v>0</v>
      </c>
      <c r="F2" s="277">
        <f>SUM(F6:F23)</f>
        <v>0</v>
      </c>
      <c r="H2" s="195"/>
      <c r="I2" s="195"/>
      <c r="J2" s="254"/>
      <c r="K2" s="254"/>
      <c r="L2" s="138" t="s">
        <v>15</v>
      </c>
      <c r="M2" s="138" t="s">
        <v>44</v>
      </c>
      <c r="N2" s="138" t="s">
        <v>36</v>
      </c>
      <c r="O2" s="138" t="s">
        <v>37</v>
      </c>
      <c r="P2" s="138" t="s">
        <v>45</v>
      </c>
      <c r="Q2" s="138" t="s">
        <v>41</v>
      </c>
      <c r="R2" s="195"/>
      <c r="S2" s="195"/>
      <c r="T2" s="195"/>
      <c r="U2" s="195"/>
      <c r="V2" s="195"/>
      <c r="W2" s="195"/>
    </row>
    <row r="3" spans="1:23" x14ac:dyDescent="0.3">
      <c r="A3" s="161" t="s">
        <v>39</v>
      </c>
      <c r="B3" s="164">
        <f>'SEM2'!B3</f>
        <v>0</v>
      </c>
      <c r="C3" s="165">
        <v>10</v>
      </c>
      <c r="D3" s="257">
        <f>B3/C3</f>
        <v>0</v>
      </c>
      <c r="F3" s="195"/>
      <c r="H3" s="195"/>
      <c r="I3" s="195"/>
      <c r="J3" s="254"/>
      <c r="K3" s="254"/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195"/>
      <c r="S3" s="195"/>
      <c r="T3" s="195"/>
      <c r="U3" s="195"/>
      <c r="V3" s="195"/>
      <c r="W3" s="195"/>
    </row>
    <row r="4" spans="1:23" ht="15" thickBot="1" x14ac:dyDescent="0.35">
      <c r="A4" s="161" t="s">
        <v>48</v>
      </c>
      <c r="B4" s="155"/>
      <c r="C4" s="156">
        <v>56</v>
      </c>
      <c r="D4" s="256">
        <f>B4/C4</f>
        <v>0</v>
      </c>
      <c r="F4" s="195"/>
      <c r="H4" s="195"/>
      <c r="I4" s="195"/>
      <c r="J4" s="254"/>
      <c r="K4" s="254"/>
      <c r="L4" s="138">
        <v>2</v>
      </c>
      <c r="M4" s="138">
        <f>IF($B$6 &gt;= 50, 1, 0)</f>
        <v>0</v>
      </c>
      <c r="N4" s="138">
        <f>IF($B$9 &gt;= 50, 1, 0)</f>
        <v>0</v>
      </c>
      <c r="O4" s="138">
        <f>IF($B$18 &gt;= 50, 1, 0)</f>
        <v>0</v>
      </c>
      <c r="P4" s="138">
        <f>IF($B$21 &gt;= 50, 1,)</f>
        <v>0</v>
      </c>
      <c r="Q4" s="138">
        <f>IF($B$24 &gt;= 25.5, 1,)</f>
        <v>0</v>
      </c>
      <c r="R4" s="195"/>
      <c r="S4" s="195"/>
      <c r="T4" s="195"/>
      <c r="U4" s="195"/>
      <c r="V4" s="195"/>
      <c r="W4" s="195"/>
    </row>
    <row r="5" spans="1:23" x14ac:dyDescent="0.3">
      <c r="A5" s="162" t="s">
        <v>49</v>
      </c>
      <c r="B5" s="255"/>
      <c r="C5" s="165">
        <v>24</v>
      </c>
      <c r="D5" s="210">
        <f t="shared" ref="D5" si="0">B5/C5</f>
        <v>0</v>
      </c>
      <c r="E5" s="209" t="s">
        <v>23</v>
      </c>
      <c r="F5" s="280" t="s">
        <v>50</v>
      </c>
      <c r="H5" s="195"/>
      <c r="I5" s="195"/>
      <c r="J5" s="254"/>
      <c r="K5" s="254"/>
      <c r="L5" s="138">
        <v>3</v>
      </c>
      <c r="M5" s="138">
        <f>IF($B$6 &gt;= 60, 1, 0)</f>
        <v>0</v>
      </c>
      <c r="N5" s="138">
        <f>IF($B$9 &gt;= 65, 1, 0)</f>
        <v>0</v>
      </c>
      <c r="O5" s="138">
        <f>IF($B$18 &gt;= 62, 1, )</f>
        <v>0</v>
      </c>
      <c r="P5" s="138">
        <f>IF($B$21 &gt;= 58, 1, )</f>
        <v>0</v>
      </c>
      <c r="Q5" s="138">
        <f>IF($B$24 &gt;= 30.5, 1,)</f>
        <v>0</v>
      </c>
      <c r="R5" s="195"/>
      <c r="S5" s="195"/>
      <c r="T5" s="195"/>
      <c r="U5" s="195"/>
      <c r="V5" s="195"/>
      <c r="W5" s="195"/>
    </row>
    <row r="6" spans="1:23" ht="15" thickBot="1" x14ac:dyDescent="0.35">
      <c r="A6" s="163" t="s">
        <v>21</v>
      </c>
      <c r="B6" s="159">
        <f>SUM(B2:B5)</f>
        <v>0</v>
      </c>
      <c r="C6" s="160">
        <v>100</v>
      </c>
      <c r="D6" s="211">
        <f>B6/C6</f>
        <v>0</v>
      </c>
      <c r="E6" s="170">
        <f>M8</f>
        <v>1</v>
      </c>
      <c r="F6" s="276">
        <f>IF($E$6 &gt;1, 6, 0)</f>
        <v>0</v>
      </c>
      <c r="H6" s="195"/>
      <c r="I6" s="195"/>
      <c r="J6" s="254"/>
      <c r="K6" s="254"/>
      <c r="L6" s="138">
        <v>4</v>
      </c>
      <c r="M6" s="138">
        <f>IF($B$6 &gt;= 70, 1, 0)</f>
        <v>0</v>
      </c>
      <c r="N6" s="138">
        <f>IF($B$9 &gt;= 80, 1, 0)</f>
        <v>0</v>
      </c>
      <c r="O6" s="138">
        <f>IF($B$18 &gt;= 74, 1, 0)</f>
        <v>0</v>
      </c>
      <c r="P6" s="138">
        <f>IF($B$21 &gt;= 72, 1, )</f>
        <v>0</v>
      </c>
      <c r="Q6" s="138">
        <f>IF($B$24 &gt;= 38.5, 1,)</f>
        <v>0</v>
      </c>
      <c r="R6" s="195"/>
      <c r="S6" s="195"/>
      <c r="T6" s="195"/>
      <c r="U6" s="195"/>
      <c r="V6" s="195"/>
      <c r="W6" s="195"/>
    </row>
    <row r="7" spans="1:23" ht="15" thickBot="1" x14ac:dyDescent="0.35">
      <c r="A7" s="90"/>
      <c r="B7" s="90"/>
      <c r="C7" s="90"/>
      <c r="D7" s="90"/>
      <c r="H7" s="195"/>
      <c r="I7" s="195"/>
      <c r="J7" s="254"/>
      <c r="K7" s="254"/>
      <c r="L7" s="138">
        <v>5</v>
      </c>
      <c r="M7" s="138">
        <f>IF($B$6 &gt;= 85, 1, 0)</f>
        <v>0</v>
      </c>
      <c r="N7" s="138">
        <f>IF($B$9 &gt;= 90, 1, 0)</f>
        <v>0</v>
      </c>
      <c r="O7" s="138">
        <f>IF($B$18 &gt;= 86, 1, 0)</f>
        <v>0</v>
      </c>
      <c r="P7" s="138">
        <f>IF($B$21 &gt;= 86, 1, 0)</f>
        <v>0</v>
      </c>
      <c r="Q7" s="138">
        <f>IF($B$24 &gt;= 45.5, 1,)</f>
        <v>0</v>
      </c>
      <c r="R7" s="195"/>
      <c r="S7" s="195"/>
      <c r="T7" s="195"/>
      <c r="U7" s="195"/>
      <c r="V7" s="195"/>
      <c r="W7" s="195"/>
    </row>
    <row r="8" spans="1:23" ht="15" thickBot="1" x14ac:dyDescent="0.35">
      <c r="A8" s="39" t="s">
        <v>36</v>
      </c>
      <c r="B8" s="40" t="s">
        <v>6</v>
      </c>
      <c r="C8" s="41" t="s">
        <v>7</v>
      </c>
      <c r="D8" s="42" t="s">
        <v>13</v>
      </c>
      <c r="E8" s="107" t="s">
        <v>23</v>
      </c>
      <c r="F8" s="280" t="s">
        <v>50</v>
      </c>
      <c r="H8" s="195"/>
      <c r="I8" s="195"/>
      <c r="J8" s="254"/>
      <c r="K8" s="254"/>
      <c r="L8" s="138" t="s">
        <v>17</v>
      </c>
      <c r="M8" s="138">
        <f>SUM(M3:M7)</f>
        <v>1</v>
      </c>
      <c r="N8" s="138">
        <f t="shared" ref="N8:P8" si="1">SUM(N3:N7)</f>
        <v>1</v>
      </c>
      <c r="O8" s="138">
        <f t="shared" si="1"/>
        <v>1</v>
      </c>
      <c r="P8" s="138">
        <f t="shared" si="1"/>
        <v>1</v>
      </c>
      <c r="Q8" s="138">
        <f>SUM(Q3:Q7)</f>
        <v>1</v>
      </c>
      <c r="R8" s="195"/>
      <c r="S8" s="195"/>
      <c r="T8" s="195"/>
      <c r="U8" s="195"/>
      <c r="V8" s="195"/>
      <c r="W8" s="195"/>
    </row>
    <row r="9" spans="1:23" ht="15" thickBot="1" x14ac:dyDescent="0.35">
      <c r="A9" s="38" t="s">
        <v>18</v>
      </c>
      <c r="B9" s="258"/>
      <c r="C9" s="259">
        <v>100</v>
      </c>
      <c r="D9" s="261">
        <f>B9/C9</f>
        <v>0</v>
      </c>
      <c r="E9" s="260">
        <f>N8</f>
        <v>1</v>
      </c>
      <c r="F9" s="276">
        <f>IF($E$9 &gt;1, 8, 0)</f>
        <v>0</v>
      </c>
      <c r="H9" s="195"/>
      <c r="I9" s="195"/>
      <c r="J9" s="254"/>
      <c r="K9" s="254"/>
      <c r="L9" s="254"/>
      <c r="M9" s="254"/>
      <c r="N9" s="254"/>
      <c r="O9" s="254"/>
      <c r="P9" s="254"/>
      <c r="Q9" s="254"/>
      <c r="R9" s="195"/>
      <c r="S9" s="195"/>
      <c r="T9" s="195"/>
      <c r="U9" s="195"/>
      <c r="V9" s="195"/>
      <c r="W9" s="195"/>
    </row>
    <row r="10" spans="1:23" ht="15" thickBot="1" x14ac:dyDescent="0.35">
      <c r="A10" s="90"/>
      <c r="B10" s="90"/>
      <c r="C10" s="90"/>
      <c r="D10" s="90"/>
      <c r="F10" s="88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</row>
    <row r="11" spans="1:23" ht="15" thickBot="1" x14ac:dyDescent="0.35">
      <c r="A11" s="4" t="s">
        <v>37</v>
      </c>
      <c r="B11" s="5" t="s">
        <v>6</v>
      </c>
      <c r="C11" s="6" t="s">
        <v>20</v>
      </c>
      <c r="D11" s="7" t="s">
        <v>13</v>
      </c>
      <c r="F11" s="88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</row>
    <row r="12" spans="1:23" ht="15" thickBot="1" x14ac:dyDescent="0.35">
      <c r="A12" s="265" t="s">
        <v>1</v>
      </c>
      <c r="B12" s="246">
        <f>'SEM2'!B17</f>
        <v>0</v>
      </c>
      <c r="C12" s="244">
        <v>6</v>
      </c>
      <c r="D12" s="266">
        <f>B12/C12</f>
        <v>0</v>
      </c>
      <c r="F12" s="88"/>
      <c r="H12" s="195"/>
      <c r="I12" s="195"/>
      <c r="J12" s="195"/>
      <c r="K12" s="195"/>
      <c r="L12" s="275"/>
      <c r="M12" s="275"/>
      <c r="N12" s="275"/>
      <c r="O12" s="275"/>
      <c r="P12" s="275"/>
      <c r="Q12" s="208"/>
      <c r="R12" s="195"/>
      <c r="S12" s="195"/>
      <c r="T12" s="195"/>
      <c r="U12" s="195"/>
      <c r="V12" s="195"/>
      <c r="W12" s="195"/>
    </row>
    <row r="13" spans="1:23" ht="15" thickBot="1" x14ac:dyDescent="0.35">
      <c r="A13" s="265" t="s">
        <v>39</v>
      </c>
      <c r="B13" s="272">
        <f>'SEM2'!B18</f>
        <v>0</v>
      </c>
      <c r="C13" s="269">
        <v>5</v>
      </c>
      <c r="D13" s="270">
        <f>B13/C13</f>
        <v>0</v>
      </c>
      <c r="H13" s="195"/>
      <c r="I13" s="195"/>
      <c r="J13" s="195"/>
      <c r="K13" s="195"/>
      <c r="L13" s="275"/>
      <c r="M13" s="275"/>
      <c r="N13" s="275"/>
      <c r="O13" s="275"/>
      <c r="P13" s="275"/>
      <c r="Q13" s="208"/>
      <c r="R13" s="195"/>
      <c r="S13" s="195"/>
      <c r="T13" s="195"/>
      <c r="U13" s="195"/>
      <c r="V13" s="195"/>
      <c r="W13" s="195"/>
    </row>
    <row r="14" spans="1:23" ht="15" thickBot="1" x14ac:dyDescent="0.35">
      <c r="A14" s="265" t="s">
        <v>3</v>
      </c>
      <c r="B14" s="262">
        <f>'SEM2'!B19</f>
        <v>0</v>
      </c>
      <c r="C14" s="268">
        <v>9</v>
      </c>
      <c r="D14" s="267">
        <f>B14/C14</f>
        <v>0</v>
      </c>
      <c r="H14" s="195"/>
      <c r="I14" s="195"/>
      <c r="J14" s="195"/>
      <c r="K14" s="195"/>
      <c r="L14" s="275"/>
      <c r="M14" s="275"/>
      <c r="N14" s="275"/>
      <c r="O14" s="275"/>
      <c r="P14" s="275"/>
      <c r="Q14" s="208"/>
      <c r="R14" s="195"/>
      <c r="S14" s="195"/>
      <c r="T14" s="195"/>
      <c r="U14" s="195"/>
      <c r="V14" s="195"/>
      <c r="W14" s="195"/>
    </row>
    <row r="15" spans="1:23" ht="15" thickBot="1" x14ac:dyDescent="0.35">
      <c r="A15" s="265" t="s">
        <v>40</v>
      </c>
      <c r="B15" s="272">
        <f>'SEM2'!B20</f>
        <v>0</v>
      </c>
      <c r="C15" s="269">
        <v>4</v>
      </c>
      <c r="D15" s="271">
        <f>B15/C15</f>
        <v>0</v>
      </c>
      <c r="F15" s="88"/>
      <c r="H15" s="195"/>
      <c r="I15" s="195"/>
      <c r="J15" s="195"/>
      <c r="K15" s="195"/>
      <c r="L15" s="275"/>
      <c r="M15" s="275"/>
      <c r="N15" s="275"/>
      <c r="O15" s="275"/>
      <c r="P15" s="275"/>
      <c r="Q15" s="208"/>
      <c r="R15" s="195"/>
      <c r="S15" s="195"/>
      <c r="T15" s="195"/>
      <c r="U15" s="195"/>
      <c r="V15" s="195"/>
      <c r="W15" s="195"/>
    </row>
    <row r="16" spans="1:23" ht="15" thickBot="1" x14ac:dyDescent="0.35">
      <c r="A16" s="240" t="s">
        <v>48</v>
      </c>
      <c r="B16" s="262"/>
      <c r="C16" s="263">
        <v>52</v>
      </c>
      <c r="D16" s="264">
        <f t="shared" ref="D16" si="2">B16/C16</f>
        <v>0</v>
      </c>
      <c r="F16" s="88"/>
      <c r="H16" s="195"/>
      <c r="I16" s="195"/>
      <c r="J16" s="195"/>
      <c r="K16" s="195"/>
      <c r="L16" s="275"/>
      <c r="M16" s="275"/>
      <c r="N16" s="275"/>
      <c r="O16" s="275"/>
      <c r="P16" s="275"/>
      <c r="Q16" s="208"/>
      <c r="R16" s="195"/>
      <c r="S16" s="195"/>
      <c r="T16" s="195"/>
      <c r="U16" s="195"/>
      <c r="V16" s="195"/>
      <c r="W16" s="195"/>
    </row>
    <row r="17" spans="1:23" ht="15" thickBot="1" x14ac:dyDescent="0.35">
      <c r="A17" s="95" t="s">
        <v>49</v>
      </c>
      <c r="B17" s="302">
        <f>C17*(B16/C16)</f>
        <v>0</v>
      </c>
      <c r="C17" s="51">
        <v>24</v>
      </c>
      <c r="D17" s="243">
        <f t="shared" ref="D17" si="3">B17/C17</f>
        <v>0</v>
      </c>
      <c r="E17" s="82" t="s">
        <v>23</v>
      </c>
      <c r="F17" s="280" t="s">
        <v>50</v>
      </c>
      <c r="H17" s="195"/>
      <c r="I17" s="195"/>
      <c r="J17" s="195"/>
      <c r="K17" s="195"/>
      <c r="L17" s="275"/>
      <c r="M17" s="275"/>
      <c r="N17" s="275"/>
      <c r="O17" s="275"/>
      <c r="P17" s="275"/>
      <c r="Q17" s="208"/>
      <c r="R17" s="195"/>
      <c r="S17" s="195"/>
      <c r="T17" s="195"/>
      <c r="U17" s="195"/>
      <c r="V17" s="195"/>
      <c r="W17" s="195"/>
    </row>
    <row r="18" spans="1:23" ht="15" thickBot="1" x14ac:dyDescent="0.35">
      <c r="A18" s="241" t="s">
        <v>21</v>
      </c>
      <c r="B18" s="247">
        <f>SUM(B12:B17)</f>
        <v>0</v>
      </c>
      <c r="C18" s="245">
        <v>100</v>
      </c>
      <c r="D18" s="242">
        <f>B18/C18</f>
        <v>0</v>
      </c>
      <c r="E18" s="109">
        <f>O8</f>
        <v>1</v>
      </c>
      <c r="F18" s="276">
        <f>IF($E$18 &gt;1, 7, 0)</f>
        <v>0</v>
      </c>
      <c r="H18" s="195"/>
      <c r="I18" s="195"/>
      <c r="J18" s="195"/>
      <c r="K18" s="195"/>
      <c r="L18" s="275"/>
      <c r="M18" s="275"/>
      <c r="N18" s="275"/>
      <c r="O18" s="275"/>
      <c r="P18" s="275"/>
      <c r="Q18" s="208"/>
      <c r="R18" s="195"/>
      <c r="S18" s="195"/>
      <c r="T18" s="195"/>
      <c r="U18" s="195"/>
      <c r="V18" s="195"/>
      <c r="W18" s="195"/>
    </row>
    <row r="19" spans="1:23" ht="15" thickBot="1" x14ac:dyDescent="0.35">
      <c r="A19" s="90"/>
      <c r="B19" s="90"/>
      <c r="C19" s="90"/>
      <c r="D19" s="90"/>
      <c r="F19" s="88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</row>
    <row r="20" spans="1:23" ht="15" thickBot="1" x14ac:dyDescent="0.35">
      <c r="A20" s="212" t="s">
        <v>46</v>
      </c>
      <c r="B20" s="213" t="s">
        <v>6</v>
      </c>
      <c r="C20" s="214" t="s">
        <v>7</v>
      </c>
      <c r="D20" s="215" t="s">
        <v>13</v>
      </c>
      <c r="E20" s="216" t="s">
        <v>23</v>
      </c>
      <c r="F20" s="280" t="s">
        <v>50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</row>
    <row r="21" spans="1:23" ht="15" thickBot="1" x14ac:dyDescent="0.35">
      <c r="A21" s="217" t="s">
        <v>18</v>
      </c>
      <c r="B21" s="218"/>
      <c r="C21" s="219">
        <v>100</v>
      </c>
      <c r="D21" s="220">
        <f>B21/C21</f>
        <v>0</v>
      </c>
      <c r="E21" s="221">
        <f>P8</f>
        <v>1</v>
      </c>
      <c r="F21" s="276">
        <f>IF($E$21 &gt;1, 6, 0)</f>
        <v>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</row>
    <row r="22" spans="1:23" ht="15" thickBot="1" x14ac:dyDescent="0.35">
      <c r="F22" s="88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</row>
    <row r="23" spans="1:23" ht="15" thickBot="1" x14ac:dyDescent="0.35">
      <c r="A23" s="222" t="s">
        <v>47</v>
      </c>
      <c r="B23" s="249" t="s">
        <v>6</v>
      </c>
      <c r="C23" s="250" t="s">
        <v>7</v>
      </c>
      <c r="D23" s="248" t="s">
        <v>13</v>
      </c>
      <c r="E23" s="222" t="s">
        <v>23</v>
      </c>
      <c r="F23" s="280" t="s">
        <v>50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</row>
    <row r="24" spans="1:23" ht="15" thickBot="1" x14ac:dyDescent="0.35">
      <c r="A24" s="274" t="s">
        <v>18</v>
      </c>
      <c r="B24" s="236"/>
      <c r="C24" s="237">
        <v>100</v>
      </c>
      <c r="D24" s="238">
        <f t="shared" ref="D24" si="4">B24/C24</f>
        <v>0</v>
      </c>
      <c r="E24" s="239">
        <f>Q8</f>
        <v>1</v>
      </c>
      <c r="F24" s="276">
        <f>IF($E$24 &gt;1, 37, 0)</f>
        <v>0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</row>
    <row r="25" spans="1:23" x14ac:dyDescent="0.3">
      <c r="A25" s="278"/>
      <c r="B25" s="195"/>
      <c r="C25" s="195"/>
      <c r="D25" s="195"/>
      <c r="E25" s="195"/>
      <c r="F25" s="88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</row>
    <row r="26" spans="1:23" x14ac:dyDescent="0.3">
      <c r="F26" s="88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</row>
    <row r="27" spans="1:23" x14ac:dyDescent="0.3">
      <c r="F27" s="88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spans="1:23" x14ac:dyDescent="0.3">
      <c r="F28" s="88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3" x14ac:dyDescent="0.3"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</row>
    <row r="30" spans="1:23" x14ac:dyDescent="0.3"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</row>
    <row r="31" spans="1:23" x14ac:dyDescent="0.3">
      <c r="F31" s="88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</row>
    <row r="32" spans="1:23" x14ac:dyDescent="0.3">
      <c r="F32" s="88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</row>
    <row r="33" spans="6:21" x14ac:dyDescent="0.3">
      <c r="F33" s="88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</row>
    <row r="34" spans="6:21" x14ac:dyDescent="0.3">
      <c r="F34" s="88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</row>
    <row r="35" spans="6:21" x14ac:dyDescent="0.3">
      <c r="F35" s="88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</row>
  </sheetData>
  <conditionalFormatting sqref="D2">
    <cfRule type="iconSet" priority="10">
      <iconSet iconSet="3Symbols2">
        <cfvo type="percent" val="0"/>
        <cfvo type="num" val="0.05"/>
        <cfvo type="num" val="0.05"/>
      </iconSet>
    </cfRule>
  </conditionalFormatting>
  <conditionalFormatting sqref="D2:D2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{AD881D0A-C5B6-4073-8975-86106FAA753E}</x14:id>
        </ext>
      </extLst>
    </cfRule>
  </conditionalFormatting>
  <conditionalFormatting sqref="D5">
    <cfRule type="iconSet" priority="23">
      <iconSet iconSet="3Symbols2">
        <cfvo type="percent" val="0"/>
        <cfvo type="num" val="0.33"/>
        <cfvo type="num" val="0.33"/>
      </iconSet>
    </cfRule>
  </conditionalFormatting>
  <conditionalFormatting sqref="D6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D9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7">
      <iconSet iconSet="3Symbols2">
        <cfvo type="percent" val="0"/>
        <cfvo type="num" val="0.34599999999999997"/>
        <cfvo type="num" val="0.34599999999999997"/>
      </iconSet>
    </cfRule>
  </conditionalFormatting>
  <conditionalFormatting sqref="D17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29">
      <iconSet iconSet="3Symbols2">
        <cfvo type="percent" val="0"/>
        <cfvo type="num" val="0.255"/>
        <cfvo type="num" val="0.25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81D0A-C5B6-4073-8975-86106FAA75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iconSet" priority="25" id="{05BB4F28-4A0E-4EE5-8383-DA6B67924B5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E9 E6 E18 E21 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ECTS</vt:lpstr>
      <vt:lpstr>SEM1</vt:lpstr>
      <vt:lpstr>ZIR</vt:lpstr>
      <vt:lpstr>SEM2</vt:lpstr>
      <vt:lpstr>LJIR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 tojcic</dc:creator>
  <cp:lastModifiedBy>Antea Parat</cp:lastModifiedBy>
  <dcterms:created xsi:type="dcterms:W3CDTF">2015-06-05T18:17:20Z</dcterms:created>
  <dcterms:modified xsi:type="dcterms:W3CDTF">2024-06-28T15:35:56Z</dcterms:modified>
</cp:coreProperties>
</file>