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ferhr-my.sharepoint.com/personal/ap55849_fer_hr/Documents/Dokumenti Laptop/Academic_Weapon/"/>
    </mc:Choice>
  </mc:AlternateContent>
  <xr:revisionPtr revIDLastSave="1756" documentId="8_{37AD6AAF-48ED-4C7E-AA93-6B557C5A0206}" xr6:coauthVersionLast="47" xr6:coauthVersionMax="47" xr10:uidLastSave="{448BB353-C3F9-4924-AA66-2363E07B73E0}"/>
  <bookViews>
    <workbookView xWindow="29760" yWindow="1035" windowWidth="21600" windowHeight="11775" xr2:uid="{00000000-000D-0000-FFFF-FFFF00000000}"/>
  </bookViews>
  <sheets>
    <sheet name="ECTS" sheetId="5" r:id="rId1"/>
    <sheet name="SEM1" sheetId="1" r:id="rId2"/>
    <sheet name="SEM1_rokovi" sheetId="2" r:id="rId3"/>
    <sheet name="SEM2" sheetId="3" r:id="rId4"/>
    <sheet name="SEM2_rokovi" sheetId="4" r:id="rId5"/>
    <sheet name="SEM3_E" sheetId="7" r:id="rId6"/>
    <sheet name="SEM3_R" sheetId="8" r:id="rId7"/>
    <sheet name="SEM3_rokovi" sheetId="9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27" i="7"/>
  <c r="B28" i="7"/>
  <c r="B5" i="7"/>
  <c r="J6" i="7" s="1"/>
  <c r="D16" i="1"/>
  <c r="B25" i="9"/>
  <c r="B10" i="9"/>
  <c r="D10" i="9" s="1"/>
  <c r="J34" i="9"/>
  <c r="J33" i="9"/>
  <c r="J37" i="9" s="1"/>
  <c r="L37" i="9" s="1"/>
  <c r="J22" i="9"/>
  <c r="J21" i="9"/>
  <c r="L21" i="9" s="1"/>
  <c r="J15" i="9"/>
  <c r="L15" i="9" s="1"/>
  <c r="J8" i="9"/>
  <c r="J11" i="9" s="1"/>
  <c r="J2" i="9"/>
  <c r="B37" i="9"/>
  <c r="X4" i="9" s="1"/>
  <c r="B36" i="9"/>
  <c r="D36" i="9" s="1"/>
  <c r="B29" i="9"/>
  <c r="W6" i="9" s="1"/>
  <c r="B18" i="9"/>
  <c r="B17" i="9"/>
  <c r="B11" i="9"/>
  <c r="D11" i="9" s="1"/>
  <c r="B9" i="9"/>
  <c r="D9" i="9" s="1"/>
  <c r="B2" i="9"/>
  <c r="L18" i="5"/>
  <c r="K18" i="5"/>
  <c r="M17" i="5"/>
  <c r="F18" i="5"/>
  <c r="C18" i="5"/>
  <c r="B18" i="5"/>
  <c r="X16" i="9"/>
  <c r="X15" i="9"/>
  <c r="X17" i="9" s="1"/>
  <c r="X14" i="9"/>
  <c r="X13" i="9"/>
  <c r="N24" i="9"/>
  <c r="L16" i="9"/>
  <c r="K17" i="9"/>
  <c r="E40" i="9"/>
  <c r="E20" i="9"/>
  <c r="E13" i="9"/>
  <c r="Y7" i="9"/>
  <c r="Y6" i="9"/>
  <c r="V6" i="9"/>
  <c r="U6" i="9"/>
  <c r="Y5" i="9"/>
  <c r="W5" i="9"/>
  <c r="V5" i="9"/>
  <c r="U5" i="9"/>
  <c r="Y4" i="9"/>
  <c r="V4" i="9"/>
  <c r="U4" i="9"/>
  <c r="Y3" i="9"/>
  <c r="V3" i="9"/>
  <c r="V7" i="9" s="1"/>
  <c r="M24" i="9" s="1"/>
  <c r="U3" i="9"/>
  <c r="U7" i="9" s="1"/>
  <c r="M17" i="9" s="1"/>
  <c r="B20" i="9"/>
  <c r="D20" i="9" s="1"/>
  <c r="N37" i="9"/>
  <c r="K37" i="9"/>
  <c r="L36" i="9"/>
  <c r="L35" i="9"/>
  <c r="L34" i="9"/>
  <c r="L33" i="9"/>
  <c r="N29" i="9"/>
  <c r="K29" i="9"/>
  <c r="J29" i="9"/>
  <c r="L29" i="9" s="1"/>
  <c r="L28" i="9"/>
  <c r="L23" i="9"/>
  <c r="L22" i="9"/>
  <c r="N17" i="9"/>
  <c r="K11" i="9"/>
  <c r="L10" i="9"/>
  <c r="L9" i="9"/>
  <c r="L8" i="9"/>
  <c r="K4" i="9"/>
  <c r="J4" i="9"/>
  <c r="L4" i="9" s="1"/>
  <c r="L3" i="9"/>
  <c r="L2" i="9"/>
  <c r="F40" i="9"/>
  <c r="C40" i="9"/>
  <c r="D39" i="9"/>
  <c r="D38" i="9"/>
  <c r="D37" i="9"/>
  <c r="C32" i="9"/>
  <c r="B32" i="9"/>
  <c r="D31" i="9"/>
  <c r="D30" i="9"/>
  <c r="D24" i="9"/>
  <c r="F20" i="9"/>
  <c r="D19" i="9"/>
  <c r="D18" i="9"/>
  <c r="D17" i="9"/>
  <c r="F13" i="9"/>
  <c r="C13" i="9"/>
  <c r="D12" i="9"/>
  <c r="D4" i="9"/>
  <c r="D3" i="9"/>
  <c r="B5" i="9"/>
  <c r="D5" i="9" s="1"/>
  <c r="F33" i="8"/>
  <c r="C12" i="8"/>
  <c r="B12" i="8"/>
  <c r="D12" i="8" s="1"/>
  <c r="D10" i="8"/>
  <c r="D11" i="8"/>
  <c r="D9" i="8"/>
  <c r="C41" i="8"/>
  <c r="B41" i="8"/>
  <c r="D41" i="8" s="1"/>
  <c r="D40" i="8"/>
  <c r="D39" i="8"/>
  <c r="D38" i="8"/>
  <c r="D37" i="8"/>
  <c r="C33" i="8"/>
  <c r="B33" i="8"/>
  <c r="O6" i="8" s="1"/>
  <c r="D32" i="8"/>
  <c r="D31" i="8"/>
  <c r="D24" i="8"/>
  <c r="B27" i="8"/>
  <c r="D27" i="8" s="1"/>
  <c r="D26" i="8"/>
  <c r="D25" i="8"/>
  <c r="D23" i="8"/>
  <c r="D16" i="8"/>
  <c r="D17" i="8"/>
  <c r="D18" i="8"/>
  <c r="C19" i="8"/>
  <c r="B19" i="8"/>
  <c r="D19" i="8" s="1"/>
  <c r="D3" i="8"/>
  <c r="D4" i="8"/>
  <c r="D2" i="8"/>
  <c r="C5" i="8"/>
  <c r="B5" i="8"/>
  <c r="K6" i="8" s="1"/>
  <c r="D44" i="7"/>
  <c r="D42" i="7"/>
  <c r="D43" i="7"/>
  <c r="D41" i="7"/>
  <c r="C45" i="7"/>
  <c r="B45" i="7"/>
  <c r="D45" i="7" s="1"/>
  <c r="D34" i="7"/>
  <c r="D35" i="7"/>
  <c r="D36" i="7"/>
  <c r="E34" i="7"/>
  <c r="D33" i="7"/>
  <c r="B37" i="7"/>
  <c r="C37" i="7"/>
  <c r="D26" i="7"/>
  <c r="B29" i="7"/>
  <c r="D29" i="7" s="1"/>
  <c r="D28" i="7"/>
  <c r="D27" i="7"/>
  <c r="D21" i="7"/>
  <c r="B22" i="7"/>
  <c r="L6" i="7" s="1"/>
  <c r="D20" i="7"/>
  <c r="D19" i="7"/>
  <c r="D18" i="7"/>
  <c r="D13" i="7"/>
  <c r="E12" i="7"/>
  <c r="D10" i="7"/>
  <c r="D11" i="7"/>
  <c r="D12" i="7"/>
  <c r="D9" i="7"/>
  <c r="C14" i="7"/>
  <c r="D4" i="7"/>
  <c r="D3" i="7"/>
  <c r="D2" i="7"/>
  <c r="B2" i="2"/>
  <c r="D17" i="4"/>
  <c r="B3" i="4"/>
  <c r="B14" i="3"/>
  <c r="B35" i="3"/>
  <c r="B13" i="4"/>
  <c r="D13" i="4" s="1"/>
  <c r="D19" i="3"/>
  <c r="B7" i="3"/>
  <c r="N8" i="3" s="1"/>
  <c r="B7" i="1"/>
  <c r="N6" i="1" s="1"/>
  <c r="B14" i="4"/>
  <c r="F24" i="4"/>
  <c r="F9" i="4"/>
  <c r="F22" i="2"/>
  <c r="E12" i="5"/>
  <c r="B12" i="5"/>
  <c r="E7" i="5"/>
  <c r="B12" i="4"/>
  <c r="D12" i="4" s="1"/>
  <c r="D16" i="4"/>
  <c r="B2" i="4"/>
  <c r="D2" i="4" s="1"/>
  <c r="D4" i="4"/>
  <c r="D5" i="4"/>
  <c r="B30" i="3"/>
  <c r="Q8" i="3" s="1"/>
  <c r="E21" i="3"/>
  <c r="D6" i="3"/>
  <c r="Q7" i="4"/>
  <c r="Q6" i="4"/>
  <c r="Q5" i="4"/>
  <c r="Q4" i="4"/>
  <c r="P7" i="4"/>
  <c r="P6" i="4"/>
  <c r="P5" i="4"/>
  <c r="P4" i="4"/>
  <c r="N5" i="4"/>
  <c r="D24" i="4"/>
  <c r="D21" i="4"/>
  <c r="D17" i="3"/>
  <c r="D20" i="3"/>
  <c r="D21" i="3"/>
  <c r="D22" i="3"/>
  <c r="D34" i="3"/>
  <c r="D29" i="3"/>
  <c r="D28" i="3"/>
  <c r="D27" i="3"/>
  <c r="D23" i="3"/>
  <c r="D13" i="3"/>
  <c r="D12" i="3"/>
  <c r="D5" i="3"/>
  <c r="D4" i="3"/>
  <c r="D3" i="3"/>
  <c r="D6" i="1"/>
  <c r="B13" i="1"/>
  <c r="D13" i="1" s="1"/>
  <c r="D35" i="1"/>
  <c r="D4" i="1"/>
  <c r="B20" i="2"/>
  <c r="D20" i="2" s="1"/>
  <c r="D19" i="2"/>
  <c r="E22" i="2"/>
  <c r="B7" i="2"/>
  <c r="B9" i="2" s="1"/>
  <c r="B18" i="2"/>
  <c r="B22" i="2" s="1"/>
  <c r="D22" i="2" s="1"/>
  <c r="D21" i="2"/>
  <c r="D34" i="1"/>
  <c r="D30" i="1"/>
  <c r="D31" i="1"/>
  <c r="D32" i="1"/>
  <c r="D33" i="1"/>
  <c r="D29" i="1"/>
  <c r="P8" i="2"/>
  <c r="P7" i="2"/>
  <c r="P6" i="2"/>
  <c r="P5" i="2"/>
  <c r="O8" i="2"/>
  <c r="O7" i="2"/>
  <c r="O6" i="2"/>
  <c r="O5" i="2"/>
  <c r="B4" i="2"/>
  <c r="M7" i="2" s="1"/>
  <c r="D2" i="2"/>
  <c r="D15" i="2"/>
  <c r="D12" i="2"/>
  <c r="D8" i="2"/>
  <c r="D3" i="2"/>
  <c r="Q5" i="2"/>
  <c r="Q8" i="2"/>
  <c r="Q7" i="2"/>
  <c r="Q6" i="2"/>
  <c r="Q9" i="2"/>
  <c r="D23" i="1"/>
  <c r="D24" i="1"/>
  <c r="D22" i="1"/>
  <c r="D17" i="1"/>
  <c r="D18" i="1"/>
  <c r="D11" i="1"/>
  <c r="D12" i="1"/>
  <c r="D10" i="1"/>
  <c r="D3" i="1"/>
  <c r="D5" i="1"/>
  <c r="D2" i="1"/>
  <c r="B19" i="1"/>
  <c r="D19" i="1" s="1"/>
  <c r="B25" i="1"/>
  <c r="D25" i="1" s="1"/>
  <c r="P5" i="8" l="1"/>
  <c r="P6" i="8"/>
  <c r="P4" i="8"/>
  <c r="P3" i="8"/>
  <c r="P7" i="8" s="1"/>
  <c r="E41" i="8" s="1"/>
  <c r="F41" i="8" s="1"/>
  <c r="M3" i="8"/>
  <c r="M5" i="8"/>
  <c r="M6" i="8"/>
  <c r="M4" i="8"/>
  <c r="J17" i="9"/>
  <c r="L17" i="9" s="1"/>
  <c r="L11" i="9"/>
  <c r="U16" i="9"/>
  <c r="U15" i="9"/>
  <c r="D29" i="9"/>
  <c r="W4" i="9"/>
  <c r="T3" i="9"/>
  <c r="T6" i="9"/>
  <c r="T5" i="9"/>
  <c r="X6" i="9"/>
  <c r="X3" i="9"/>
  <c r="X7" i="9" s="1"/>
  <c r="X5" i="9"/>
  <c r="B40" i="9"/>
  <c r="D40" i="9" s="1"/>
  <c r="L3" i="8"/>
  <c r="L4" i="8"/>
  <c r="L7" i="8" s="1"/>
  <c r="E12" i="8" s="1"/>
  <c r="L5" i="8"/>
  <c r="L6" i="8"/>
  <c r="U13" i="9"/>
  <c r="U14" i="9"/>
  <c r="N17" i="5"/>
  <c r="Y15" i="9"/>
  <c r="Y13" i="9"/>
  <c r="Y17" i="9" s="1"/>
  <c r="Y16" i="9"/>
  <c r="Y14" i="9"/>
  <c r="J24" i="9"/>
  <c r="W14" i="9" s="1"/>
  <c r="W3" i="9"/>
  <c r="T4" i="9"/>
  <c r="T7" i="9"/>
  <c r="V15" i="9"/>
  <c r="V13" i="9"/>
  <c r="V16" i="9"/>
  <c r="T13" i="9"/>
  <c r="T14" i="9"/>
  <c r="T15" i="9"/>
  <c r="T16" i="9"/>
  <c r="M7" i="8"/>
  <c r="E19" i="8" s="1"/>
  <c r="D32" i="9"/>
  <c r="B13" i="9"/>
  <c r="D2" i="9"/>
  <c r="D13" i="9"/>
  <c r="O3" i="8"/>
  <c r="O4" i="8"/>
  <c r="O5" i="8"/>
  <c r="O7" i="8" s="1"/>
  <c r="E33" i="8" s="1"/>
  <c r="D33" i="8"/>
  <c r="N3" i="8"/>
  <c r="N4" i="8"/>
  <c r="N5" i="8"/>
  <c r="N6" i="8"/>
  <c r="D5" i="8"/>
  <c r="K3" i="8"/>
  <c r="K4" i="8"/>
  <c r="K5" i="8"/>
  <c r="O4" i="7"/>
  <c r="O5" i="7"/>
  <c r="O3" i="7"/>
  <c r="O6" i="7"/>
  <c r="B14" i="7"/>
  <c r="D14" i="7" s="1"/>
  <c r="D37" i="7"/>
  <c r="D5" i="7"/>
  <c r="N3" i="7"/>
  <c r="N4" i="7"/>
  <c r="N5" i="7"/>
  <c r="N6" i="7"/>
  <c r="L3" i="7"/>
  <c r="L4" i="7"/>
  <c r="L5" i="7"/>
  <c r="M3" i="7"/>
  <c r="M4" i="7"/>
  <c r="M5" i="7"/>
  <c r="M6" i="7"/>
  <c r="D22" i="7"/>
  <c r="J3" i="7"/>
  <c r="J4" i="7"/>
  <c r="J5" i="7"/>
  <c r="Q7" i="1"/>
  <c r="Q8" i="1"/>
  <c r="Q5" i="1"/>
  <c r="O7" i="3"/>
  <c r="D10" i="3"/>
  <c r="B24" i="3"/>
  <c r="P7" i="3" s="1"/>
  <c r="B15" i="4"/>
  <c r="D15" i="4" s="1"/>
  <c r="P6" i="1"/>
  <c r="P7" i="1"/>
  <c r="P5" i="1"/>
  <c r="P8" i="1"/>
  <c r="D18" i="2"/>
  <c r="D18" i="3"/>
  <c r="D14" i="4"/>
  <c r="D11" i="3"/>
  <c r="D4" i="2"/>
  <c r="P9" i="2"/>
  <c r="E15" i="2" s="1"/>
  <c r="O9" i="2"/>
  <c r="E12" i="2" s="1"/>
  <c r="Q6" i="1"/>
  <c r="M6" i="2"/>
  <c r="M5" i="2"/>
  <c r="M8" i="2"/>
  <c r="B6" i="4"/>
  <c r="D3" i="4"/>
  <c r="Q8" i="4"/>
  <c r="E24" i="4" s="1"/>
  <c r="N6" i="3"/>
  <c r="D7" i="3"/>
  <c r="N7" i="3"/>
  <c r="D14" i="3"/>
  <c r="O8" i="3"/>
  <c r="O6" i="3"/>
  <c r="N7" i="4"/>
  <c r="N4" i="4"/>
  <c r="N6" i="4"/>
  <c r="P8" i="4"/>
  <c r="E21" i="4" s="1"/>
  <c r="D9" i="4"/>
  <c r="N5" i="3"/>
  <c r="D30" i="3"/>
  <c r="Q7" i="3"/>
  <c r="Q6" i="3"/>
  <c r="O5" i="3"/>
  <c r="Q5" i="3"/>
  <c r="D2" i="3"/>
  <c r="N5" i="1"/>
  <c r="N7" i="2"/>
  <c r="N8" i="2"/>
  <c r="D9" i="2"/>
  <c r="N5" i="2"/>
  <c r="N6" i="2"/>
  <c r="D7" i="2"/>
  <c r="O8" i="1"/>
  <c r="O6" i="1"/>
  <c r="O5" i="1"/>
  <c r="O7" i="1"/>
  <c r="B36" i="1"/>
  <c r="R8" i="1" s="1"/>
  <c r="D7" i="1"/>
  <c r="N7" i="1"/>
  <c r="N8" i="1"/>
  <c r="P9" i="1" l="1"/>
  <c r="E19" i="1" s="1"/>
  <c r="F19" i="1" s="1"/>
  <c r="F19" i="8"/>
  <c r="K17" i="5"/>
  <c r="K16" i="5" s="1"/>
  <c r="V14" i="9"/>
  <c r="W7" i="9"/>
  <c r="M7" i="7"/>
  <c r="E29" i="7" s="1"/>
  <c r="W15" i="9"/>
  <c r="W16" i="9"/>
  <c r="J17" i="5"/>
  <c r="F12" i="8"/>
  <c r="U17" i="9"/>
  <c r="D12" i="5"/>
  <c r="F21" i="4"/>
  <c r="L24" i="9"/>
  <c r="W13" i="9"/>
  <c r="W17" i="9" s="1"/>
  <c r="M37" i="9"/>
  <c r="N18" i="5" s="1"/>
  <c r="N16" i="5" s="1"/>
  <c r="E32" i="9"/>
  <c r="M29" i="9"/>
  <c r="M18" i="5" s="1"/>
  <c r="M16" i="5" s="1"/>
  <c r="E25" i="9"/>
  <c r="M11" i="9"/>
  <c r="E5" i="9"/>
  <c r="M4" i="9"/>
  <c r="V17" i="9"/>
  <c r="T17" i="9"/>
  <c r="K3" i="7"/>
  <c r="K6" i="7"/>
  <c r="K5" i="7"/>
  <c r="K4" i="7"/>
  <c r="N7" i="8"/>
  <c r="E27" i="8" s="1"/>
  <c r="K7" i="8"/>
  <c r="E5" i="8" s="1"/>
  <c r="O7" i="7"/>
  <c r="E45" i="7" s="1"/>
  <c r="L7" i="7"/>
  <c r="E22" i="7" s="1"/>
  <c r="N7" i="7"/>
  <c r="E37" i="7" s="1"/>
  <c r="J7" i="7"/>
  <c r="Q9" i="1"/>
  <c r="E25" i="1" s="1"/>
  <c r="D6" i="5" s="1"/>
  <c r="C6" i="5"/>
  <c r="B18" i="4"/>
  <c r="O6" i="4" s="1"/>
  <c r="P6" i="3"/>
  <c r="D24" i="3"/>
  <c r="P5" i="3"/>
  <c r="P8" i="3"/>
  <c r="F15" i="2"/>
  <c r="D7" i="5"/>
  <c r="F12" i="2"/>
  <c r="C7" i="5"/>
  <c r="M9" i="2"/>
  <c r="E4" i="2" s="1"/>
  <c r="M5" i="4"/>
  <c r="M4" i="4"/>
  <c r="M7" i="4"/>
  <c r="M6" i="4"/>
  <c r="D6" i="4"/>
  <c r="O9" i="3"/>
  <c r="E14" i="3" s="1"/>
  <c r="N8" i="4"/>
  <c r="E9" i="4" s="1"/>
  <c r="N9" i="3"/>
  <c r="E7" i="3" s="1"/>
  <c r="Q9" i="3"/>
  <c r="E30" i="3" s="1"/>
  <c r="F30" i="3" s="1"/>
  <c r="N9" i="1"/>
  <c r="E7" i="1" s="1"/>
  <c r="A6" i="5" s="1"/>
  <c r="O9" i="1"/>
  <c r="E13" i="1" s="1"/>
  <c r="N9" i="2"/>
  <c r="E9" i="2" s="1"/>
  <c r="R7" i="1"/>
  <c r="R5" i="1"/>
  <c r="D36" i="1"/>
  <c r="R6" i="1"/>
  <c r="F37" i="7" l="1"/>
  <c r="E17" i="5"/>
  <c r="F29" i="7"/>
  <c r="D17" i="5"/>
  <c r="C5" i="5"/>
  <c r="L17" i="5"/>
  <c r="L16" i="5" s="1"/>
  <c r="F27" i="8"/>
  <c r="F5" i="8"/>
  <c r="I17" i="5"/>
  <c r="F22" i="7"/>
  <c r="C17" i="5"/>
  <c r="C16" i="5" s="1"/>
  <c r="F45" i="7"/>
  <c r="F17" i="5"/>
  <c r="F16" i="5" s="1"/>
  <c r="F25" i="1"/>
  <c r="F32" i="9"/>
  <c r="E18" i="5"/>
  <c r="E16" i="5" s="1"/>
  <c r="D18" i="5"/>
  <c r="F25" i="9"/>
  <c r="N4" i="9"/>
  <c r="I18" i="5"/>
  <c r="I16" i="5" s="1"/>
  <c r="F5" i="9"/>
  <c r="F2" i="9" s="1"/>
  <c r="A18" i="5"/>
  <c r="J18" i="5"/>
  <c r="J16" i="5" s="1"/>
  <c r="N11" i="9"/>
  <c r="E5" i="7"/>
  <c r="A17" i="5" s="1"/>
  <c r="A16" i="5" s="1"/>
  <c r="K7" i="7"/>
  <c r="E14" i="7" s="1"/>
  <c r="O7" i="4"/>
  <c r="D18" i="4"/>
  <c r="O4" i="4"/>
  <c r="O5" i="4"/>
  <c r="P9" i="3"/>
  <c r="E24" i="3" s="1"/>
  <c r="C11" i="5" s="1"/>
  <c r="M8" i="4"/>
  <c r="E6" i="4" s="1"/>
  <c r="D11" i="5"/>
  <c r="D10" i="5" s="1"/>
  <c r="B11" i="5"/>
  <c r="B10" i="5" s="1"/>
  <c r="F14" i="3"/>
  <c r="F7" i="3"/>
  <c r="A11" i="5"/>
  <c r="D5" i="5"/>
  <c r="B7" i="5"/>
  <c r="F9" i="2"/>
  <c r="B6" i="5"/>
  <c r="F13" i="1"/>
  <c r="F7" i="1"/>
  <c r="A7" i="5"/>
  <c r="F4" i="2"/>
  <c r="R9" i="1"/>
  <c r="E36" i="1" s="1"/>
  <c r="D16" i="5" l="1"/>
  <c r="F2" i="8"/>
  <c r="F14" i="7"/>
  <c r="B17" i="5"/>
  <c r="B16" i="5" s="1"/>
  <c r="G15" i="5" s="1"/>
  <c r="O15" i="5"/>
  <c r="N2" i="9"/>
  <c r="F5" i="7"/>
  <c r="F2" i="7" s="1"/>
  <c r="O8" i="4"/>
  <c r="E18" i="4" s="1"/>
  <c r="C12" i="5" s="1"/>
  <c r="C10" i="5" s="1"/>
  <c r="F24" i="3"/>
  <c r="A12" i="5"/>
  <c r="A10" i="5" s="1"/>
  <c r="F6" i="4"/>
  <c r="B5" i="5"/>
  <c r="A5" i="5"/>
  <c r="E6" i="5"/>
  <c r="E5" i="5" s="1"/>
  <c r="F36" i="1"/>
  <c r="F2" i="1" s="1"/>
  <c r="F2" i="2"/>
  <c r="F18" i="4" l="1"/>
  <c r="F2" i="4" s="1"/>
  <c r="F4" i="5"/>
  <c r="R8" i="3"/>
  <c r="R6" i="3"/>
  <c r="R7" i="3"/>
  <c r="D35" i="3"/>
  <c r="R5" i="3"/>
  <c r="R9" i="3" l="1"/>
  <c r="E35" i="3" s="1"/>
  <c r="F35" i="3" s="1"/>
  <c r="F2" i="3" s="1"/>
  <c r="E11" i="5"/>
  <c r="E10" i="5" s="1"/>
  <c r="F9" i="5" s="1"/>
  <c r="I2" i="5" s="1"/>
  <c r="D25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tc={3BD2F513-9C7B-435D-83DE-FCF38F99290A}</author>
    <author>tc={C5F87594-B8FA-4C6B-99D1-DF2AE143238D}</author>
    <author>tc={048DD218-393A-4AD5-968E-6FB055C98BFC}</author>
    <author>tc={3EA29A52-07C6-4C40-9649-F47F5940D3E9}</author>
    <author>tc={2E7764DA-5587-4B31-8CA8-03314B1AD733}</author>
    <author>tc={F43CA9E7-6F38-4EBA-B36B-53F7E4C4F452}</author>
    <author>tc={79436E82-2329-417C-93BF-913CC54B60B9}</author>
    <author>tc={917AC71B-81E7-4B94-8B4E-F9B9E3031B60}</author>
    <author>tc={B8C00CC6-9561-471A-8418-228EC3B2A655}</author>
    <author>tc={E6332F3E-2A31-4270-9372-127D84CADD3A}</author>
    <author>tc={99051C11-881D-4FA0-A781-C15A5FD667EC}</author>
    <author>tc={6723D863-D6AD-48BE-A2A3-4E2048C735D2}</author>
    <author>tc={1ED6D6E1-6B5A-4891-B579-C33DBD4716F9}</author>
    <author>tc={8679628A-DDC5-46F4-8EE9-847585F2A05F}</author>
    <author>tc={8336269A-3E16-4DCA-809F-D8012D883B9F}</author>
  </authors>
  <commentList>
    <comment ref="A2" authorId="0" shapeId="0" xr:uid="{3BD2F513-9C7B-435D-83DE-FCF38F99290A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Pločica vs VHDL</t>
      </text>
    </comment>
    <comment ref="A4" authorId="1" shapeId="0" xr:uid="{C5F87594-B8FA-4C6B-99D1-DF2AE143238D}">
      <text>
        <t xml:space="preserve"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Kratke provjere znanja će se načelno izvoditi putem kratkih testova na predavanjima. </t>
      </text>
    </comment>
    <comment ref="D7" authorId="2" shapeId="0" xr:uid="{048DD218-393A-4AD5-968E-6FB055C98BFC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Dovoljan (2) 50 % 
Dobar (3) 62 % 
Vrlo dobar (4) 75 % 
Izvrstan (5) 88 %</t>
      </text>
    </comment>
    <comment ref="A10" authorId="3" shapeId="0" xr:uid="{3EA29A52-07C6-4C40-9649-F47F5940D3E9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Obavezni!</t>
      </text>
    </comment>
    <comment ref="D13" authorId="4" shapeId="0" xr:uid="{2E7764DA-5587-4B31-8CA8-03314B1AD733}">
      <text>
        <t xml:space="preserve"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[87.5, 100] 5 
[75, 87.5) 4 
[62.5, 75) 3 
[50, 62.5) 2 </t>
      </text>
    </comment>
    <comment ref="A16" authorId="5" shapeId="0" xr:uid="{F43CA9E7-6F38-4EBA-B36B-53F7E4C4F452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Moodle</t>
      </text>
    </comment>
    <comment ref="D19" authorId="6" shapeId="0" xr:uid="{79436E82-2329-417C-93BF-913CC54B60B9}">
      <text>
        <t xml:space="preserve"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45 bodova………dovoljan (2) 
55 bodova………dobar (3) 
70 bodova………vrlo dobar (4) 
85 bodova………izvrstan (5) </t>
      </text>
    </comment>
    <comment ref="A22" authorId="7" shapeId="0" xr:uid="{917AC71B-81E7-4B94-8B4E-F9B9E3031B60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Moodle</t>
      </text>
    </comment>
    <comment ref="D25" authorId="8" shapeId="0" xr:uid="{B8C00CC6-9561-471A-8418-228EC3B2A655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86 izvrstan
72 vrlo dobar
58 dobar
50 dovoljan</t>
      </text>
    </comment>
    <comment ref="A29" authorId="9" shapeId="0" xr:uid="{E6332F3E-2A31-4270-9372-127D84CADD3A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Moodle</t>
      </text>
    </comment>
    <comment ref="A30" authorId="10" shapeId="0" xr:uid="{99051C11-881D-4FA0-A781-C15A5FD667EC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Na predavanjima kviz</t>
      </text>
    </comment>
    <comment ref="A31" authorId="11" shapeId="0" xr:uid="{6723D863-D6AD-48BE-A2A3-4E2048C735D2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Moodle/kviz</t>
      </text>
    </comment>
    <comment ref="A32" authorId="12" shapeId="0" xr:uid="{1ED6D6E1-6B5A-4891-B579-C33DBD4716F9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moodle</t>
      </text>
    </comment>
    <comment ref="A34" authorId="13" shapeId="0" xr:uid="{8679628A-DDC5-46F4-8EE9-847585F2A05F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radionica</t>
      </text>
    </comment>
    <comment ref="D36" authorId="14" shapeId="0" xr:uid="{8336269A-3E16-4DCA-809F-D8012D883B9F}">
      <text>
        <t xml:space="preserve"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90 izvrstan
80 vrlo dobar
70 dobar
60 dovoljan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tc={20E82975-B06B-43F0-90EE-6D5A17173CB0}</author>
    <author>tc={62B29724-969A-48F7-9160-00DFC6DB0C10}</author>
    <author>tc={8466538D-CB99-4685-8D00-C6B9C6699AC0}</author>
    <author>tc={1A13E031-3E39-48EC-9520-93DEAB747334}</author>
    <author>tc={59915AAB-6082-4AE2-8E52-340F16C2DF3E}</author>
    <author>tc={2E7B1771-4A33-442B-BD13-A927A1CA313D}</author>
    <author>tc={D837A2AA-AA8A-4975-8312-3D458D54CE1A}</author>
    <author>tc={0CC4D979-69B2-48B6-A9B3-DC42DA8CBF2C}</author>
    <author>tc={46F21044-8BC9-4070-B88A-E8D2F42F36F7}</author>
    <author>tc={23C1F9BB-2C07-4C6A-BD66-FAC2E9632EDF}</author>
    <author>tc={40C51B75-82AA-4452-9884-5B9F3D50D7A2}</author>
    <author>tc={EC5C36A7-6C4A-4F56-AA25-F674A3C08BF9}</author>
    <author>tc={7026532A-443C-46BF-B9D8-05ADE320B1CB}</author>
    <author>tc={0C339E6C-19AE-4F2A-BA83-337FA80BEB9D}</author>
  </authors>
  <commentList>
    <comment ref="A2" authorId="0" shapeId="0" xr:uid="{20E82975-B06B-43F0-90EE-6D5A17173CB0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Labosi se ne prenose!
Nakon 7 labosa, kolokvi od 3 boda</t>
      </text>
    </comment>
    <comment ref="A3" authorId="1" shapeId="0" xr:uid="{62B29724-969A-48F7-9160-00DFC6DB0C10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Moodle</t>
      </text>
    </comment>
    <comment ref="D7" authorId="2" shapeId="0" xr:uid="{8466538D-CB99-4685-8D00-C6B9C6699AC0}">
      <text>
        <t xml:space="preserve"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MI &amp; ZI 1/4 računskih zadataka mora biti u cijelosti točno riješen
85 izvrstan
70 vrlo dobar
60 dobar
50 dovoljan
</t>
      </text>
    </comment>
    <comment ref="A10" authorId="3" shapeId="0" xr:uid="{1A13E031-3E39-48EC-9520-93DEAB747334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Obavezno!</t>
      </text>
    </comment>
    <comment ref="A11" authorId="4" shapeId="0" xr:uid="{59915AAB-6082-4AE2-8E52-340F16C2DF3E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Teorijski dio labosa</t>
      </text>
    </comment>
    <comment ref="D14" authorId="5" shapeId="0" xr:uid="{2E7B1771-4A33-442B-BD13-A927A1CA313D}">
      <text>
        <t xml:space="preserve"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90 izvrstan (5)
80 vrlo dobar (4)
65 dobar (3)
50 dovoljan (2)
</t>
      </text>
    </comment>
    <comment ref="A17" authorId="6" shapeId="0" xr:uid="{D837A2AA-AA8A-4975-8312-3D458D54CE1A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Lagano, neki asistenti ispituju</t>
      </text>
    </comment>
    <comment ref="A18" authorId="7" shapeId="0" xr:uid="{0CC4D979-69B2-48B6-A9B3-DC42DA8CBF2C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Oe stranica</t>
      </text>
    </comment>
    <comment ref="A19" authorId="8" shapeId="0" xr:uid="{46F21044-8BC9-4070-B88A-E8D2F42F36F7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Oe stranica</t>
      </text>
    </comment>
    <comment ref="A20" authorId="9" shapeId="0" xr:uid="{23C1F9BB-2C07-4C6A-BD66-FAC2E9632EDF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Ako zapnes prof za oko</t>
      </text>
    </comment>
    <comment ref="D24" authorId="10" shapeId="0" xr:uid="{40C51B75-82AA-4452-9884-5B9F3D50D7A2}">
      <text>
        <t xml:space="preserve"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86 izvrstan (5)
74 vrlo dobar (4)
62 dobar (3)
50 dovoljan (2)
</t>
      </text>
    </comment>
    <comment ref="A27" authorId="11" shapeId="0" xr:uid="{EC5C36A7-6C4A-4F56-AA25-F674A3C08BF9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Kpz moodle</t>
      </text>
    </comment>
    <comment ref="D30" authorId="12" shapeId="0" xr:uid="{7026532A-443C-46BF-B9D8-05ADE320B1CB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86 izvrstan
72 vrlo dobar
58 dobar
50 dovoljan</t>
      </text>
    </comment>
    <comment ref="D35" authorId="13" shapeId="0" xr:uid="{0C339E6C-19AE-4F2A-BA83-337FA80BEB9D}">
      <text>
        <t xml:space="preserve"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35,5 izvrstan (5) 
30 vrlo dobar (4) 
24 dobar (3)
20 dovoljan (2) 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tc={4827BADE-D17C-44BF-9067-35E1F128F243}</author>
    <author>tc={5ACE5987-5963-4121-89A7-4BF8668CD5C2}</author>
    <author>tc={BFA778F5-56D7-4554-BB81-62153AE8EF8C}</author>
    <author>tc={590A68DE-0BFA-4560-B59B-210A18F68807}</author>
    <author>tc={AB322D82-E6EF-4901-85CB-BFC0F82680DD}</author>
    <author>tc={000FE4A8-BE5A-455A-9A2D-474B3B7CA2CB}</author>
    <author>tc={4FDF75EB-0350-47F7-A272-0EAAC1735D48}</author>
    <author>tc={FA3AE353-3267-447E-B8D2-74D83506D855}</author>
    <author>tc={E41F6399-D675-42CF-976D-6375BD38C856}</author>
    <author>tc={AB7E756E-55D8-481E-AA8D-8CA5B0654353}</author>
    <author>tc={0EC45E67-E186-49D3-BFB8-E6550EFBE9C6}</author>
    <author>tc={D84C6AB1-FC10-46BA-90B0-FDB5AD3AE7A6}</author>
    <author>tc={BDAD792B-FD85-4720-A96F-70DCD1937719}</author>
    <author>tc={41984836-AB5F-4474-9048-DB1B89F8B9DF}</author>
    <author>tc={E8F8366C-8E71-4CA4-80A0-B8643DC05A7F}</author>
    <author>tc={5D102B51-940A-403B-92DA-CD3AC7DF9CA0}</author>
    <author>tc={95D195A9-CFFF-46ED-9054-E06FEB4E364F}</author>
    <author>tc={84CF1C41-9E85-442A-894C-1C4863E883C0}</author>
    <author>tc={9395C8E6-71C0-4E8E-853E-2037B18EE0D0}</author>
  </authors>
  <commentList>
    <comment ref="A2" authorId="0" shapeId="0" xr:uid="{4827BADE-D17C-44BF-9067-35E1F128F243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Svaki drugi lab kpz</t>
      </text>
    </comment>
    <comment ref="E5" authorId="1" shapeId="0" xr:uid="{5ACE5987-5963-4121-89A7-4BF8668CD5C2}">
      <text>
        <t xml:space="preserve"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87 izvrstan
75 vrlo dobar
62 dobar
50 dovoljan
- obavezna odrada svih labosa
</t>
      </text>
    </comment>
    <comment ref="A9" authorId="2" shapeId="0" xr:uid="{BFA778F5-56D7-4554-BB81-62153AE8EF8C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izi</t>
      </text>
    </comment>
    <comment ref="A10" authorId="3" shapeId="0" xr:uid="{590A68DE-0BFA-4560-B59B-210A18F68807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nedjeljom</t>
      </text>
    </comment>
    <comment ref="E12" authorId="4" shapeId="0" xr:uid="{AB322D82-E6EF-4901-85CB-BFC0F82680DD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Da bi student položio mora: -ostvariti najmanje 50% bodova na međuispitu i završnom ispitu -ostvariti najmanje 50% od ukupnog broja bodova</t>
      </text>
    </comment>
    <comment ref="E14" authorId="5" shapeId="0" xr:uid="{000FE4A8-BE5A-455A-9A2D-474B3B7CA2CB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90 izvrstan
75 vrlo dobar
62 dobar
50 dovoljan</t>
      </text>
    </comment>
    <comment ref="A18" authorId="6" shapeId="0" xr:uid="{4FDF75EB-0350-47F7-A272-0EAAC1735D48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Ne prenose se, samo su 3 labosa
Moodle o labosu nakon labosa</t>
      </text>
    </comment>
    <comment ref="A19" authorId="7" shapeId="0" xr:uid="{FA3AE353-3267-447E-B8D2-74D83506D855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moodle</t>
      </text>
    </comment>
    <comment ref="E22" authorId="8" shapeId="0" xr:uid="{E41F6399-D675-42CF-976D-6375BD38C856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MI &amp; ZI 1/4 računskih zadataka mora biti u cijelosti točno riješen
85 izvrstan
70 vrlo dobar
60 dobar
50 dovoljan</t>
      </text>
    </comment>
    <comment ref="A26" authorId="9" shapeId="0" xr:uid="{AB7E756E-55D8-481E-AA8D-8CA5B0654353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Moodle, beskonacno mnogo puta se može riješiti,, moraš imati barem 50%</t>
      </text>
    </comment>
    <comment ref="D26" authorId="10" shapeId="0" xr:uid="{0EC45E67-E186-49D3-BFB8-E6550EFBE9C6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RIJEŠITI SVE DZ</t>
      </text>
    </comment>
    <comment ref="D29" authorId="11" shapeId="0" xr:uid="{D84C6AB1-FC10-46BA-90B0-FDB5AD3AE7A6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86 izvrstan
72 vrlo dobar
58 dobar
50 dovoljan</t>
      </text>
    </comment>
    <comment ref="E29" authorId="12" shapeId="0" xr:uid="{BDAD792B-FD85-4720-A96F-70DCD1937719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85 izvrstan
70 vrlo dobar
55 dobar
45 dovoljan</t>
      </text>
    </comment>
    <comment ref="A33" authorId="13" shapeId="0" xr:uid="{41984836-AB5F-4474-9048-DB1B89F8B9DF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Pakao, ispituju + provjera pripreme</t>
      </text>
    </comment>
    <comment ref="E34" authorId="14" shapeId="0" xr:uid="{E8F8366C-8E71-4CA4-80A0-B8643DC05A7F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Uvjet za prolaz pismenih ispita je minimalno 16 bodova (40 %) ostvarenih sumarno na MI i ZIP</t>
      </text>
    </comment>
    <comment ref="E37" authorId="15" shapeId="0" xr:uid="{5D102B51-940A-403B-92DA-CD3AC7DF9CA0}">
      <text>
        <t xml:space="preserve"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89 izvrstan
76 vrlo dobar
63 dobar
50 dovoljan
</t>
      </text>
    </comment>
    <comment ref="D43" authorId="16" shapeId="0" xr:uid="{95D195A9-CFFF-46ED-9054-E06FEB4E364F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Međuispit: Pismeni 33%</t>
      </text>
    </comment>
    <comment ref="D44" authorId="17" shapeId="0" xr:uid="{84CF1C41-9E85-442A-894C-1C4863E883C0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Završni ispit: Pismeni 37.5 %</t>
      </text>
    </comment>
    <comment ref="E45" authorId="18" shapeId="0" xr:uid="{9395C8E6-71C0-4E8E-853E-2037B18EE0D0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85 izvrstan
72 vrlo dobar
60 dobar
50 dovoljan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tc={2B565E65-B6B7-480B-B926-B037DD75D35E}</author>
    <author>tc={996AD986-7685-43DB-B774-52F0ED835790}</author>
    <author>tc={7B4532CC-98DA-4AC3-A688-9F79983546AD}</author>
    <author>tc={F198EAFD-E3E0-47A3-93F8-C453B3DA8FC8}</author>
    <author>tc={9D2E405E-0273-4503-B245-96FE7681891E}</author>
    <author>tc={AFE73355-BF66-45D5-AA69-AB1D9D5D90EE}</author>
    <author>tc={CBB3F499-1903-4CAA-80DB-29B67F2D265D}</author>
    <author>tc={90E3B7C8-5982-4B11-8E98-38C2C7947433}</author>
    <author>tc={B43446FD-BE6E-480A-A42F-7288033FCF50}</author>
  </authors>
  <commentList>
    <comment ref="E5" authorId="0" shapeId="0" xr:uid="{2B565E65-B6B7-480B-B926-B037DD75D35E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85 izvrstan
70 vrlo dobar
55 dobar
45 dovoljan</t>
      </text>
    </comment>
    <comment ref="A9" authorId="1" shapeId="0" xr:uid="{996AD986-7685-43DB-B774-52F0ED835790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Teorijski kviz</t>
      </text>
    </comment>
    <comment ref="E12" authorId="2" shapeId="0" xr:uid="{7B4532CC-98DA-4AC3-A688-9F79983546AD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87.5 izvrstan
75 vrlo dobar
62.5 dobar
50 dovoljan</t>
      </text>
    </comment>
    <comment ref="A16" authorId="3" shapeId="0" xr:uid="{F198EAFD-E3E0-47A3-93F8-C453B3DA8FC8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Predaja programa - je li plagijat (-1 bod)
Obrana programa - 0-2 boda</t>
      </text>
    </comment>
    <comment ref="E19" authorId="4" shapeId="0" xr:uid="{9D2E405E-0273-4503-B245-96FE7681891E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90 izvrstan
80 vrlo dobar
65 dobar
50 dovoljan</t>
      </text>
    </comment>
    <comment ref="A23" authorId="5" shapeId="0" xr:uid="{AFE73355-BF66-45D5-AA69-AB1D9D5D90EE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Matematički zadatak riješi pomoću programa</t>
      </text>
    </comment>
    <comment ref="E27" authorId="6" shapeId="0" xr:uid="{CBB3F499-1903-4CAA-80DB-29B67F2D265D}">
      <text>
        <t xml:space="preserve"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85 izvrstan
70 vrlo dobar
55 dobar
45 dovoljan
</t>
      </text>
    </comment>
    <comment ref="E33" authorId="7" shapeId="0" xr:uid="{90E3B7C8-5982-4B11-8E98-38C2C7947433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85 izvrstan
70 vrlo dobar
55 dobar
40 dovoljan</t>
      </text>
    </comment>
    <comment ref="E41" authorId="8" shapeId="0" xr:uid="{B43446FD-BE6E-480A-A42F-7288033FCF50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85 izvrstan
72 vrlo dobar
60 dobar
50 dovoljan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tc={2F5DB799-5796-44A1-AE74-B2F1FA4C3393}</author>
    <author>tc={CD940560-83F7-4E1F-B7B4-88F49E7C73B6}</author>
    <author>tc={B33C6F00-4C00-485F-A1B4-B1896C50B2DA}</author>
    <author>tc={F39260A3-8D0C-4E74-ACB1-38D41488AD4F}</author>
    <author>tc={F8A4418E-A9E8-43C6-B71E-F0842403E68F}</author>
    <author>tc={F3B2B247-5FEA-4EB6-91CB-B33CE33277B5}</author>
    <author>tc={9A99B7CA-7840-423C-AA1D-C06FA44F2570}</author>
    <author>tc={1F1AB1A4-26E7-4930-913D-2D82EF7D7B6C}</author>
    <author>tc={429CEDDA-2359-44B3-886C-82F59BE16B6A}</author>
    <author>tc={5FAE3D5B-557A-44B3-87E7-52B90DD42001}</author>
    <author>tc={E228BA9D-6FF7-4D7A-91F3-A4B14AAF6C22}</author>
    <author>tc={28D18C6A-B560-426C-BC9F-2EA1681BD962}</author>
    <author>tc={98564231-1D1B-4A44-B441-1EAAB427B188}</author>
  </authors>
  <commentList>
    <comment ref="M4" authorId="0" shapeId="0" xr:uid="{2F5DB799-5796-44A1-AE74-B2F1FA4C3393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85 izvrstan
70 vrlo dobar
55 dobar
45 dovoljan</t>
      </text>
    </comment>
    <comment ref="E5" authorId="1" shapeId="0" xr:uid="{CD940560-83F7-4E1F-B7B4-88F49E7C73B6}">
      <text>
        <t xml:space="preserve"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87 izvrstan
75 vrlo dobar
62 dobar
50 dovoljan
- obavezna odrada svih labosa
</t>
      </text>
    </comment>
    <comment ref="M11" authorId="2" shapeId="0" xr:uid="{B33C6F00-4C00-485F-A1B4-B1896C50B2DA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87.5 izvrstan
75 vrlo dobar
62.5 dobar
50 dovoljan</t>
      </text>
    </comment>
    <comment ref="E13" authorId="3" shapeId="0" xr:uid="{F39260A3-8D0C-4E74-ACB1-38D41488AD4F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90 izvrstan
75 vrlo dobar
62 dobar
50 dovoljan</t>
      </text>
    </comment>
    <comment ref="M17" authorId="4" shapeId="0" xr:uid="{F8A4418E-A9E8-43C6-B71E-F0842403E68F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90 izvrstan
80 vrlo dobar
65 dobar
50 dovoljan</t>
      </text>
    </comment>
    <comment ref="E20" authorId="5" shapeId="0" xr:uid="{F3B2B247-5FEA-4EB6-91CB-B33CE33277B5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MI &amp; ZI 1/4 računskih zadataka mora biti u cijelosti točno riješen
85 izvrstan
70 vrlo dobar
60 dobar
50 dovoljan</t>
      </text>
    </comment>
    <comment ref="M24" authorId="6" shapeId="0" xr:uid="{9A99B7CA-7840-423C-AA1D-C06FA44F2570}">
      <text>
        <t xml:space="preserve"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85 izvrstan
70 vrlo dobar
55 dobar
45 dovoljan
</t>
      </text>
    </comment>
    <comment ref="D25" authorId="7" shapeId="0" xr:uid="{1F1AB1A4-26E7-4930-913D-2D82EF7D7B6C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86 izvrstan
72 vrlo dobar
58 dobar
50 dovoljan</t>
      </text>
    </comment>
    <comment ref="E25" authorId="8" shapeId="0" xr:uid="{429CEDDA-2359-44B3-886C-82F59BE16B6A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85 izvrstan
70 vrlo dobar
55 dobar
45 dovoljan</t>
      </text>
    </comment>
    <comment ref="M29" authorId="9" shapeId="0" xr:uid="{5FAE3D5B-557A-44B3-87E7-52B90DD42001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85 izvrstan
70 vrlo dobar
55 dobar
40 dovoljan</t>
      </text>
    </comment>
    <comment ref="E32" authorId="10" shapeId="0" xr:uid="{E228BA9D-6FF7-4D7A-91F3-A4B14AAF6C22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89 izvrstan
76 vrlo dobar
63 dobar
50 dovoljan</t>
      </text>
    </comment>
    <comment ref="M37" authorId="11" shapeId="0" xr:uid="{28D18C6A-B560-426C-BC9F-2EA1681BD962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85 izvrstan
72 vrlo dobar
60 dobar
50 dovoljan</t>
      </text>
    </comment>
    <comment ref="E40" authorId="12" shapeId="0" xr:uid="{98564231-1D1B-4A44-B441-1EAAB427B188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85 izvrstan
72 vrlo dobar
60 dobar
50 dovoljan</t>
      </text>
    </comment>
  </commentList>
</comments>
</file>

<file path=xl/sharedStrings.xml><?xml version="1.0" encoding="utf-8"?>
<sst xmlns="http://schemas.openxmlformats.org/spreadsheetml/2006/main" count="542" uniqueCount="88">
  <si>
    <t>DIGLOG</t>
  </si>
  <si>
    <t>Labos</t>
  </si>
  <si>
    <t>Zadace</t>
  </si>
  <si>
    <t>KPZ</t>
  </si>
  <si>
    <t>MI</t>
  </si>
  <si>
    <t>ZI</t>
  </si>
  <si>
    <t>Moji Bodovi</t>
  </si>
  <si>
    <t>Maximum</t>
  </si>
  <si>
    <t>UKUPNO</t>
  </si>
  <si>
    <t>UPRO</t>
  </si>
  <si>
    <t>LINALG</t>
  </si>
  <si>
    <t>Zadaće</t>
  </si>
  <si>
    <t>MATAN - ONE</t>
  </si>
  <si>
    <t>Postotak</t>
  </si>
  <si>
    <t>Ocjena:</t>
  </si>
  <si>
    <t>Racunanje ocjene</t>
  </si>
  <si>
    <t>MATAN</t>
  </si>
  <si>
    <t>zbroj</t>
  </si>
  <si>
    <t>Ispit</t>
  </si>
  <si>
    <t>Linearna</t>
  </si>
  <si>
    <t xml:space="preserve">Maximum </t>
  </si>
  <si>
    <t>Ukupno</t>
  </si>
  <si>
    <t>Matan1</t>
  </si>
  <si>
    <t>Ocjena</t>
  </si>
  <si>
    <t>VJEKOM &gt;:(</t>
  </si>
  <si>
    <t>Pripreme</t>
  </si>
  <si>
    <t>Projekt</t>
  </si>
  <si>
    <t>Sudjelovanje</t>
  </si>
  <si>
    <t>MI/ZI</t>
  </si>
  <si>
    <t>VJEKOM</t>
  </si>
  <si>
    <t xml:space="preserve">VJEKOM </t>
  </si>
  <si>
    <t>Bonus</t>
  </si>
  <si>
    <t>FIZIKA</t>
  </si>
  <si>
    <t>MI pismeni</t>
  </si>
  <si>
    <t>ZI pismeni</t>
  </si>
  <si>
    <t>ZI usmeni</t>
  </si>
  <si>
    <t>OOP</t>
  </si>
  <si>
    <t>OE</t>
  </si>
  <si>
    <t>Labosi</t>
  </si>
  <si>
    <t>DZ</t>
  </si>
  <si>
    <t>lil extra</t>
  </si>
  <si>
    <t>PITI</t>
  </si>
  <si>
    <t>OElektro</t>
  </si>
  <si>
    <t>MATAN#2</t>
  </si>
  <si>
    <t>FIZ</t>
  </si>
  <si>
    <t>MATAN2</t>
  </si>
  <si>
    <t>Matan2</t>
  </si>
  <si>
    <t xml:space="preserve">PITI </t>
  </si>
  <si>
    <t>Pismeni</t>
  </si>
  <si>
    <t>Usmeni</t>
  </si>
  <si>
    <t>ECTS</t>
  </si>
  <si>
    <t>TRENUTNO STANJE</t>
  </si>
  <si>
    <t>#1 SEMESTAR</t>
  </si>
  <si>
    <t>#2 SEMESTAR</t>
  </si>
  <si>
    <t>UKUPNO:</t>
  </si>
  <si>
    <t>stanje :</t>
  </si>
  <si>
    <t>&lt;-- link</t>
  </si>
  <si>
    <t>https://github.com/APapratt13/Academic_Weapon/tree/master</t>
  </si>
  <si>
    <t>EleKru</t>
  </si>
  <si>
    <t>Elektronika</t>
  </si>
  <si>
    <t>Max</t>
  </si>
  <si>
    <t>Moji bodovi</t>
  </si>
  <si>
    <t>elekru</t>
  </si>
  <si>
    <t>fiz2</t>
  </si>
  <si>
    <t>mue</t>
  </si>
  <si>
    <t>ele1</t>
  </si>
  <si>
    <t>inzeko</t>
  </si>
  <si>
    <t>prisutnost</t>
  </si>
  <si>
    <t>MATAN#3</t>
  </si>
  <si>
    <t>MuEle</t>
  </si>
  <si>
    <t>Inžeko</t>
  </si>
  <si>
    <t>ViS</t>
  </si>
  <si>
    <t>kpz</t>
  </si>
  <si>
    <t>Racunanje ocjena</t>
  </si>
  <si>
    <t>ASP</t>
  </si>
  <si>
    <t>VIS</t>
  </si>
  <si>
    <t>ARH</t>
  </si>
  <si>
    <t>DISMAT</t>
  </si>
  <si>
    <t>TINF</t>
  </si>
  <si>
    <t>DisMat</t>
  </si>
  <si>
    <t>3x</t>
  </si>
  <si>
    <t>#3_E SEMESTAR</t>
  </si>
  <si>
    <t>ELE1</t>
  </si>
  <si>
    <t>ELEKRU</t>
  </si>
  <si>
    <t>FIZ2</t>
  </si>
  <si>
    <t>MUELE</t>
  </si>
  <si>
    <t>INŽEKO</t>
  </si>
  <si>
    <t>#3_R SEMESTAR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</si>
</sst>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charset val="238"/>
      <scheme val="minor"/>
    </font>
    <font>
      <sz val="11"/>
      <color theme="0" tint="-0.499984740745262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9"/>
      <color indexed="81"/>
      <name val="Segoe UI"/>
      <family val="2"/>
      <charset val="238"/>
    </font>
  </fonts>
  <fills count="7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9644"/>
        <bgColor indexed="64"/>
      </patternFill>
    </fill>
    <fill>
      <patternFill patternType="solid">
        <fgColor rgb="FF009E4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67A00"/>
        <bgColor indexed="64"/>
      </patternFill>
    </fill>
    <fill>
      <patternFill patternType="solid">
        <fgColor rgb="FFF68D00"/>
        <bgColor indexed="64"/>
      </patternFill>
    </fill>
    <fill>
      <patternFill patternType="solid">
        <fgColor rgb="FFFFD49B"/>
        <bgColor indexed="64"/>
      </patternFill>
    </fill>
    <fill>
      <patternFill patternType="solid">
        <fgColor rgb="FFFFC27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A228C"/>
        <bgColor indexed="64"/>
      </patternFill>
    </fill>
    <fill>
      <patternFill patternType="solid">
        <fgColor rgb="FFD12FBE"/>
        <bgColor indexed="64"/>
      </patternFill>
    </fill>
    <fill>
      <patternFill patternType="solid">
        <fgColor rgb="FFF0BAEA"/>
        <bgColor indexed="64"/>
      </patternFill>
    </fill>
    <fill>
      <patternFill patternType="solid">
        <fgColor rgb="FFE894D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4D4D4D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5AB8F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339A"/>
        <bgColor indexed="64"/>
      </patternFill>
    </fill>
    <fill>
      <patternFill patternType="solid">
        <fgColor rgb="FF6598FF"/>
        <bgColor indexed="64"/>
      </patternFill>
    </fill>
    <fill>
      <patternFill patternType="solid">
        <fgColor rgb="FF538CFF"/>
        <bgColor indexed="64"/>
      </patternFill>
    </fill>
    <fill>
      <patternFill patternType="solid">
        <fgColor rgb="FF0156FF"/>
        <bgColor indexed="64"/>
      </patternFill>
    </fill>
    <fill>
      <patternFill patternType="solid">
        <fgColor rgb="FFFFCD2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EBA5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6E0FC"/>
        <bgColor indexed="64"/>
      </patternFill>
    </fill>
    <fill>
      <patternFill patternType="solid">
        <fgColor rgb="FF96D3FC"/>
        <bgColor indexed="64"/>
      </patternFill>
    </fill>
    <fill>
      <patternFill patternType="solid">
        <fgColor rgb="FF1DA4FF"/>
        <bgColor indexed="64"/>
      </patternFill>
    </fill>
    <fill>
      <patternFill patternType="solid">
        <fgColor rgb="FF43B3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93FFE3"/>
        <bgColor indexed="64"/>
      </patternFill>
    </fill>
    <fill>
      <patternFill patternType="solid">
        <fgColor rgb="FF71FFDA"/>
        <bgColor indexed="64"/>
      </patternFill>
    </fill>
    <fill>
      <patternFill patternType="solid">
        <fgColor rgb="FF00E6AA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93BC3"/>
        <bgColor indexed="64"/>
      </patternFill>
    </fill>
    <fill>
      <patternFill patternType="solid">
        <fgColor rgb="FFA86ED4"/>
        <bgColor indexed="64"/>
      </patternFill>
    </fill>
    <fill>
      <patternFill patternType="solid">
        <fgColor rgb="FFC39BE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 style="medium">
        <color rgb="FFFFFF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FFFF00"/>
      </left>
      <right style="medium">
        <color rgb="FFFFFF00"/>
      </right>
      <top style="medium">
        <color rgb="FFFFFF00"/>
      </top>
      <bottom style="medium">
        <color rgb="FFFFFF00"/>
      </bottom>
      <diagonal/>
    </border>
    <border>
      <left style="medium">
        <color rgb="FFFFFF00"/>
      </left>
      <right/>
      <top style="medium">
        <color rgb="FFFFFF00"/>
      </top>
      <bottom style="medium">
        <color rgb="FFFFFF00"/>
      </bottom>
      <diagonal/>
    </border>
    <border>
      <left style="thin">
        <color rgb="FFFFFF00"/>
      </left>
      <right/>
      <top style="medium">
        <color rgb="FFFFFF00"/>
      </top>
      <bottom style="medium">
        <color rgb="FFFFFF00"/>
      </bottom>
      <diagonal/>
    </border>
    <border>
      <left style="medium">
        <color rgb="FFFFFF00"/>
      </left>
      <right style="medium">
        <color rgb="FFFFFF00"/>
      </right>
      <top style="thin">
        <color rgb="FFFFFF00"/>
      </top>
      <bottom style="medium">
        <color rgb="FFFFFF00"/>
      </bottom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/>
      <diagonal/>
    </border>
    <border>
      <left style="medium">
        <color rgb="FFFFFF00"/>
      </left>
      <right style="medium">
        <color rgb="FFFFFF00"/>
      </right>
      <top style="thin">
        <color rgb="FFFFFF00"/>
      </top>
      <bottom/>
      <diagonal/>
    </border>
    <border>
      <left style="medium">
        <color rgb="FFFFFF00"/>
      </left>
      <right style="medium">
        <color rgb="FFFFFF00"/>
      </right>
      <top style="thin">
        <color rgb="FFFFFF00"/>
      </top>
      <bottom style="thin">
        <color rgb="FFFFFF00"/>
      </bottom>
      <diagonal/>
    </border>
    <border>
      <left style="medium">
        <color rgb="FFFFFF00"/>
      </left>
      <right style="medium">
        <color rgb="FFFFFF00"/>
      </right>
      <top/>
      <bottom style="medium">
        <color rgb="FFFFFF00"/>
      </bottom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 style="thin">
        <color rgb="FFFFFF00"/>
      </bottom>
      <diagonal/>
    </border>
    <border>
      <left style="medium">
        <color rgb="FFFFFF00"/>
      </left>
      <right style="thin">
        <color rgb="FFFFFF00"/>
      </right>
      <top/>
      <bottom style="medium">
        <color rgb="FFFFFF00"/>
      </bottom>
      <diagonal/>
    </border>
    <border>
      <left style="thin">
        <color rgb="FFFFFF00"/>
      </left>
      <right style="thin">
        <color rgb="FFFFFF00"/>
      </right>
      <top/>
      <bottom style="medium">
        <color rgb="FFFFFF00"/>
      </bottom>
      <diagonal/>
    </border>
    <border>
      <left/>
      <right style="medium">
        <color rgb="FFFFFF00"/>
      </right>
      <top/>
      <bottom style="medium">
        <color rgb="FFFFFF00"/>
      </bottom>
      <diagonal/>
    </border>
    <border>
      <left style="medium">
        <color rgb="FFFFFF00"/>
      </left>
      <right style="thin">
        <color rgb="FFFFFF00"/>
      </right>
      <top style="medium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medium">
        <color rgb="FFFFFF00"/>
      </top>
      <bottom style="thin">
        <color rgb="FFFFFF00"/>
      </bottom>
      <diagonal/>
    </border>
    <border>
      <left/>
      <right style="medium">
        <color rgb="FFFFFF00"/>
      </right>
      <top style="medium">
        <color rgb="FFFFFF00"/>
      </top>
      <bottom style="thin">
        <color rgb="FFFFFF00"/>
      </bottom>
      <diagonal/>
    </border>
    <border>
      <left style="medium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/>
      <right style="medium">
        <color rgb="FFFFFF00"/>
      </right>
      <top style="thin">
        <color rgb="FFFFFF00"/>
      </top>
      <bottom style="thin">
        <color rgb="FFFFFF00"/>
      </bottom>
      <diagonal/>
    </border>
    <border>
      <left style="medium">
        <color rgb="FFFFFF00"/>
      </left>
      <right/>
      <top/>
      <bottom/>
      <diagonal/>
    </border>
    <border>
      <left style="medium">
        <color rgb="FFFFFF00"/>
      </left>
      <right style="thin">
        <color rgb="FFFFFF00"/>
      </right>
      <top/>
      <bottom/>
      <diagonal/>
    </border>
    <border>
      <left style="thin">
        <color rgb="FFFFFF00"/>
      </left>
      <right style="thin">
        <color rgb="FFFFFF00"/>
      </right>
      <top/>
      <bottom/>
      <diagonal/>
    </border>
    <border>
      <left/>
      <right style="medium">
        <color rgb="FFFFFF00"/>
      </right>
      <top/>
      <bottom/>
      <diagonal/>
    </border>
    <border>
      <left/>
      <right/>
      <top style="thin">
        <color rgb="FFFFFF00"/>
      </top>
      <bottom style="thin">
        <color rgb="FFFFFF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rgb="FFFFFF00"/>
      </left>
      <right style="thin">
        <color rgb="FFFFFF00"/>
      </right>
      <top style="medium">
        <color rgb="FFFFFF00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595">
    <xf numFmtId="0" fontId="0" fillId="0" borderId="0" xfId="0"/>
    <xf numFmtId="0" fontId="1" fillId="2" borderId="1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0" fontId="0" fillId="8" borderId="7" xfId="0" applyNumberForma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0" fontId="0" fillId="9" borderId="7" xfId="0" applyNumberForma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10" fontId="0" fillId="9" borderId="5" xfId="0" applyNumberForma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10" fontId="0" fillId="10" borderId="7" xfId="0" applyNumberForma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0" fontId="0" fillId="5" borderId="5" xfId="0" applyNumberFormat="1" applyFill="1" applyBorder="1" applyAlignment="1">
      <alignment horizontal="center" vertical="center"/>
    </xf>
    <xf numFmtId="0" fontId="1" fillId="11" borderId="15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0" fillId="5" borderId="0" xfId="0" applyFill="1"/>
    <xf numFmtId="9" fontId="0" fillId="5" borderId="0" xfId="0" applyNumberFormat="1" applyFill="1"/>
    <xf numFmtId="0" fontId="0" fillId="12" borderId="3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10" fontId="0" fillId="12" borderId="5" xfId="0" applyNumberForma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0" fontId="0" fillId="13" borderId="7" xfId="0" applyNumberFormat="1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4" borderId="14" xfId="0" applyFont="1" applyFill="1" applyBorder="1" applyAlignment="1">
      <alignment horizontal="center" vertical="center"/>
    </xf>
    <xf numFmtId="0" fontId="1" fillId="14" borderId="12" xfId="0" applyFont="1" applyFill="1" applyBorder="1" applyAlignment="1">
      <alignment horizontal="center" vertical="center"/>
    </xf>
    <xf numFmtId="0" fontId="1" fillId="14" borderId="13" xfId="0" applyFont="1" applyFill="1" applyBorder="1" applyAlignment="1">
      <alignment horizontal="center" vertical="center"/>
    </xf>
    <xf numFmtId="0" fontId="1" fillId="15" borderId="15" xfId="0" applyFont="1" applyFill="1" applyBorder="1" applyAlignment="1">
      <alignment horizontal="center" vertical="center"/>
    </xf>
    <xf numFmtId="0" fontId="1" fillId="15" borderId="10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10" fontId="0" fillId="16" borderId="5" xfId="0" applyNumberFormat="1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10" fontId="0" fillId="17" borderId="7" xfId="0" applyNumberFormat="1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10" fontId="0" fillId="16" borderId="16" xfId="0" applyNumberFormat="1" applyFill="1" applyBorder="1" applyAlignment="1">
      <alignment horizontal="center" vertical="center"/>
    </xf>
    <xf numFmtId="10" fontId="0" fillId="17" borderId="17" xfId="0" applyNumberFormat="1" applyFill="1" applyBorder="1" applyAlignment="1">
      <alignment horizontal="center" vertical="center"/>
    </xf>
    <xf numFmtId="10" fontId="0" fillId="12" borderId="16" xfId="0" applyNumberFormat="1" applyFill="1" applyBorder="1" applyAlignment="1">
      <alignment horizontal="center" vertical="center"/>
    </xf>
    <xf numFmtId="10" fontId="0" fillId="13" borderId="17" xfId="0" applyNumberFormat="1" applyFill="1" applyBorder="1" applyAlignment="1">
      <alignment horizontal="center" vertical="center"/>
    </xf>
    <xf numFmtId="10" fontId="0" fillId="5" borderId="16" xfId="0" applyNumberFormat="1" applyFill="1" applyBorder="1" applyAlignment="1">
      <alignment horizontal="center" vertical="center"/>
    </xf>
    <xf numFmtId="10" fontId="0" fillId="10" borderId="17" xfId="0" applyNumberFormat="1" applyFill="1" applyBorder="1" applyAlignment="1">
      <alignment horizontal="center" vertical="center"/>
    </xf>
    <xf numFmtId="10" fontId="0" fillId="9" borderId="16" xfId="0" applyNumberFormat="1" applyFill="1" applyBorder="1" applyAlignment="1">
      <alignment horizontal="center" vertical="center"/>
    </xf>
    <xf numFmtId="10" fontId="0" fillId="8" borderId="17" xfId="0" applyNumberFormat="1" applyFill="1" applyBorder="1" applyAlignment="1">
      <alignment horizontal="center" vertical="center"/>
    </xf>
    <xf numFmtId="9" fontId="1" fillId="6" borderId="18" xfId="0" applyNumberFormat="1" applyFont="1" applyFill="1" applyBorder="1"/>
    <xf numFmtId="9" fontId="1" fillId="3" borderId="18" xfId="0" applyNumberFormat="1" applyFont="1" applyFill="1" applyBorder="1"/>
    <xf numFmtId="0" fontId="1" fillId="4" borderId="18" xfId="0" applyFont="1" applyFill="1" applyBorder="1"/>
    <xf numFmtId="0" fontId="1" fillId="14" borderId="18" xfId="0" applyFont="1" applyFill="1" applyBorder="1"/>
    <xf numFmtId="0" fontId="0" fillId="8" borderId="19" xfId="0" applyFill="1" applyBorder="1"/>
    <xf numFmtId="0" fontId="0" fillId="10" borderId="19" xfId="0" applyFill="1" applyBorder="1"/>
    <xf numFmtId="0" fontId="0" fillId="13" borderId="19" xfId="0" applyFill="1" applyBorder="1"/>
    <xf numFmtId="0" fontId="0" fillId="17" borderId="19" xfId="0" applyFill="1" applyBorder="1"/>
    <xf numFmtId="0" fontId="2" fillId="5" borderId="0" xfId="0" applyFont="1" applyFill="1"/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12" borderId="21" xfId="0" applyFill="1" applyBorder="1" applyAlignment="1">
      <alignment horizontal="center" vertical="center"/>
    </xf>
    <xf numFmtId="0" fontId="1" fillId="14" borderId="23" xfId="0" applyFont="1" applyFill="1" applyBorder="1" applyAlignment="1">
      <alignment horizontal="center" vertical="center"/>
    </xf>
    <xf numFmtId="0" fontId="1" fillId="14" borderId="21" xfId="0" applyFont="1" applyFill="1" applyBorder="1" applyAlignment="1">
      <alignment horizontal="center" vertical="center"/>
    </xf>
    <xf numFmtId="0" fontId="1" fillId="15" borderId="22" xfId="0" applyFont="1" applyFill="1" applyBorder="1" applyAlignment="1">
      <alignment horizontal="center" vertical="center"/>
    </xf>
    <xf numFmtId="0" fontId="0" fillId="16" borderId="20" xfId="0" applyFill="1" applyBorder="1" applyAlignment="1">
      <alignment horizontal="center" vertical="center"/>
    </xf>
    <xf numFmtId="0" fontId="0" fillId="16" borderId="21" xfId="0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14" borderId="25" xfId="0" applyFont="1" applyFill="1" applyBorder="1" applyAlignment="1">
      <alignment horizontal="center" vertical="center"/>
    </xf>
    <xf numFmtId="0" fontId="1" fillId="18" borderId="18" xfId="0" applyFont="1" applyFill="1" applyBorder="1"/>
    <xf numFmtId="0" fontId="0" fillId="5" borderId="19" xfId="0" applyFill="1" applyBorder="1"/>
    <xf numFmtId="0" fontId="1" fillId="3" borderId="18" xfId="0" applyFont="1" applyFill="1" applyBorder="1"/>
    <xf numFmtId="0" fontId="0" fillId="16" borderId="19" xfId="0" applyFill="1" applyBorder="1"/>
    <xf numFmtId="0" fontId="0" fillId="12" borderId="19" xfId="0" applyFill="1" applyBorder="1"/>
    <xf numFmtId="0" fontId="0" fillId="9" borderId="19" xfId="0" applyFill="1" applyBorder="1"/>
    <xf numFmtId="10" fontId="0" fillId="8" borderId="16" xfId="0" applyNumberFormat="1" applyFill="1" applyBorder="1" applyAlignment="1">
      <alignment horizontal="center" vertical="center"/>
    </xf>
    <xf numFmtId="10" fontId="0" fillId="9" borderId="17" xfId="0" applyNumberFormat="1" applyFill="1" applyBorder="1" applyAlignment="1">
      <alignment horizontal="center" vertical="center"/>
    </xf>
    <xf numFmtId="10" fontId="0" fillId="10" borderId="16" xfId="0" applyNumberFormat="1" applyFill="1" applyBorder="1" applyAlignment="1">
      <alignment horizontal="center" vertical="center"/>
    </xf>
    <xf numFmtId="10" fontId="0" fillId="5" borderId="17" xfId="0" applyNumberFormat="1" applyFill="1" applyBorder="1" applyAlignment="1">
      <alignment horizontal="center" vertical="center"/>
    </xf>
    <xf numFmtId="10" fontId="0" fillId="12" borderId="25" xfId="0" applyNumberFormat="1" applyFill="1" applyBorder="1" applyAlignment="1">
      <alignment horizontal="center" vertical="center"/>
    </xf>
    <xf numFmtId="10" fontId="0" fillId="16" borderId="25" xfId="0" applyNumberForma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22" borderId="9" xfId="0" applyFill="1" applyBorder="1" applyAlignment="1">
      <alignment horizontal="center" vertical="center"/>
    </xf>
    <xf numFmtId="0" fontId="1" fillId="20" borderId="10" xfId="0" applyFont="1" applyFill="1" applyBorder="1" applyAlignment="1">
      <alignment horizontal="center" vertical="center"/>
    </xf>
    <xf numFmtId="0" fontId="1" fillId="20" borderId="11" xfId="0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 vertical="center"/>
    </xf>
    <xf numFmtId="0" fontId="1" fillId="19" borderId="13" xfId="0" applyFont="1" applyFill="1" applyBorder="1" applyAlignment="1">
      <alignment horizontal="center" vertical="center"/>
    </xf>
    <xf numFmtId="0" fontId="0" fillId="21" borderId="3" xfId="0" applyFill="1" applyBorder="1" applyAlignment="1">
      <alignment horizontal="center" vertical="center"/>
    </xf>
    <xf numFmtId="0" fontId="0" fillId="21" borderId="4" xfId="0" applyFill="1" applyBorder="1" applyAlignment="1">
      <alignment horizontal="center" vertical="center"/>
    </xf>
    <xf numFmtId="0" fontId="0" fillId="22" borderId="6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22" borderId="8" xfId="0" applyFill="1" applyBorder="1" applyAlignment="1">
      <alignment horizontal="center" vertical="center"/>
    </xf>
    <xf numFmtId="0" fontId="1" fillId="19" borderId="14" xfId="0" applyFont="1" applyFill="1" applyBorder="1" applyAlignment="1">
      <alignment horizontal="center" vertical="center"/>
    </xf>
    <xf numFmtId="0" fontId="1" fillId="20" borderId="15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10" fontId="0" fillId="21" borderId="5" xfId="0" applyNumberFormat="1" applyFill="1" applyBorder="1" applyAlignment="1">
      <alignment horizontal="center" vertical="center"/>
    </xf>
    <xf numFmtId="10" fontId="0" fillId="22" borderId="7" xfId="0" applyNumberFormat="1" applyFill="1" applyBorder="1" applyAlignment="1">
      <alignment horizontal="center" vertical="center"/>
    </xf>
    <xf numFmtId="10" fontId="0" fillId="21" borderId="7" xfId="0" applyNumberFormat="1" applyFill="1" applyBorder="1" applyAlignment="1">
      <alignment horizontal="center" vertical="center"/>
    </xf>
    <xf numFmtId="10" fontId="0" fillId="22" borderId="26" xfId="0" applyNumberFormat="1" applyFill="1" applyBorder="1" applyAlignment="1">
      <alignment horizontal="center" vertical="center"/>
    </xf>
    <xf numFmtId="0" fontId="1" fillId="19" borderId="18" xfId="0" applyFont="1" applyFill="1" applyBorder="1" applyAlignment="1">
      <alignment horizontal="left" vertical="center"/>
    </xf>
    <xf numFmtId="0" fontId="3" fillId="5" borderId="0" xfId="0" applyFont="1" applyFill="1" applyAlignment="1">
      <alignment horizontal="center" vertical="center"/>
    </xf>
    <xf numFmtId="0" fontId="0" fillId="22" borderId="19" xfId="0" applyFill="1" applyBorder="1" applyAlignment="1">
      <alignment horizontal="right" vertical="center"/>
    </xf>
    <xf numFmtId="0" fontId="1" fillId="19" borderId="18" xfId="0" applyFont="1" applyFill="1" applyBorder="1"/>
    <xf numFmtId="0" fontId="0" fillId="22" borderId="19" xfId="0" applyFill="1" applyBorder="1"/>
    <xf numFmtId="2" fontId="0" fillId="22" borderId="8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10" fontId="0" fillId="5" borderId="0" xfId="0" applyNumberFormat="1" applyFill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10" fontId="0" fillId="5" borderId="29" xfId="0" applyNumberFormat="1" applyFill="1" applyBorder="1" applyAlignment="1">
      <alignment horizontal="center" vertical="center"/>
    </xf>
    <xf numFmtId="10" fontId="0" fillId="12" borderId="7" xfId="0" applyNumberFormat="1" applyFill="1" applyBorder="1" applyAlignment="1">
      <alignment horizontal="center" vertical="center"/>
    </xf>
    <xf numFmtId="10" fontId="0" fillId="13" borderId="30" xfId="0" applyNumberFormat="1" applyFill="1" applyBorder="1" applyAlignment="1">
      <alignment horizontal="center" vertical="center"/>
    </xf>
    <xf numFmtId="10" fontId="0" fillId="23" borderId="7" xfId="0" applyNumberFormat="1" applyFill="1" applyBorder="1" applyAlignment="1">
      <alignment horizontal="center" vertical="center"/>
    </xf>
    <xf numFmtId="10" fontId="0" fillId="23" borderId="26" xfId="0" applyNumberFormat="1" applyFill="1" applyBorder="1" applyAlignment="1">
      <alignment horizontal="center" vertical="center"/>
    </xf>
    <xf numFmtId="0" fontId="0" fillId="24" borderId="3" xfId="0" applyFill="1" applyBorder="1" applyAlignment="1">
      <alignment horizontal="center" vertical="center"/>
    </xf>
    <xf numFmtId="0" fontId="0" fillId="24" borderId="4" xfId="0" applyFill="1" applyBorder="1" applyAlignment="1">
      <alignment horizontal="center" vertical="center"/>
    </xf>
    <xf numFmtId="10" fontId="0" fillId="24" borderId="5" xfId="0" applyNumberFormat="1" applyFill="1" applyBorder="1" applyAlignment="1">
      <alignment horizontal="center" vertical="center"/>
    </xf>
    <xf numFmtId="0" fontId="0" fillId="24" borderId="6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10" fontId="0" fillId="24" borderId="7" xfId="0" applyNumberFormat="1" applyFill="1" applyBorder="1" applyAlignment="1">
      <alignment horizontal="center" vertical="center"/>
    </xf>
    <xf numFmtId="10" fontId="0" fillId="24" borderId="16" xfId="0" applyNumberFormat="1" applyFill="1" applyBorder="1" applyAlignment="1">
      <alignment horizontal="center" vertical="center"/>
    </xf>
    <xf numFmtId="0" fontId="0" fillId="24" borderId="8" xfId="0" applyFill="1" applyBorder="1" applyAlignment="1">
      <alignment horizontal="center" vertical="center"/>
    </xf>
    <xf numFmtId="0" fontId="0" fillId="24" borderId="9" xfId="0" applyFill="1" applyBorder="1" applyAlignment="1">
      <alignment horizontal="center" vertical="center"/>
    </xf>
    <xf numFmtId="0" fontId="1" fillId="25" borderId="15" xfId="0" applyFont="1" applyFill="1" applyBorder="1" applyAlignment="1">
      <alignment horizontal="center" vertical="center"/>
    </xf>
    <xf numFmtId="0" fontId="1" fillId="25" borderId="10" xfId="0" applyFont="1" applyFill="1" applyBorder="1" applyAlignment="1">
      <alignment horizontal="center" vertical="center"/>
    </xf>
    <xf numFmtId="0" fontId="1" fillId="25" borderId="11" xfId="0" applyFont="1" applyFill="1" applyBorder="1" applyAlignment="1">
      <alignment horizontal="center" vertical="center"/>
    </xf>
    <xf numFmtId="0" fontId="0" fillId="26" borderId="6" xfId="0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10" fontId="0" fillId="26" borderId="7" xfId="0" applyNumberFormat="1" applyFill="1" applyBorder="1" applyAlignment="1">
      <alignment horizontal="center" vertical="center"/>
    </xf>
    <xf numFmtId="0" fontId="0" fillId="26" borderId="8" xfId="0" applyFill="1" applyBorder="1" applyAlignment="1">
      <alignment horizontal="center" vertical="center"/>
    </xf>
    <xf numFmtId="0" fontId="0" fillId="26" borderId="9" xfId="0" applyFill="1" applyBorder="1" applyAlignment="1">
      <alignment horizontal="center" vertical="center"/>
    </xf>
    <xf numFmtId="10" fontId="0" fillId="26" borderId="26" xfId="0" applyNumberFormat="1" applyFill="1" applyBorder="1" applyAlignment="1">
      <alignment horizontal="center" vertical="center"/>
    </xf>
    <xf numFmtId="0" fontId="0" fillId="24" borderId="19" xfId="0" applyFill="1" applyBorder="1"/>
    <xf numFmtId="0" fontId="0" fillId="26" borderId="19" xfId="0" applyFill="1" applyBorder="1"/>
    <xf numFmtId="0" fontId="1" fillId="27" borderId="2" xfId="0" applyFont="1" applyFill="1" applyBorder="1" applyAlignment="1">
      <alignment horizontal="center" vertical="center"/>
    </xf>
    <xf numFmtId="0" fontId="1" fillId="27" borderId="14" xfId="0" applyFont="1" applyFill="1" applyBorder="1" applyAlignment="1">
      <alignment horizontal="center" vertical="center"/>
    </xf>
    <xf numFmtId="0" fontId="1" fillId="27" borderId="12" xfId="0" applyFont="1" applyFill="1" applyBorder="1" applyAlignment="1">
      <alignment horizontal="center" vertical="center"/>
    </xf>
    <xf numFmtId="0" fontId="1" fillId="27" borderId="13" xfId="0" applyFont="1" applyFill="1" applyBorder="1" applyAlignment="1">
      <alignment horizontal="center" vertical="center"/>
    </xf>
    <xf numFmtId="0" fontId="1" fillId="28" borderId="15" xfId="0" applyFont="1" applyFill="1" applyBorder="1" applyAlignment="1">
      <alignment horizontal="center" vertical="center"/>
    </xf>
    <xf numFmtId="0" fontId="1" fillId="28" borderId="10" xfId="0" applyFont="1" applyFill="1" applyBorder="1" applyAlignment="1">
      <alignment horizontal="center" vertical="center"/>
    </xf>
    <xf numFmtId="0" fontId="1" fillId="28" borderId="11" xfId="0" applyFont="1" applyFill="1" applyBorder="1" applyAlignment="1">
      <alignment horizontal="center" vertical="center"/>
    </xf>
    <xf numFmtId="0" fontId="1" fillId="29" borderId="2" xfId="0" applyFont="1" applyFill="1" applyBorder="1" applyAlignment="1">
      <alignment horizontal="center" vertical="center"/>
    </xf>
    <xf numFmtId="0" fontId="1" fillId="29" borderId="14" xfId="0" applyFont="1" applyFill="1" applyBorder="1" applyAlignment="1">
      <alignment horizontal="center" vertical="center"/>
    </xf>
    <xf numFmtId="0" fontId="1" fillId="29" borderId="12" xfId="0" applyFont="1" applyFill="1" applyBorder="1" applyAlignment="1">
      <alignment horizontal="center" vertical="center"/>
    </xf>
    <xf numFmtId="0" fontId="1" fillId="29" borderId="13" xfId="0" applyFont="1" applyFill="1" applyBorder="1" applyAlignment="1">
      <alignment horizontal="center" vertical="center"/>
    </xf>
    <xf numFmtId="0" fontId="0" fillId="30" borderId="3" xfId="0" applyFill="1" applyBorder="1" applyAlignment="1">
      <alignment horizontal="center" vertical="center"/>
    </xf>
    <xf numFmtId="0" fontId="0" fillId="30" borderId="4" xfId="0" applyFill="1" applyBorder="1" applyAlignment="1">
      <alignment horizontal="center" vertical="center"/>
    </xf>
    <xf numFmtId="10" fontId="0" fillId="30" borderId="5" xfId="0" applyNumberFormat="1" applyFill="1" applyBorder="1" applyAlignment="1">
      <alignment horizontal="center" vertical="center"/>
    </xf>
    <xf numFmtId="0" fontId="1" fillId="31" borderId="15" xfId="0" applyFont="1" applyFill="1" applyBorder="1" applyAlignment="1">
      <alignment horizontal="center" vertical="center"/>
    </xf>
    <xf numFmtId="0" fontId="1" fillId="31" borderId="10" xfId="0" applyFont="1" applyFill="1" applyBorder="1" applyAlignment="1">
      <alignment horizontal="center" vertical="center"/>
    </xf>
    <xf numFmtId="0" fontId="1" fillId="31" borderId="11" xfId="0" applyFont="1" applyFill="1" applyBorder="1" applyAlignment="1">
      <alignment horizontal="center" vertical="center"/>
    </xf>
    <xf numFmtId="0" fontId="1" fillId="32" borderId="2" xfId="0" applyFont="1" applyFill="1" applyBorder="1" applyAlignment="1">
      <alignment horizontal="center" vertical="center"/>
    </xf>
    <xf numFmtId="0" fontId="1" fillId="32" borderId="14" xfId="0" applyFont="1" applyFill="1" applyBorder="1" applyAlignment="1">
      <alignment horizontal="center" vertical="center"/>
    </xf>
    <xf numFmtId="0" fontId="1" fillId="32" borderId="12" xfId="0" applyFont="1" applyFill="1" applyBorder="1" applyAlignment="1">
      <alignment horizontal="center" vertical="center"/>
    </xf>
    <xf numFmtId="0" fontId="1" fillId="32" borderId="13" xfId="0" applyFont="1" applyFill="1" applyBorder="1" applyAlignment="1">
      <alignment horizontal="center" vertical="center"/>
    </xf>
    <xf numFmtId="0" fontId="1" fillId="32" borderId="18" xfId="0" applyFont="1" applyFill="1" applyBorder="1"/>
    <xf numFmtId="9" fontId="1" fillId="27" borderId="18" xfId="0" applyNumberFormat="1" applyFont="1" applyFill="1" applyBorder="1"/>
    <xf numFmtId="0" fontId="4" fillId="5" borderId="0" xfId="0" applyFont="1" applyFill="1"/>
    <xf numFmtId="0" fontId="4" fillId="34" borderId="3" xfId="0" applyFont="1" applyFill="1" applyBorder="1" applyAlignment="1">
      <alignment horizontal="center" vertical="center"/>
    </xf>
    <xf numFmtId="0" fontId="4" fillId="34" borderId="4" xfId="0" applyFont="1" applyFill="1" applyBorder="1" applyAlignment="1">
      <alignment horizontal="center" vertical="center"/>
    </xf>
    <xf numFmtId="10" fontId="4" fillId="34" borderId="5" xfId="0" applyNumberFormat="1" applyFont="1" applyFill="1" applyBorder="1" applyAlignment="1">
      <alignment horizontal="center" vertical="center"/>
    </xf>
    <xf numFmtId="0" fontId="4" fillId="35" borderId="6" xfId="0" applyFont="1" applyFill="1" applyBorder="1" applyAlignment="1">
      <alignment horizontal="center" vertical="center"/>
    </xf>
    <xf numFmtId="0" fontId="4" fillId="35" borderId="1" xfId="0" applyFont="1" applyFill="1" applyBorder="1" applyAlignment="1">
      <alignment horizontal="center" vertical="center"/>
    </xf>
    <xf numFmtId="10" fontId="4" fillId="35" borderId="7" xfId="0" applyNumberFormat="1" applyFont="1" applyFill="1" applyBorder="1" applyAlignment="1">
      <alignment horizontal="center" vertical="center"/>
    </xf>
    <xf numFmtId="0" fontId="4" fillId="34" borderId="1" xfId="0" applyFont="1" applyFill="1" applyBorder="1" applyAlignment="1">
      <alignment horizontal="center" vertical="center"/>
    </xf>
    <xf numFmtId="10" fontId="4" fillId="34" borderId="16" xfId="0" applyNumberFormat="1" applyFont="1" applyFill="1" applyBorder="1" applyAlignment="1">
      <alignment horizontal="center" vertical="center"/>
    </xf>
    <xf numFmtId="0" fontId="4" fillId="35" borderId="8" xfId="0" applyFont="1" applyFill="1" applyBorder="1" applyAlignment="1">
      <alignment horizontal="center" vertical="center"/>
    </xf>
    <xf numFmtId="0" fontId="4" fillId="35" borderId="9" xfId="0" applyFont="1" applyFill="1" applyBorder="1" applyAlignment="1">
      <alignment horizontal="center" vertical="center"/>
    </xf>
    <xf numFmtId="0" fontId="4" fillId="33" borderId="19" xfId="0" applyFont="1" applyFill="1" applyBorder="1"/>
    <xf numFmtId="10" fontId="4" fillId="35" borderId="30" xfId="0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1" fillId="27" borderId="18" xfId="0" applyFont="1" applyFill="1" applyBorder="1"/>
    <xf numFmtId="10" fontId="0" fillId="26" borderId="16" xfId="0" applyNumberFormat="1" applyFill="1" applyBorder="1" applyAlignment="1">
      <alignment horizontal="center" vertical="center"/>
    </xf>
    <xf numFmtId="10" fontId="0" fillId="24" borderId="17" xfId="0" applyNumberFormat="1" applyFill="1" applyBorder="1" applyAlignment="1">
      <alignment horizontal="center" vertical="center"/>
    </xf>
    <xf numFmtId="0" fontId="1" fillId="36" borderId="2" xfId="0" applyFont="1" applyFill="1" applyBorder="1" applyAlignment="1">
      <alignment horizontal="center" vertical="center"/>
    </xf>
    <xf numFmtId="0" fontId="1" fillId="36" borderId="23" xfId="0" applyFont="1" applyFill="1" applyBorder="1" applyAlignment="1">
      <alignment horizontal="center" vertical="center"/>
    </xf>
    <xf numFmtId="0" fontId="1" fillId="36" borderId="21" xfId="0" applyFont="1" applyFill="1" applyBorder="1" applyAlignment="1">
      <alignment horizontal="center" vertical="center"/>
    </xf>
    <xf numFmtId="0" fontId="1" fillId="36" borderId="25" xfId="0" applyFont="1" applyFill="1" applyBorder="1" applyAlignment="1">
      <alignment horizontal="center" vertical="center"/>
    </xf>
    <xf numFmtId="0" fontId="1" fillId="36" borderId="18" xfId="0" applyFont="1" applyFill="1" applyBorder="1"/>
    <xf numFmtId="0" fontId="1" fillId="31" borderId="22" xfId="0" applyFont="1" applyFill="1" applyBorder="1" applyAlignment="1">
      <alignment horizontal="center" vertical="center"/>
    </xf>
    <xf numFmtId="0" fontId="2" fillId="34" borderId="20" xfId="0" applyFont="1" applyFill="1" applyBorder="1" applyAlignment="1">
      <alignment horizontal="center" vertical="center"/>
    </xf>
    <xf numFmtId="0" fontId="2" fillId="34" borderId="21" xfId="0" applyFont="1" applyFill="1" applyBorder="1" applyAlignment="1">
      <alignment horizontal="center" vertical="center"/>
    </xf>
    <xf numFmtId="10" fontId="2" fillId="34" borderId="25" xfId="0" applyNumberFormat="1" applyFont="1" applyFill="1" applyBorder="1" applyAlignment="1">
      <alignment horizontal="center" vertical="center"/>
    </xf>
    <xf numFmtId="0" fontId="2" fillId="34" borderId="19" xfId="0" applyFont="1" applyFill="1" applyBorder="1"/>
    <xf numFmtId="0" fontId="5" fillId="37" borderId="2" xfId="0" applyFont="1" applyFill="1" applyBorder="1" applyAlignment="1">
      <alignment horizontal="center" vertical="center"/>
    </xf>
    <xf numFmtId="0" fontId="5" fillId="37" borderId="14" xfId="0" applyFont="1" applyFill="1" applyBorder="1" applyAlignment="1">
      <alignment horizontal="center" vertical="center"/>
    </xf>
    <xf numFmtId="0" fontId="5" fillId="37" borderId="12" xfId="0" applyFont="1" applyFill="1" applyBorder="1" applyAlignment="1">
      <alignment horizontal="center" vertical="center"/>
    </xf>
    <xf numFmtId="0" fontId="5" fillId="37" borderId="13" xfId="0" applyFont="1" applyFill="1" applyBorder="1" applyAlignment="1">
      <alignment horizontal="center" vertical="center"/>
    </xf>
    <xf numFmtId="0" fontId="5" fillId="38" borderId="10" xfId="0" applyFont="1" applyFill="1" applyBorder="1" applyAlignment="1">
      <alignment horizontal="center" vertical="center"/>
    </xf>
    <xf numFmtId="0" fontId="5" fillId="38" borderId="11" xfId="0" applyFont="1" applyFill="1" applyBorder="1" applyAlignment="1">
      <alignment horizontal="center" vertical="center"/>
    </xf>
    <xf numFmtId="0" fontId="2" fillId="39" borderId="6" xfId="0" applyFont="1" applyFill="1" applyBorder="1" applyAlignment="1">
      <alignment horizontal="center" vertical="center"/>
    </xf>
    <xf numFmtId="0" fontId="2" fillId="39" borderId="1" xfId="0" applyFont="1" applyFill="1" applyBorder="1" applyAlignment="1">
      <alignment horizontal="center" vertical="center"/>
    </xf>
    <xf numFmtId="10" fontId="2" fillId="39" borderId="7" xfId="0" applyNumberFormat="1" applyFont="1" applyFill="1" applyBorder="1" applyAlignment="1">
      <alignment horizontal="center" vertical="center"/>
    </xf>
    <xf numFmtId="0" fontId="5" fillId="37" borderId="18" xfId="0" applyFont="1" applyFill="1" applyBorder="1" applyAlignment="1">
      <alignment horizontal="left" vertical="center"/>
    </xf>
    <xf numFmtId="0" fontId="2" fillId="40" borderId="8" xfId="0" applyFont="1" applyFill="1" applyBorder="1" applyAlignment="1">
      <alignment horizontal="center" vertical="center"/>
    </xf>
    <xf numFmtId="0" fontId="2" fillId="40" borderId="9" xfId="0" applyFont="1" applyFill="1" applyBorder="1" applyAlignment="1">
      <alignment horizontal="center" vertical="center"/>
    </xf>
    <xf numFmtId="10" fontId="2" fillId="40" borderId="26" xfId="0" applyNumberFormat="1" applyFont="1" applyFill="1" applyBorder="1" applyAlignment="1">
      <alignment horizontal="center" vertical="center"/>
    </xf>
    <xf numFmtId="0" fontId="2" fillId="40" borderId="19" xfId="0" applyFont="1" applyFill="1" applyBorder="1" applyAlignment="1">
      <alignment horizontal="right" vertical="center"/>
    </xf>
    <xf numFmtId="2" fontId="0" fillId="40" borderId="8" xfId="0" applyNumberFormat="1" applyFill="1" applyBorder="1" applyAlignment="1">
      <alignment horizontal="center" vertical="center"/>
    </xf>
    <xf numFmtId="0" fontId="0" fillId="40" borderId="9" xfId="0" applyFill="1" applyBorder="1" applyAlignment="1">
      <alignment horizontal="center" vertical="center"/>
    </xf>
    <xf numFmtId="10" fontId="0" fillId="40" borderId="26" xfId="0" applyNumberFormat="1" applyFill="1" applyBorder="1" applyAlignment="1">
      <alignment horizontal="center" vertical="center"/>
    </xf>
    <xf numFmtId="0" fontId="0" fillId="40" borderId="19" xfId="0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10" fontId="6" fillId="12" borderId="30" xfId="0" applyNumberFormat="1" applyFont="1" applyFill="1" applyBorder="1" applyAlignment="1">
      <alignment horizontal="center" vertical="center"/>
    </xf>
    <xf numFmtId="10" fontId="6" fillId="13" borderId="7" xfId="0" applyNumberFormat="1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0" fillId="12" borderId="32" xfId="0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0" fillId="12" borderId="33" xfId="0" applyFill="1" applyBorder="1" applyAlignment="1">
      <alignment horizontal="center" vertical="center"/>
    </xf>
    <xf numFmtId="0" fontId="5" fillId="37" borderId="31" xfId="0" applyFont="1" applyFill="1" applyBorder="1" applyAlignment="1">
      <alignment horizontal="center" vertical="center"/>
    </xf>
    <xf numFmtId="0" fontId="5" fillId="37" borderId="20" xfId="0" applyFont="1" applyFill="1" applyBorder="1" applyAlignment="1">
      <alignment horizontal="center" vertical="center"/>
    </xf>
    <xf numFmtId="0" fontId="5" fillId="37" borderId="23" xfId="0" applyFont="1" applyFill="1" applyBorder="1" applyAlignment="1">
      <alignment horizontal="center" vertical="center"/>
    </xf>
    <xf numFmtId="10" fontId="0" fillId="13" borderId="16" xfId="0" applyNumberFormat="1" applyFill="1" applyBorder="1" applyAlignment="1">
      <alignment horizontal="center" vertical="center"/>
    </xf>
    <xf numFmtId="0" fontId="1" fillId="4" borderId="34" xfId="0" applyFont="1" applyFill="1" applyBorder="1"/>
    <xf numFmtId="0" fontId="0" fillId="5" borderId="0" xfId="0" applyFill="1" applyAlignment="1">
      <alignment horizontal="center"/>
    </xf>
    <xf numFmtId="0" fontId="3" fillId="5" borderId="0" xfId="0" applyFont="1" applyFill="1"/>
    <xf numFmtId="0" fontId="0" fillId="26" borderId="27" xfId="0" applyFill="1" applyBorder="1" applyAlignment="1">
      <alignment horizontal="center" vertical="center"/>
    </xf>
    <xf numFmtId="10" fontId="0" fillId="24" borderId="35" xfId="1" applyNumberFormat="1" applyFont="1" applyFill="1" applyBorder="1" applyAlignment="1">
      <alignment horizontal="center" vertical="center"/>
    </xf>
    <xf numFmtId="10" fontId="0" fillId="26" borderId="35" xfId="1" applyNumberFormat="1" applyFont="1" applyFill="1" applyBorder="1" applyAlignment="1">
      <alignment horizontal="center" vertical="center"/>
    </xf>
    <xf numFmtId="0" fontId="4" fillId="23" borderId="8" xfId="0" applyFont="1" applyFill="1" applyBorder="1" applyAlignment="1">
      <alignment horizontal="center" vertical="center"/>
    </xf>
    <xf numFmtId="0" fontId="4" fillId="23" borderId="9" xfId="0" applyFont="1" applyFill="1" applyBorder="1" applyAlignment="1">
      <alignment horizontal="center" vertical="center"/>
    </xf>
    <xf numFmtId="0" fontId="4" fillId="23" borderId="19" xfId="0" applyFont="1" applyFill="1" applyBorder="1"/>
    <xf numFmtId="10" fontId="0" fillId="23" borderId="17" xfId="0" applyNumberFormat="1" applyFill="1" applyBorder="1" applyAlignment="1">
      <alignment horizontal="center" vertical="center"/>
    </xf>
    <xf numFmtId="0" fontId="6" fillId="12" borderId="27" xfId="0" applyFont="1" applyFill="1" applyBorder="1" applyAlignment="1">
      <alignment horizontal="center" vertical="center"/>
    </xf>
    <xf numFmtId="0" fontId="6" fillId="12" borderId="28" xfId="0" applyFont="1" applyFill="1" applyBorder="1" applyAlignment="1">
      <alignment horizontal="center" vertical="center"/>
    </xf>
    <xf numFmtId="10" fontId="6" fillId="12" borderId="29" xfId="0" applyNumberFormat="1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10" fontId="6" fillId="12" borderId="38" xfId="0" applyNumberFormat="1" applyFont="1" applyFill="1" applyBorder="1" applyAlignment="1">
      <alignment horizontal="center" vertical="center"/>
    </xf>
    <xf numFmtId="10" fontId="6" fillId="12" borderId="39" xfId="0" applyNumberFormat="1" applyFont="1" applyFill="1" applyBorder="1" applyAlignment="1">
      <alignment horizontal="center" vertical="center"/>
    </xf>
    <xf numFmtId="0" fontId="6" fillId="12" borderId="35" xfId="0" applyFont="1" applyFill="1" applyBorder="1" applyAlignment="1">
      <alignment horizontal="center" vertical="center"/>
    </xf>
    <xf numFmtId="0" fontId="6" fillId="13" borderId="35" xfId="0" applyFont="1" applyFill="1" applyBorder="1" applyAlignment="1">
      <alignment horizontal="center" vertical="center"/>
    </xf>
    <xf numFmtId="10" fontId="6" fillId="13" borderId="40" xfId="0" applyNumberFormat="1" applyFont="1" applyFill="1" applyBorder="1" applyAlignment="1">
      <alignment horizontal="center" vertical="center"/>
    </xf>
    <xf numFmtId="10" fontId="6" fillId="13" borderId="39" xfId="0" applyNumberFormat="1" applyFont="1" applyFill="1" applyBorder="1" applyAlignment="1">
      <alignment horizontal="center" vertical="center"/>
    </xf>
    <xf numFmtId="0" fontId="6" fillId="13" borderId="27" xfId="0" applyFont="1" applyFill="1" applyBorder="1" applyAlignment="1">
      <alignment horizontal="center" vertical="center"/>
    </xf>
    <xf numFmtId="0" fontId="0" fillId="5" borderId="22" xfId="0" applyFill="1" applyBorder="1"/>
    <xf numFmtId="0" fontId="5" fillId="38" borderId="2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/>
    </xf>
    <xf numFmtId="0" fontId="2" fillId="5" borderId="37" xfId="0" applyFont="1" applyFill="1" applyBorder="1"/>
    <xf numFmtId="0" fontId="0" fillId="5" borderId="37" xfId="0" applyFill="1" applyBorder="1"/>
    <xf numFmtId="0" fontId="4" fillId="5" borderId="0" xfId="0" quotePrefix="1" applyFont="1" applyFill="1"/>
    <xf numFmtId="0" fontId="0" fillId="23" borderId="41" xfId="0" applyFill="1" applyBorder="1"/>
    <xf numFmtId="0" fontId="2" fillId="23" borderId="41" xfId="0" applyFont="1" applyFill="1" applyBorder="1"/>
    <xf numFmtId="0" fontId="8" fillId="33" borderId="36" xfId="0" applyFont="1" applyFill="1" applyBorder="1"/>
    <xf numFmtId="0" fontId="8" fillId="33" borderId="31" xfId="0" applyFont="1" applyFill="1" applyBorder="1"/>
    <xf numFmtId="0" fontId="4" fillId="4" borderId="37" xfId="0" applyFont="1" applyFill="1" applyBorder="1" applyAlignment="1">
      <alignment horizontal="center"/>
    </xf>
    <xf numFmtId="0" fontId="4" fillId="41" borderId="43" xfId="0" applyFont="1" applyFill="1" applyBorder="1" applyAlignment="1">
      <alignment horizontal="center"/>
    </xf>
    <xf numFmtId="0" fontId="0" fillId="13" borderId="46" xfId="0" applyFill="1" applyBorder="1" applyAlignment="1">
      <alignment horizontal="center" vertical="center"/>
    </xf>
    <xf numFmtId="0" fontId="0" fillId="12" borderId="47" xfId="0" applyFill="1" applyBorder="1" applyAlignment="1">
      <alignment horizontal="center" vertical="center"/>
    </xf>
    <xf numFmtId="0" fontId="0" fillId="13" borderId="48" xfId="0" applyFill="1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4" fillId="4" borderId="50" xfId="0" applyFont="1" applyFill="1" applyBorder="1" applyAlignment="1">
      <alignment horizontal="center" vertical="center"/>
    </xf>
    <xf numFmtId="0" fontId="4" fillId="41" borderId="47" xfId="0" applyFont="1" applyFill="1" applyBorder="1" applyAlignment="1">
      <alignment horizontal="center"/>
    </xf>
    <xf numFmtId="0" fontId="0" fillId="5" borderId="52" xfId="0" applyFill="1" applyBorder="1" applyAlignment="1">
      <alignment horizontal="center"/>
    </xf>
    <xf numFmtId="0" fontId="10" fillId="5" borderId="0" xfId="0" applyFont="1" applyFill="1" applyAlignment="1">
      <alignment horizontal="center"/>
    </xf>
    <xf numFmtId="0" fontId="12" fillId="43" borderId="0" xfId="2" applyFont="1" applyFill="1"/>
    <xf numFmtId="0" fontId="13" fillId="5" borderId="0" xfId="0" applyFont="1" applyFill="1"/>
    <xf numFmtId="0" fontId="9" fillId="5" borderId="6" xfId="0" applyFont="1" applyFill="1" applyBorder="1" applyAlignment="1">
      <alignment horizontal="center" vertical="center"/>
    </xf>
    <xf numFmtId="0" fontId="8" fillId="34" borderId="6" xfId="0" applyFont="1" applyFill="1" applyBorder="1" applyAlignment="1">
      <alignment horizontal="center" vertical="center"/>
    </xf>
    <xf numFmtId="0" fontId="9" fillId="13" borderId="6" xfId="0" applyFont="1" applyFill="1" applyBorder="1" applyAlignment="1">
      <alignment horizontal="center" vertical="center"/>
    </xf>
    <xf numFmtId="0" fontId="9" fillId="12" borderId="6" xfId="0" applyFont="1" applyFill="1" applyBorder="1" applyAlignment="1">
      <alignment horizontal="center" vertical="center"/>
    </xf>
    <xf numFmtId="0" fontId="13" fillId="5" borderId="0" xfId="0" applyFont="1" applyFill="1" applyAlignment="1">
      <alignment horizontal="center"/>
    </xf>
    <xf numFmtId="0" fontId="0" fillId="44" borderId="0" xfId="0" applyFill="1"/>
    <xf numFmtId="0" fontId="13" fillId="5" borderId="0" xfId="0" applyFont="1" applyFill="1" applyAlignment="1">
      <alignment horizontal="center" vertical="center"/>
    </xf>
    <xf numFmtId="10" fontId="0" fillId="48" borderId="5" xfId="0" applyNumberFormat="1" applyFill="1" applyBorder="1" applyAlignment="1">
      <alignment horizontal="center" vertical="center"/>
    </xf>
    <xf numFmtId="10" fontId="4" fillId="47" borderId="26" xfId="0" applyNumberFormat="1" applyFont="1" applyFill="1" applyBorder="1" applyAlignment="1">
      <alignment horizontal="center" vertical="center"/>
    </xf>
    <xf numFmtId="0" fontId="8" fillId="45" borderId="29" xfId="0" applyFont="1" applyFill="1" applyBorder="1" applyAlignment="1">
      <alignment horizontal="center" vertical="center"/>
    </xf>
    <xf numFmtId="0" fontId="8" fillId="45" borderId="7" xfId="0" applyFont="1" applyFill="1" applyBorder="1" applyAlignment="1">
      <alignment horizontal="center" vertical="center"/>
    </xf>
    <xf numFmtId="0" fontId="8" fillId="45" borderId="26" xfId="0" applyFont="1" applyFill="1" applyBorder="1" applyAlignment="1">
      <alignment horizontal="center" vertical="center"/>
    </xf>
    <xf numFmtId="0" fontId="0" fillId="44" borderId="0" xfId="0" applyFill="1" applyAlignment="1">
      <alignment horizontal="center" vertical="center"/>
    </xf>
    <xf numFmtId="0" fontId="8" fillId="46" borderId="2" xfId="0" applyFont="1" applyFill="1" applyBorder="1" applyAlignment="1">
      <alignment horizontal="center" vertical="center"/>
    </xf>
    <xf numFmtId="0" fontId="8" fillId="47" borderId="18" xfId="0" applyFont="1" applyFill="1" applyBorder="1" applyAlignment="1">
      <alignment horizontal="center" vertical="center"/>
    </xf>
    <xf numFmtId="0" fontId="8" fillId="47" borderId="57" xfId="0" applyFont="1" applyFill="1" applyBorder="1" applyAlignment="1">
      <alignment horizontal="center" vertical="center"/>
    </xf>
    <xf numFmtId="0" fontId="8" fillId="47" borderId="37" xfId="0" applyFont="1" applyFill="1" applyBorder="1" applyAlignment="1">
      <alignment horizontal="center" vertical="center"/>
    </xf>
    <xf numFmtId="0" fontId="0" fillId="48" borderId="19" xfId="0" applyFill="1" applyBorder="1"/>
    <xf numFmtId="0" fontId="2" fillId="44" borderId="0" xfId="0" applyFont="1" applyFill="1"/>
    <xf numFmtId="0" fontId="4" fillId="44" borderId="0" xfId="0" applyFont="1" applyFill="1"/>
    <xf numFmtId="0" fontId="4" fillId="44" borderId="0" xfId="0" applyFont="1" applyFill="1" applyAlignment="1">
      <alignment horizontal="center" vertical="center"/>
    </xf>
    <xf numFmtId="0" fontId="3" fillId="44" borderId="0" xfId="0" applyFont="1" applyFill="1" applyAlignment="1">
      <alignment horizontal="center" vertical="center"/>
    </xf>
    <xf numFmtId="0" fontId="0" fillId="40" borderId="1" xfId="0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14" fillId="37" borderId="2" xfId="0" applyFont="1" applyFill="1" applyBorder="1" applyAlignment="1">
      <alignment horizontal="center" vertical="center"/>
    </xf>
    <xf numFmtId="0" fontId="14" fillId="37" borderId="14" xfId="0" applyFont="1" applyFill="1" applyBorder="1" applyAlignment="1">
      <alignment horizontal="center" vertical="center"/>
    </xf>
    <xf numFmtId="0" fontId="14" fillId="37" borderId="12" xfId="0" applyFont="1" applyFill="1" applyBorder="1" applyAlignment="1">
      <alignment horizontal="center" vertical="center"/>
    </xf>
    <xf numFmtId="0" fontId="14" fillId="37" borderId="13" xfId="0" applyFont="1" applyFill="1" applyBorder="1" applyAlignment="1">
      <alignment horizontal="center" vertical="center"/>
    </xf>
    <xf numFmtId="0" fontId="14" fillId="51" borderId="15" xfId="0" applyFont="1" applyFill="1" applyBorder="1" applyAlignment="1">
      <alignment horizontal="center" vertical="center"/>
    </xf>
    <xf numFmtId="0" fontId="0" fillId="39" borderId="3" xfId="0" applyFill="1" applyBorder="1" applyAlignment="1">
      <alignment horizontal="center" vertical="center"/>
    </xf>
    <xf numFmtId="0" fontId="0" fillId="39" borderId="4" xfId="0" applyFill="1" applyBorder="1" applyAlignment="1">
      <alignment horizontal="center" vertical="center"/>
    </xf>
    <xf numFmtId="10" fontId="0" fillId="39" borderId="7" xfId="0" applyNumberFormat="1" applyFill="1" applyBorder="1" applyAlignment="1">
      <alignment horizontal="center" vertical="center"/>
    </xf>
    <xf numFmtId="9" fontId="0" fillId="44" borderId="0" xfId="0" applyNumberFormat="1" applyFill="1"/>
    <xf numFmtId="0" fontId="14" fillId="51" borderId="10" xfId="0" applyFont="1" applyFill="1" applyBorder="1" applyAlignment="1">
      <alignment horizontal="center" vertical="center"/>
    </xf>
    <xf numFmtId="0" fontId="0" fillId="40" borderId="6" xfId="0" applyFill="1" applyBorder="1" applyAlignment="1">
      <alignment horizontal="center" vertical="center"/>
    </xf>
    <xf numFmtId="10" fontId="0" fillId="40" borderId="7" xfId="0" applyNumberFormat="1" applyFill="1" applyBorder="1" applyAlignment="1">
      <alignment horizontal="center" vertical="center"/>
    </xf>
    <xf numFmtId="0" fontId="0" fillId="39" borderId="6" xfId="0" applyFill="1" applyBorder="1" applyAlignment="1">
      <alignment horizontal="center" vertical="center"/>
    </xf>
    <xf numFmtId="9" fontId="14" fillId="37" borderId="18" xfId="0" applyNumberFormat="1" applyFont="1" applyFill="1" applyBorder="1"/>
    <xf numFmtId="0" fontId="14" fillId="51" borderId="11" xfId="0" applyFont="1" applyFill="1" applyBorder="1" applyAlignment="1">
      <alignment horizontal="center" vertical="center"/>
    </xf>
    <xf numFmtId="0" fontId="0" fillId="39" borderId="8" xfId="0" applyFill="1" applyBorder="1" applyAlignment="1">
      <alignment horizontal="center" vertical="center"/>
    </xf>
    <xf numFmtId="0" fontId="0" fillId="39" borderId="9" xfId="0" applyFill="1" applyBorder="1" applyAlignment="1">
      <alignment horizontal="center" vertical="center"/>
    </xf>
    <xf numFmtId="10" fontId="0" fillId="39" borderId="26" xfId="0" applyNumberFormat="1" applyFill="1" applyBorder="1" applyAlignment="1">
      <alignment horizontal="center" vertical="center"/>
    </xf>
    <xf numFmtId="0" fontId="0" fillId="39" borderId="19" xfId="0" applyFill="1" applyBorder="1"/>
    <xf numFmtId="0" fontId="0" fillId="44" borderId="0" xfId="0" applyFill="1" applyAlignment="1">
      <alignment horizontal="center"/>
    </xf>
    <xf numFmtId="0" fontId="8" fillId="46" borderId="2" xfId="0" applyFont="1" applyFill="1" applyBorder="1" applyAlignment="1">
      <alignment horizontal="center"/>
    </xf>
    <xf numFmtId="0" fontId="0" fillId="48" borderId="4" xfId="0" applyFill="1" applyBorder="1" applyAlignment="1">
      <alignment horizontal="center"/>
    </xf>
    <xf numFmtId="0" fontId="0" fillId="49" borderId="28" xfId="0" applyFill="1" applyBorder="1" applyAlignment="1">
      <alignment horizontal="center"/>
    </xf>
    <xf numFmtId="0" fontId="0" fillId="48" borderId="27" xfId="0" applyFill="1" applyBorder="1" applyAlignment="1">
      <alignment horizontal="center"/>
    </xf>
    <xf numFmtId="0" fontId="0" fillId="48" borderId="28" xfId="0" applyFill="1" applyBorder="1" applyAlignment="1">
      <alignment horizontal="center"/>
    </xf>
    <xf numFmtId="0" fontId="0" fillId="49" borderId="9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28" xfId="0" applyFill="1" applyBorder="1" applyAlignment="1">
      <alignment horizontal="center"/>
    </xf>
    <xf numFmtId="0" fontId="8" fillId="52" borderId="21" xfId="0" applyFont="1" applyFill="1" applyBorder="1" applyAlignment="1">
      <alignment horizontal="center"/>
    </xf>
    <xf numFmtId="0" fontId="8" fillId="52" borderId="59" xfId="0" applyFont="1" applyFill="1" applyBorder="1" applyAlignment="1">
      <alignment horizontal="center"/>
    </xf>
    <xf numFmtId="0" fontId="8" fillId="52" borderId="23" xfId="0" applyFont="1" applyFill="1" applyBorder="1" applyAlignment="1">
      <alignment horizontal="center"/>
    </xf>
    <xf numFmtId="0" fontId="0" fillId="9" borderId="56" xfId="0" applyFill="1" applyBorder="1" applyAlignment="1">
      <alignment horizontal="center"/>
    </xf>
    <xf numFmtId="0" fontId="0" fillId="8" borderId="35" xfId="0" applyFill="1" applyBorder="1" applyAlignment="1">
      <alignment horizontal="center"/>
    </xf>
    <xf numFmtId="0" fontId="0" fillId="9" borderId="35" xfId="0" applyFill="1" applyBorder="1" applyAlignment="1">
      <alignment horizontal="center"/>
    </xf>
    <xf numFmtId="0" fontId="0" fillId="9" borderId="55" xfId="0" applyFill="1" applyBorder="1" applyAlignment="1">
      <alignment horizontal="center"/>
    </xf>
    <xf numFmtId="0" fontId="8" fillId="52" borderId="2" xfId="0" applyFont="1" applyFill="1" applyBorder="1" applyAlignment="1">
      <alignment horizontal="center" vertical="center"/>
    </xf>
    <xf numFmtId="0" fontId="8" fillId="53" borderId="29" xfId="0" applyFont="1" applyFill="1" applyBorder="1" applyAlignment="1">
      <alignment horizontal="center" vertical="center"/>
    </xf>
    <xf numFmtId="0" fontId="8" fillId="53" borderId="7" xfId="0" applyFont="1" applyFill="1" applyBorder="1" applyAlignment="1">
      <alignment horizontal="center" vertical="center"/>
    </xf>
    <xf numFmtId="0" fontId="8" fillId="53" borderId="26" xfId="0" applyFont="1" applyFill="1" applyBorder="1" applyAlignment="1">
      <alignment horizontal="center" vertical="center"/>
    </xf>
    <xf numFmtId="10" fontId="0" fillId="9" borderId="60" xfId="0" applyNumberFormat="1" applyFill="1" applyBorder="1" applyAlignment="1">
      <alignment horizontal="center" vertical="center"/>
    </xf>
    <xf numFmtId="10" fontId="0" fillId="9" borderId="26" xfId="0" applyNumberFormat="1" applyFill="1" applyBorder="1" applyAlignment="1">
      <alignment horizontal="center" vertical="center"/>
    </xf>
    <xf numFmtId="0" fontId="0" fillId="44" borderId="61" xfId="0" applyFill="1" applyBorder="1"/>
    <xf numFmtId="0" fontId="8" fillId="54" borderId="18" xfId="0" applyFont="1" applyFill="1" applyBorder="1"/>
    <xf numFmtId="0" fontId="16" fillId="44" borderId="0" xfId="0" applyFont="1" applyFill="1"/>
    <xf numFmtId="0" fontId="15" fillId="55" borderId="62" xfId="0" applyFont="1" applyFill="1" applyBorder="1" applyAlignment="1">
      <alignment horizontal="center" vertical="center"/>
    </xf>
    <xf numFmtId="0" fontId="2" fillId="23" borderId="63" xfId="0" applyFont="1" applyFill="1" applyBorder="1"/>
    <xf numFmtId="0" fontId="2" fillId="5" borderId="64" xfId="0" applyFont="1" applyFill="1" applyBorder="1"/>
    <xf numFmtId="0" fontId="15" fillId="55" borderId="66" xfId="0" applyFont="1" applyFill="1" applyBorder="1" applyAlignment="1">
      <alignment horizontal="center"/>
    </xf>
    <xf numFmtId="0" fontId="15" fillId="55" borderId="65" xfId="0" applyFont="1" applyFill="1" applyBorder="1" applyAlignment="1">
      <alignment horizontal="center"/>
    </xf>
    <xf numFmtId="0" fontId="15" fillId="55" borderId="67" xfId="0" applyFont="1" applyFill="1" applyBorder="1" applyAlignment="1">
      <alignment horizontal="center"/>
    </xf>
    <xf numFmtId="0" fontId="15" fillId="55" borderId="69" xfId="0" applyFont="1" applyFill="1" applyBorder="1" applyAlignment="1">
      <alignment horizontal="center" vertical="center"/>
    </xf>
    <xf numFmtId="0" fontId="15" fillId="55" borderId="68" xfId="0" applyFont="1" applyFill="1" applyBorder="1" applyAlignment="1">
      <alignment horizontal="center" vertical="center"/>
    </xf>
    <xf numFmtId="0" fontId="15" fillId="55" borderId="70" xfId="0" applyFont="1" applyFill="1" applyBorder="1" applyAlignment="1">
      <alignment horizontal="center" vertical="center"/>
    </xf>
    <xf numFmtId="0" fontId="15" fillId="55" borderId="71" xfId="0" applyFont="1" applyFill="1" applyBorder="1" applyAlignment="1">
      <alignment horizontal="center" vertical="center"/>
    </xf>
    <xf numFmtId="0" fontId="16" fillId="55" borderId="74" xfId="0" applyFont="1" applyFill="1" applyBorder="1" applyAlignment="1">
      <alignment horizontal="center"/>
    </xf>
    <xf numFmtId="0" fontId="16" fillId="55" borderId="75" xfId="0" applyFont="1" applyFill="1" applyBorder="1" applyAlignment="1">
      <alignment horizontal="center"/>
    </xf>
    <xf numFmtId="10" fontId="16" fillId="55" borderId="76" xfId="0" applyNumberFormat="1" applyFont="1" applyFill="1" applyBorder="1" applyAlignment="1">
      <alignment horizontal="center" vertical="center"/>
    </xf>
    <xf numFmtId="0" fontId="16" fillId="55" borderId="77" xfId="0" applyFont="1" applyFill="1" applyBorder="1" applyAlignment="1">
      <alignment horizontal="center"/>
    </xf>
    <xf numFmtId="0" fontId="16" fillId="55" borderId="78" xfId="0" applyFont="1" applyFill="1" applyBorder="1" applyAlignment="1">
      <alignment horizontal="center"/>
    </xf>
    <xf numFmtId="10" fontId="16" fillId="55" borderId="79" xfId="0" applyNumberFormat="1" applyFont="1" applyFill="1" applyBorder="1" applyAlignment="1">
      <alignment horizontal="center" vertical="center"/>
    </xf>
    <xf numFmtId="0" fontId="16" fillId="55" borderId="80" xfId="0" applyFont="1" applyFill="1" applyBorder="1" applyAlignment="1">
      <alignment horizontal="center"/>
    </xf>
    <xf numFmtId="0" fontId="16" fillId="55" borderId="81" xfId="0" applyFont="1" applyFill="1" applyBorder="1" applyAlignment="1">
      <alignment horizontal="center"/>
    </xf>
    <xf numFmtId="10" fontId="16" fillId="55" borderId="82" xfId="0" applyNumberFormat="1" applyFont="1" applyFill="1" applyBorder="1" applyAlignment="1">
      <alignment horizontal="center" vertical="center"/>
    </xf>
    <xf numFmtId="0" fontId="15" fillId="55" borderId="83" xfId="0" applyFont="1" applyFill="1" applyBorder="1" applyAlignment="1">
      <alignment horizontal="center" vertical="center"/>
    </xf>
    <xf numFmtId="0" fontId="16" fillId="55" borderId="84" xfId="0" applyFont="1" applyFill="1" applyBorder="1" applyAlignment="1">
      <alignment horizontal="center"/>
    </xf>
    <xf numFmtId="0" fontId="16" fillId="55" borderId="85" xfId="0" applyFont="1" applyFill="1" applyBorder="1" applyAlignment="1">
      <alignment horizontal="center"/>
    </xf>
    <xf numFmtId="10" fontId="16" fillId="55" borderId="86" xfId="0" applyNumberFormat="1" applyFont="1" applyFill="1" applyBorder="1" applyAlignment="1">
      <alignment horizontal="center" vertical="center"/>
    </xf>
    <xf numFmtId="0" fontId="16" fillId="55" borderId="72" xfId="0" applyFont="1" applyFill="1" applyBorder="1"/>
    <xf numFmtId="10" fontId="16" fillId="55" borderId="87" xfId="0" applyNumberFormat="1" applyFont="1" applyFill="1" applyBorder="1" applyAlignment="1">
      <alignment horizontal="center" vertical="center"/>
    </xf>
    <xf numFmtId="0" fontId="0" fillId="56" borderId="56" xfId="0" applyFill="1" applyBorder="1" applyAlignment="1">
      <alignment horizontal="center"/>
    </xf>
    <xf numFmtId="10" fontId="0" fillId="56" borderId="5" xfId="0" applyNumberFormat="1" applyFill="1" applyBorder="1" applyAlignment="1">
      <alignment horizontal="center" vertical="center"/>
    </xf>
    <xf numFmtId="0" fontId="0" fillId="56" borderId="35" xfId="0" applyFill="1" applyBorder="1" applyAlignment="1">
      <alignment horizontal="center"/>
    </xf>
    <xf numFmtId="0" fontId="0" fillId="56" borderId="1" xfId="0" applyFill="1" applyBorder="1" applyAlignment="1">
      <alignment horizontal="center"/>
    </xf>
    <xf numFmtId="10" fontId="0" fillId="56" borderId="29" xfId="0" applyNumberFormat="1" applyFill="1" applyBorder="1" applyAlignment="1">
      <alignment horizontal="center" vertical="center"/>
    </xf>
    <xf numFmtId="0" fontId="0" fillId="57" borderId="35" xfId="0" applyFill="1" applyBorder="1" applyAlignment="1">
      <alignment horizontal="center"/>
    </xf>
    <xf numFmtId="0" fontId="0" fillId="57" borderId="1" xfId="0" applyFill="1" applyBorder="1" applyAlignment="1">
      <alignment horizontal="center"/>
    </xf>
    <xf numFmtId="10" fontId="0" fillId="57" borderId="29" xfId="0" applyNumberFormat="1" applyFill="1" applyBorder="1" applyAlignment="1">
      <alignment horizontal="center" vertical="center"/>
    </xf>
    <xf numFmtId="0" fontId="0" fillId="57" borderId="55" xfId="0" applyFill="1" applyBorder="1" applyAlignment="1">
      <alignment horizontal="center"/>
    </xf>
    <xf numFmtId="0" fontId="0" fillId="57" borderId="9" xfId="0" applyFill="1" applyBorder="1" applyAlignment="1">
      <alignment horizontal="center"/>
    </xf>
    <xf numFmtId="10" fontId="0" fillId="57" borderId="26" xfId="0" applyNumberFormat="1" applyFill="1" applyBorder="1" applyAlignment="1">
      <alignment horizontal="center" vertical="center"/>
    </xf>
    <xf numFmtId="0" fontId="0" fillId="57" borderId="19" xfId="0" applyFill="1" applyBorder="1"/>
    <xf numFmtId="0" fontId="8" fillId="58" borderId="26" xfId="0" applyFont="1" applyFill="1" applyBorder="1" applyAlignment="1">
      <alignment horizontal="center" vertical="center"/>
    </xf>
    <xf numFmtId="0" fontId="8" fillId="58" borderId="55" xfId="0" applyFont="1" applyFill="1" applyBorder="1" applyAlignment="1">
      <alignment horizontal="center"/>
    </xf>
    <xf numFmtId="0" fontId="8" fillId="58" borderId="9" xfId="0" applyFont="1" applyFill="1" applyBorder="1" applyAlignment="1">
      <alignment horizontal="center"/>
    </xf>
    <xf numFmtId="0" fontId="8" fillId="50" borderId="2" xfId="0" applyFont="1" applyFill="1" applyBorder="1"/>
    <xf numFmtId="0" fontId="8" fillId="59" borderId="2" xfId="0" applyFont="1" applyFill="1" applyBorder="1"/>
    <xf numFmtId="0" fontId="17" fillId="55" borderId="73" xfId="0" applyFont="1" applyFill="1" applyBorder="1"/>
    <xf numFmtId="0" fontId="0" fillId="56" borderId="60" xfId="0" applyFill="1" applyBorder="1" applyAlignment="1">
      <alignment horizontal="center"/>
    </xf>
    <xf numFmtId="0" fontId="8" fillId="58" borderId="88" xfId="0" applyFont="1" applyFill="1" applyBorder="1" applyAlignment="1">
      <alignment horizontal="center"/>
    </xf>
    <xf numFmtId="10" fontId="0" fillId="49" borderId="89" xfId="0" applyNumberFormat="1" applyFill="1" applyBorder="1" applyAlignment="1">
      <alignment horizontal="center" vertical="center"/>
    </xf>
    <xf numFmtId="10" fontId="0" fillId="48" borderId="7" xfId="0" applyNumberFormat="1" applyFill="1" applyBorder="1" applyAlignment="1">
      <alignment horizontal="center" vertical="center"/>
    </xf>
    <xf numFmtId="10" fontId="0" fillId="48" borderId="88" xfId="0" applyNumberFormat="1" applyFill="1" applyBorder="1" applyAlignment="1">
      <alignment horizontal="center" vertical="center"/>
    </xf>
    <xf numFmtId="10" fontId="0" fillId="49" borderId="26" xfId="0" applyNumberFormat="1" applyFill="1" applyBorder="1" applyAlignment="1">
      <alignment horizontal="center" vertical="center"/>
    </xf>
    <xf numFmtId="10" fontId="0" fillId="44" borderId="0" xfId="1" applyNumberFormat="1" applyFont="1" applyFill="1"/>
    <xf numFmtId="0" fontId="3" fillId="44" borderId="0" xfId="0" applyFont="1" applyFill="1"/>
    <xf numFmtId="0" fontId="0" fillId="61" borderId="3" xfId="0" applyFill="1" applyBorder="1" applyAlignment="1">
      <alignment horizontal="center"/>
    </xf>
    <xf numFmtId="0" fontId="0" fillId="60" borderId="6" xfId="0" applyFill="1" applyBorder="1" applyAlignment="1">
      <alignment horizontal="center"/>
    </xf>
    <xf numFmtId="0" fontId="0" fillId="61" borderId="6" xfId="0" applyFill="1" applyBorder="1" applyAlignment="1">
      <alignment horizontal="center"/>
    </xf>
    <xf numFmtId="0" fontId="0" fillId="60" borderId="33" xfId="0" applyFill="1" applyBorder="1" applyAlignment="1">
      <alignment horizontal="center"/>
    </xf>
    <xf numFmtId="10" fontId="0" fillId="60" borderId="40" xfId="1" applyNumberFormat="1" applyFont="1" applyFill="1" applyBorder="1" applyAlignment="1">
      <alignment horizontal="center"/>
    </xf>
    <xf numFmtId="10" fontId="0" fillId="61" borderId="40" xfId="1" applyNumberFormat="1" applyFont="1" applyFill="1" applyBorder="1" applyAlignment="1">
      <alignment horizontal="center"/>
    </xf>
    <xf numFmtId="10" fontId="0" fillId="60" borderId="64" xfId="1" applyNumberFormat="1" applyFont="1" applyFill="1" applyBorder="1" applyAlignment="1">
      <alignment horizontal="center"/>
    </xf>
    <xf numFmtId="0" fontId="0" fillId="61" borderId="4" xfId="0" applyFill="1" applyBorder="1" applyAlignment="1">
      <alignment horizontal="center"/>
    </xf>
    <xf numFmtId="0" fontId="0" fillId="60" borderId="1" xfId="0" applyFill="1" applyBorder="1" applyAlignment="1">
      <alignment horizontal="center"/>
    </xf>
    <xf numFmtId="0" fontId="0" fillId="61" borderId="1" xfId="0" applyFill="1" applyBorder="1" applyAlignment="1">
      <alignment horizontal="center"/>
    </xf>
    <xf numFmtId="0" fontId="0" fillId="60" borderId="91" xfId="0" applyFill="1" applyBorder="1" applyAlignment="1">
      <alignment horizontal="center"/>
    </xf>
    <xf numFmtId="0" fontId="0" fillId="62" borderId="18" xfId="0" applyFill="1" applyBorder="1"/>
    <xf numFmtId="0" fontId="0" fillId="60" borderId="19" xfId="0" applyFill="1" applyBorder="1"/>
    <xf numFmtId="0" fontId="0" fillId="44" borderId="92" xfId="0" applyFill="1" applyBorder="1"/>
    <xf numFmtId="0" fontId="0" fillId="65" borderId="19" xfId="0" applyFill="1" applyBorder="1"/>
    <xf numFmtId="0" fontId="0" fillId="64" borderId="1" xfId="0" applyFill="1" applyBorder="1"/>
    <xf numFmtId="0" fontId="0" fillId="65" borderId="1" xfId="0" applyFill="1" applyBorder="1"/>
    <xf numFmtId="10" fontId="0" fillId="61" borderId="5" xfId="1" applyNumberFormat="1" applyFont="1" applyFill="1" applyBorder="1" applyAlignment="1">
      <alignment horizontal="center" vertical="center"/>
    </xf>
    <xf numFmtId="0" fontId="0" fillId="40" borderId="58" xfId="0" applyFill="1" applyBorder="1"/>
    <xf numFmtId="0" fontId="0" fillId="44" borderId="90" xfId="0" applyFill="1" applyBorder="1" applyAlignment="1">
      <alignment horizontal="center"/>
    </xf>
    <xf numFmtId="0" fontId="0" fillId="44" borderId="90" xfId="0" applyFill="1" applyBorder="1"/>
    <xf numFmtId="10" fontId="0" fillId="44" borderId="90" xfId="1" applyNumberFormat="1" applyFont="1" applyFill="1" applyBorder="1"/>
    <xf numFmtId="10" fontId="7" fillId="39" borderId="7" xfId="1" applyNumberFormat="1" applyFont="1" applyFill="1" applyBorder="1" applyAlignment="1">
      <alignment horizontal="center"/>
    </xf>
    <xf numFmtId="10" fontId="7" fillId="40" borderId="7" xfId="1" applyNumberFormat="1" applyFont="1" applyFill="1" applyBorder="1" applyAlignment="1">
      <alignment horizontal="center"/>
    </xf>
    <xf numFmtId="0" fontId="0" fillId="44" borderId="22" xfId="0" applyFill="1" applyBorder="1" applyAlignment="1">
      <alignment horizontal="center" vertical="center"/>
    </xf>
    <xf numFmtId="10" fontId="7" fillId="40" borderId="26" xfId="1" applyNumberFormat="1" applyFont="1" applyFill="1" applyBorder="1" applyAlignment="1">
      <alignment horizontal="center"/>
    </xf>
    <xf numFmtId="0" fontId="0" fillId="39" borderId="35" xfId="0" applyFill="1" applyBorder="1" applyAlignment="1">
      <alignment horizontal="center" vertical="center"/>
    </xf>
    <xf numFmtId="0" fontId="0" fillId="40" borderId="35" xfId="0" applyFill="1" applyBorder="1" applyAlignment="1">
      <alignment horizontal="center" vertical="center"/>
    </xf>
    <xf numFmtId="0" fontId="0" fillId="40" borderId="55" xfId="0" applyFill="1" applyBorder="1" applyAlignment="1">
      <alignment horizontal="center" vertical="center"/>
    </xf>
    <xf numFmtId="0" fontId="0" fillId="39" borderId="56" xfId="0" applyFill="1" applyBorder="1" applyAlignment="1">
      <alignment horizontal="center" vertical="center"/>
    </xf>
    <xf numFmtId="0" fontId="0" fillId="39" borderId="28" xfId="0" applyFill="1" applyBorder="1" applyAlignment="1">
      <alignment horizontal="center" vertical="center"/>
    </xf>
    <xf numFmtId="10" fontId="7" fillId="39" borderId="29" xfId="1" applyNumberFormat="1" applyFont="1" applyFill="1" applyBorder="1" applyAlignment="1">
      <alignment horizontal="center"/>
    </xf>
    <xf numFmtId="0" fontId="0" fillId="64" borderId="28" xfId="0" applyFill="1" applyBorder="1"/>
    <xf numFmtId="0" fontId="0" fillId="44" borderId="22" xfId="0" applyFill="1" applyBorder="1"/>
    <xf numFmtId="0" fontId="0" fillId="64" borderId="56" xfId="0" applyFill="1" applyBorder="1"/>
    <xf numFmtId="0" fontId="0" fillId="65" borderId="35" xfId="0" applyFill="1" applyBorder="1"/>
    <xf numFmtId="0" fontId="0" fillId="64" borderId="35" xfId="0" applyFill="1" applyBorder="1"/>
    <xf numFmtId="0" fontId="0" fillId="65" borderId="55" xfId="0" applyFill="1" applyBorder="1"/>
    <xf numFmtId="0" fontId="0" fillId="56" borderId="55" xfId="0" applyFill="1" applyBorder="1" applyAlignment="1">
      <alignment horizontal="center"/>
    </xf>
    <xf numFmtId="0" fontId="0" fillId="56" borderId="9" xfId="0" applyFill="1" applyBorder="1" applyAlignment="1">
      <alignment horizontal="center"/>
    </xf>
    <xf numFmtId="10" fontId="0" fillId="56" borderId="26" xfId="0" applyNumberFormat="1" applyFill="1" applyBorder="1" applyAlignment="1">
      <alignment horizontal="center" vertical="center"/>
    </xf>
    <xf numFmtId="0" fontId="0" fillId="56" borderId="19" xfId="0" applyFill="1" applyBorder="1"/>
    <xf numFmtId="0" fontId="0" fillId="57" borderId="56" xfId="0" applyFill="1" applyBorder="1" applyAlignment="1">
      <alignment horizontal="center"/>
    </xf>
    <xf numFmtId="0" fontId="0" fillId="57" borderId="60" xfId="0" applyFill="1" applyBorder="1" applyAlignment="1">
      <alignment horizontal="center"/>
    </xf>
    <xf numFmtId="0" fontId="4" fillId="44" borderId="22" xfId="0" applyFont="1" applyFill="1" applyBorder="1" applyAlignment="1">
      <alignment horizontal="center" vertical="center"/>
    </xf>
    <xf numFmtId="0" fontId="4" fillId="69" borderId="35" xfId="0" applyFont="1" applyFill="1" applyBorder="1" applyAlignment="1">
      <alignment horizontal="center" vertical="center"/>
    </xf>
    <xf numFmtId="0" fontId="4" fillId="69" borderId="1" xfId="0" applyFont="1" applyFill="1" applyBorder="1" applyAlignment="1">
      <alignment horizontal="center" vertical="center"/>
    </xf>
    <xf numFmtId="10" fontId="4" fillId="69" borderId="7" xfId="1" applyNumberFormat="1" applyFont="1" applyFill="1" applyBorder="1" applyAlignment="1">
      <alignment horizontal="center"/>
    </xf>
    <xf numFmtId="0" fontId="4" fillId="70" borderId="35" xfId="0" applyFont="1" applyFill="1" applyBorder="1" applyAlignment="1">
      <alignment horizontal="center" vertical="center"/>
    </xf>
    <xf numFmtId="0" fontId="4" fillId="70" borderId="1" xfId="0" applyFont="1" applyFill="1" applyBorder="1" applyAlignment="1">
      <alignment horizontal="center" vertical="center"/>
    </xf>
    <xf numFmtId="10" fontId="4" fillId="70" borderId="7" xfId="1" applyNumberFormat="1" applyFont="1" applyFill="1" applyBorder="1" applyAlignment="1">
      <alignment horizontal="center"/>
    </xf>
    <xf numFmtId="0" fontId="4" fillId="70" borderId="55" xfId="0" applyFont="1" applyFill="1" applyBorder="1" applyAlignment="1">
      <alignment horizontal="center" vertical="center"/>
    </xf>
    <xf numFmtId="0" fontId="4" fillId="70" borderId="9" xfId="0" applyFont="1" applyFill="1" applyBorder="1" applyAlignment="1">
      <alignment horizontal="center" vertical="center"/>
    </xf>
    <xf numFmtId="10" fontId="4" fillId="70" borderId="26" xfId="1" applyNumberFormat="1" applyFont="1" applyFill="1" applyBorder="1" applyAlignment="1">
      <alignment horizontal="center"/>
    </xf>
    <xf numFmtId="0" fontId="4" fillId="70" borderId="58" xfId="0" applyFont="1" applyFill="1" applyBorder="1"/>
    <xf numFmtId="0" fontId="8" fillId="67" borderId="59" xfId="0" applyFont="1" applyFill="1" applyBorder="1" applyAlignment="1">
      <alignment horizontal="center" vertical="center"/>
    </xf>
    <xf numFmtId="0" fontId="8" fillId="68" borderId="7" xfId="0" applyFont="1" applyFill="1" applyBorder="1" applyAlignment="1">
      <alignment horizontal="center" vertical="center"/>
    </xf>
    <xf numFmtId="0" fontId="8" fillId="68" borderId="26" xfId="0" applyFont="1" applyFill="1" applyBorder="1" applyAlignment="1">
      <alignment horizontal="center" vertical="center"/>
    </xf>
    <xf numFmtId="0" fontId="8" fillId="67" borderId="23" xfId="0" applyFont="1" applyFill="1" applyBorder="1" applyAlignment="1">
      <alignment horizontal="center" vertical="center"/>
    </xf>
    <xf numFmtId="0" fontId="8" fillId="67" borderId="21" xfId="0" applyFont="1" applyFill="1" applyBorder="1" applyAlignment="1">
      <alignment horizontal="center" vertical="center"/>
    </xf>
    <xf numFmtId="10" fontId="8" fillId="67" borderId="59" xfId="1" applyNumberFormat="1" applyFont="1" applyFill="1" applyBorder="1" applyAlignment="1">
      <alignment horizontal="center" vertical="center"/>
    </xf>
    <xf numFmtId="0" fontId="8" fillId="68" borderId="18" xfId="0" applyFont="1" applyFill="1" applyBorder="1" applyAlignment="1">
      <alignment horizontal="center" vertical="center"/>
    </xf>
    <xf numFmtId="0" fontId="9" fillId="62" borderId="2" xfId="0" applyFont="1" applyFill="1" applyBorder="1" applyAlignment="1">
      <alignment horizontal="center"/>
    </xf>
    <xf numFmtId="0" fontId="9" fillId="62" borderId="18" xfId="0" applyFont="1" applyFill="1" applyBorder="1" applyAlignment="1">
      <alignment horizontal="center"/>
    </xf>
    <xf numFmtId="0" fontId="9" fillId="62" borderId="57" xfId="0" applyFont="1" applyFill="1" applyBorder="1" applyAlignment="1">
      <alignment horizontal="center"/>
    </xf>
    <xf numFmtId="0" fontId="9" fillId="62" borderId="37" xfId="0" applyFont="1" applyFill="1" applyBorder="1" applyAlignment="1">
      <alignment horizontal="center"/>
    </xf>
    <xf numFmtId="0" fontId="9" fillId="62" borderId="20" xfId="0" applyFont="1" applyFill="1" applyBorder="1" applyAlignment="1">
      <alignment horizontal="center"/>
    </xf>
    <xf numFmtId="0" fontId="9" fillId="62" borderId="21" xfId="0" applyFont="1" applyFill="1" applyBorder="1" applyAlignment="1">
      <alignment horizontal="center"/>
    </xf>
    <xf numFmtId="10" fontId="9" fillId="62" borderId="31" xfId="1" applyNumberFormat="1" applyFont="1" applyFill="1" applyBorder="1" applyAlignment="1">
      <alignment horizontal="center"/>
    </xf>
    <xf numFmtId="10" fontId="2" fillId="64" borderId="5" xfId="1" applyNumberFormat="1" applyFont="1" applyFill="1" applyBorder="1" applyAlignment="1">
      <alignment horizontal="center"/>
    </xf>
    <xf numFmtId="10" fontId="2" fillId="64" borderId="7" xfId="1" applyNumberFormat="1" applyFont="1" applyFill="1" applyBorder="1" applyAlignment="1">
      <alignment horizontal="center"/>
    </xf>
    <xf numFmtId="10" fontId="2" fillId="65" borderId="26" xfId="1" applyNumberFormat="1" applyFont="1" applyFill="1" applyBorder="1" applyAlignment="1">
      <alignment horizontal="center"/>
    </xf>
    <xf numFmtId="10" fontId="2" fillId="65" borderId="29" xfId="1" applyNumberFormat="1" applyFont="1" applyFill="1" applyBorder="1" applyAlignment="1">
      <alignment horizontal="center"/>
    </xf>
    <xf numFmtId="0" fontId="9" fillId="63" borderId="90" xfId="0" applyFont="1" applyFill="1" applyBorder="1" applyAlignment="1">
      <alignment horizontal="center"/>
    </xf>
    <xf numFmtId="0" fontId="9" fillId="66" borderId="5" xfId="0" applyFont="1" applyFill="1" applyBorder="1" applyAlignment="1">
      <alignment horizontal="center"/>
    </xf>
    <xf numFmtId="0" fontId="9" fillId="66" borderId="7" xfId="0" applyFont="1" applyFill="1" applyBorder="1" applyAlignment="1">
      <alignment horizontal="center"/>
    </xf>
    <xf numFmtId="0" fontId="9" fillId="66" borderId="26" xfId="0" applyFont="1" applyFill="1" applyBorder="1" applyAlignment="1">
      <alignment horizontal="center"/>
    </xf>
    <xf numFmtId="0" fontId="9" fillId="63" borderId="20" xfId="0" applyFont="1" applyFill="1" applyBorder="1" applyAlignment="1">
      <alignment horizontal="center"/>
    </xf>
    <xf numFmtId="0" fontId="9" fillId="63" borderId="21" xfId="0" applyFont="1" applyFill="1" applyBorder="1" applyAlignment="1">
      <alignment horizontal="center"/>
    </xf>
    <xf numFmtId="10" fontId="9" fillId="63" borderId="31" xfId="1" applyNumberFormat="1" applyFont="1" applyFill="1" applyBorder="1" applyAlignment="1">
      <alignment horizontal="center"/>
    </xf>
    <xf numFmtId="0" fontId="9" fillId="66" borderId="18" xfId="0" applyFont="1" applyFill="1" applyBorder="1"/>
    <xf numFmtId="0" fontId="9" fillId="37" borderId="59" xfId="0" applyFont="1" applyFill="1" applyBorder="1" applyAlignment="1">
      <alignment horizontal="center" vertical="center"/>
    </xf>
    <xf numFmtId="0" fontId="9" fillId="38" borderId="29" xfId="0" applyFont="1" applyFill="1" applyBorder="1" applyAlignment="1">
      <alignment horizontal="center" vertical="center"/>
    </xf>
    <xf numFmtId="0" fontId="9" fillId="38" borderId="7" xfId="0" applyFont="1" applyFill="1" applyBorder="1" applyAlignment="1">
      <alignment horizontal="center" vertical="center"/>
    </xf>
    <xf numFmtId="0" fontId="9" fillId="38" borderId="26" xfId="0" applyFont="1" applyFill="1" applyBorder="1" applyAlignment="1">
      <alignment horizontal="center" vertical="center"/>
    </xf>
    <xf numFmtId="0" fontId="9" fillId="37" borderId="23" xfId="0" applyFont="1" applyFill="1" applyBorder="1" applyAlignment="1">
      <alignment horizontal="center" vertical="center"/>
    </xf>
    <xf numFmtId="0" fontId="9" fillId="37" borderId="21" xfId="0" applyFont="1" applyFill="1" applyBorder="1" applyAlignment="1">
      <alignment horizontal="center" vertical="center"/>
    </xf>
    <xf numFmtId="10" fontId="9" fillId="37" borderId="59" xfId="1" applyNumberFormat="1" applyFont="1" applyFill="1" applyBorder="1" applyAlignment="1">
      <alignment horizontal="center" vertical="center"/>
    </xf>
    <xf numFmtId="0" fontId="9" fillId="38" borderId="18" xfId="0" applyFont="1" applyFill="1" applyBorder="1" applyAlignment="1">
      <alignment horizontal="center" vertical="center"/>
    </xf>
    <xf numFmtId="0" fontId="9" fillId="62" borderId="20" xfId="0" applyFont="1" applyFill="1" applyBorder="1" applyAlignment="1">
      <alignment horizontal="center" vertical="center"/>
    </xf>
    <xf numFmtId="0" fontId="0" fillId="60" borderId="6" xfId="0" applyFill="1" applyBorder="1" applyAlignment="1">
      <alignment horizontal="center" vertical="center"/>
    </xf>
    <xf numFmtId="0" fontId="9" fillId="63" borderId="20" xfId="0" applyFont="1" applyFill="1" applyBorder="1" applyAlignment="1">
      <alignment horizontal="center" vertical="center"/>
    </xf>
    <xf numFmtId="0" fontId="0" fillId="56" borderId="56" xfId="0" applyFill="1" applyBorder="1" applyAlignment="1">
      <alignment horizontal="center" vertical="center"/>
    </xf>
    <xf numFmtId="0" fontId="0" fillId="57" borderId="35" xfId="0" applyFill="1" applyBorder="1" applyAlignment="1">
      <alignment horizontal="center" vertical="center"/>
    </xf>
    <xf numFmtId="0" fontId="0" fillId="56" borderId="55" xfId="0" applyFill="1" applyBorder="1" applyAlignment="1">
      <alignment horizontal="center" vertical="center"/>
    </xf>
    <xf numFmtId="0" fontId="15" fillId="55" borderId="66" xfId="0" applyFont="1" applyFill="1" applyBorder="1" applyAlignment="1">
      <alignment horizontal="center" vertical="center"/>
    </xf>
    <xf numFmtId="0" fontId="16" fillId="55" borderId="77" xfId="0" applyFont="1" applyFill="1" applyBorder="1" applyAlignment="1">
      <alignment horizontal="center" vertical="center"/>
    </xf>
    <xf numFmtId="0" fontId="16" fillId="55" borderId="84" xfId="0" applyFont="1" applyFill="1" applyBorder="1" applyAlignment="1">
      <alignment horizontal="center" vertical="center"/>
    </xf>
    <xf numFmtId="0" fontId="16" fillId="55" borderId="81" xfId="0" applyFont="1" applyFill="1" applyBorder="1" applyAlignment="1">
      <alignment horizontal="center" vertical="center"/>
    </xf>
    <xf numFmtId="0" fontId="16" fillId="55" borderId="74" xfId="0" applyFont="1" applyFill="1" applyBorder="1" applyAlignment="1">
      <alignment horizontal="center" vertical="center"/>
    </xf>
    <xf numFmtId="0" fontId="0" fillId="64" borderId="56" xfId="0" applyFill="1" applyBorder="1" applyAlignment="1">
      <alignment horizontal="center" vertical="center"/>
    </xf>
    <xf numFmtId="0" fontId="0" fillId="65" borderId="35" xfId="0" applyFill="1" applyBorder="1" applyAlignment="1">
      <alignment horizontal="center" vertical="center"/>
    </xf>
    <xf numFmtId="0" fontId="0" fillId="64" borderId="35" xfId="0" applyFill="1" applyBorder="1" applyAlignment="1">
      <alignment horizontal="center" vertical="center"/>
    </xf>
    <xf numFmtId="0" fontId="0" fillId="65" borderId="55" xfId="0" applyFill="1" applyBorder="1" applyAlignment="1">
      <alignment horizontal="center" vertical="center"/>
    </xf>
    <xf numFmtId="0" fontId="0" fillId="44" borderId="93" xfId="0" applyFill="1" applyBorder="1"/>
    <xf numFmtId="10" fontId="4" fillId="44" borderId="22" xfId="0" applyNumberFormat="1" applyFont="1" applyFill="1" applyBorder="1" applyAlignment="1">
      <alignment vertical="center"/>
    </xf>
    <xf numFmtId="0" fontId="13" fillId="44" borderId="0" xfId="0" applyFont="1" applyFill="1"/>
    <xf numFmtId="0" fontId="8" fillId="52" borderId="18" xfId="0" applyFont="1" applyFill="1" applyBorder="1"/>
    <xf numFmtId="0" fontId="9" fillId="63" borderId="2" xfId="0" applyFont="1" applyFill="1" applyBorder="1" applyAlignment="1">
      <alignment horizontal="center"/>
    </xf>
    <xf numFmtId="0" fontId="9" fillId="66" borderId="38" xfId="0" applyFont="1" applyFill="1" applyBorder="1" applyAlignment="1">
      <alignment horizontal="center"/>
    </xf>
    <xf numFmtId="0" fontId="9" fillId="66" borderId="40" xfId="0" applyFont="1" applyFill="1" applyBorder="1" applyAlignment="1">
      <alignment horizontal="center"/>
    </xf>
    <xf numFmtId="0" fontId="9" fillId="66" borderId="58" xfId="0" applyFont="1" applyFill="1" applyBorder="1" applyAlignment="1">
      <alignment horizontal="center"/>
    </xf>
    <xf numFmtId="0" fontId="0" fillId="44" borderId="94" xfId="0" applyFill="1" applyBorder="1"/>
    <xf numFmtId="0" fontId="9" fillId="37" borderId="31" xfId="0" applyFont="1" applyFill="1" applyBorder="1" applyAlignment="1">
      <alignment horizontal="center" vertical="center"/>
    </xf>
    <xf numFmtId="0" fontId="9" fillId="38" borderId="39" xfId="0" applyFont="1" applyFill="1" applyBorder="1" applyAlignment="1">
      <alignment horizontal="center" vertical="center"/>
    </xf>
    <xf numFmtId="0" fontId="9" fillId="38" borderId="40" xfId="0" applyFont="1" applyFill="1" applyBorder="1" applyAlignment="1">
      <alignment horizontal="center" vertical="center"/>
    </xf>
    <xf numFmtId="0" fontId="9" fillId="38" borderId="58" xfId="0" applyFont="1" applyFill="1" applyBorder="1" applyAlignment="1">
      <alignment horizontal="center" vertical="center"/>
    </xf>
    <xf numFmtId="0" fontId="8" fillId="58" borderId="2" xfId="0" applyFont="1" applyFill="1" applyBorder="1" applyAlignment="1">
      <alignment horizontal="center" vertical="center"/>
    </xf>
    <xf numFmtId="0" fontId="8" fillId="58" borderId="23" xfId="0" applyFont="1" applyFill="1" applyBorder="1" applyAlignment="1">
      <alignment horizontal="center" vertical="center"/>
    </xf>
    <xf numFmtId="0" fontId="8" fillId="58" borderId="21" xfId="0" applyFont="1" applyFill="1" applyBorder="1" applyAlignment="1">
      <alignment horizontal="center"/>
    </xf>
    <xf numFmtId="0" fontId="8" fillId="58" borderId="59" xfId="0" applyFont="1" applyFill="1" applyBorder="1" applyAlignment="1">
      <alignment horizontal="center"/>
    </xf>
    <xf numFmtId="0" fontId="8" fillId="45" borderId="39" xfId="0" applyFont="1" applyFill="1" applyBorder="1" applyAlignment="1">
      <alignment horizontal="center" vertical="center"/>
    </xf>
    <xf numFmtId="0" fontId="8" fillId="45" borderId="40" xfId="0" applyFont="1" applyFill="1" applyBorder="1" applyAlignment="1">
      <alignment horizontal="center" vertical="center"/>
    </xf>
    <xf numFmtId="0" fontId="8" fillId="45" borderId="58" xfId="0" applyFont="1" applyFill="1" applyBorder="1" applyAlignment="1">
      <alignment horizontal="center" vertical="center"/>
    </xf>
    <xf numFmtId="0" fontId="8" fillId="67" borderId="31" xfId="0" applyFont="1" applyFill="1" applyBorder="1" applyAlignment="1">
      <alignment horizontal="center" vertical="center"/>
    </xf>
    <xf numFmtId="0" fontId="8" fillId="68" borderId="40" xfId="0" applyFont="1" applyFill="1" applyBorder="1" applyAlignment="1">
      <alignment horizontal="center" vertical="center"/>
    </xf>
    <xf numFmtId="0" fontId="8" fillId="68" borderId="58" xfId="0" applyFont="1" applyFill="1" applyBorder="1" applyAlignment="1">
      <alignment horizontal="center" vertical="center"/>
    </xf>
    <xf numFmtId="0" fontId="0" fillId="44" borderId="96" xfId="0" applyFill="1" applyBorder="1"/>
    <xf numFmtId="0" fontId="0" fillId="44" borderId="95" xfId="0" applyFill="1" applyBorder="1"/>
    <xf numFmtId="0" fontId="18" fillId="5" borderId="0" xfId="0" applyFont="1" applyFill="1" applyAlignment="1">
      <alignment horizontal="center"/>
    </xf>
    <xf numFmtId="0" fontId="0" fillId="65" borderId="46" xfId="0" applyFill="1" applyBorder="1" applyAlignment="1">
      <alignment horizontal="center" vertical="center"/>
    </xf>
    <xf numFmtId="0" fontId="0" fillId="65" borderId="48" xfId="0" applyFill="1" applyBorder="1" applyAlignment="1">
      <alignment horizontal="center" vertical="center"/>
    </xf>
    <xf numFmtId="0" fontId="4" fillId="71" borderId="46" xfId="0" applyFont="1" applyFill="1" applyBorder="1" applyAlignment="1">
      <alignment horizontal="center" vertical="center"/>
    </xf>
    <xf numFmtId="0" fontId="4" fillId="71" borderId="48" xfId="0" applyFont="1" applyFill="1" applyBorder="1" applyAlignment="1">
      <alignment horizontal="center" vertical="center"/>
    </xf>
    <xf numFmtId="0" fontId="19" fillId="5" borderId="0" xfId="0" applyFont="1" applyFill="1"/>
    <xf numFmtId="0" fontId="19" fillId="5" borderId="42" xfId="0" applyFont="1" applyFill="1" applyBorder="1"/>
    <xf numFmtId="0" fontId="3" fillId="44" borderId="0" xfId="0" applyFont="1" applyFill="1" applyAlignment="1">
      <alignment horizontal="center"/>
    </xf>
    <xf numFmtId="0" fontId="16" fillId="55" borderId="97" xfId="0" applyFont="1" applyFill="1" applyBorder="1" applyAlignment="1">
      <alignment horizontal="center"/>
    </xf>
    <xf numFmtId="0" fontId="0" fillId="61" borderId="33" xfId="0" applyFill="1" applyBorder="1" applyAlignment="1">
      <alignment horizontal="center" vertical="center"/>
    </xf>
    <xf numFmtId="0" fontId="0" fillId="61" borderId="91" xfId="0" applyFill="1" applyBorder="1" applyAlignment="1">
      <alignment horizontal="center"/>
    </xf>
    <xf numFmtId="10" fontId="0" fillId="61" borderId="64" xfId="1" applyNumberFormat="1" applyFont="1" applyFill="1" applyBorder="1" applyAlignment="1">
      <alignment horizontal="center"/>
    </xf>
    <xf numFmtId="0" fontId="0" fillId="61" borderId="19" xfId="0" applyFill="1" applyBorder="1"/>
    <xf numFmtId="0" fontId="0" fillId="61" borderId="98" xfId="0" applyFill="1" applyBorder="1" applyAlignment="1">
      <alignment horizontal="center" vertical="center"/>
    </xf>
    <xf numFmtId="0" fontId="0" fillId="39" borderId="99" xfId="0" applyFill="1" applyBorder="1" applyAlignment="1">
      <alignment horizontal="center" vertical="center"/>
    </xf>
    <xf numFmtId="0" fontId="0" fillId="48" borderId="99" xfId="0" applyFill="1" applyBorder="1" applyAlignment="1">
      <alignment horizontal="center"/>
    </xf>
    <xf numFmtId="0" fontId="0" fillId="48" borderId="6" xfId="0" applyFill="1" applyBorder="1" applyAlignment="1">
      <alignment horizontal="center"/>
    </xf>
    <xf numFmtId="0" fontId="4" fillId="48" borderId="3" xfId="0" applyFont="1" applyFill="1" applyBorder="1" applyAlignment="1">
      <alignment horizontal="center"/>
    </xf>
    <xf numFmtId="0" fontId="4" fillId="48" borderId="4" xfId="0" applyFont="1" applyFill="1" applyBorder="1" applyAlignment="1">
      <alignment horizontal="center"/>
    </xf>
    <xf numFmtId="0" fontId="4" fillId="49" borderId="27" xfId="0" applyFont="1" applyFill="1" applyBorder="1" applyAlignment="1">
      <alignment horizontal="center"/>
    </xf>
    <xf numFmtId="0" fontId="4" fillId="49" borderId="28" xfId="0" applyFont="1" applyFill="1" applyBorder="1" applyAlignment="1">
      <alignment horizontal="center"/>
    </xf>
    <xf numFmtId="10" fontId="4" fillId="49" borderId="89" xfId="0" applyNumberFormat="1" applyFont="1" applyFill="1" applyBorder="1" applyAlignment="1">
      <alignment horizontal="center" vertical="center"/>
    </xf>
    <xf numFmtId="0" fontId="4" fillId="48" borderId="27" xfId="0" applyFont="1" applyFill="1" applyBorder="1" applyAlignment="1">
      <alignment horizontal="center"/>
    </xf>
    <xf numFmtId="0" fontId="4" fillId="48" borderId="28" xfId="0" applyFont="1" applyFill="1" applyBorder="1" applyAlignment="1">
      <alignment horizontal="center"/>
    </xf>
    <xf numFmtId="10" fontId="4" fillId="48" borderId="7" xfId="0" applyNumberFormat="1" applyFont="1" applyFill="1" applyBorder="1" applyAlignment="1">
      <alignment horizontal="center" vertical="center"/>
    </xf>
    <xf numFmtId="10" fontId="4" fillId="48" borderId="88" xfId="0" applyNumberFormat="1" applyFont="1" applyFill="1" applyBorder="1" applyAlignment="1">
      <alignment horizontal="center" vertical="center"/>
    </xf>
    <xf numFmtId="0" fontId="4" fillId="49" borderId="9" xfId="0" applyFont="1" applyFill="1" applyBorder="1" applyAlignment="1">
      <alignment horizontal="center"/>
    </xf>
    <xf numFmtId="10" fontId="4" fillId="49" borderId="26" xfId="0" applyNumberFormat="1" applyFont="1" applyFill="1" applyBorder="1" applyAlignment="1">
      <alignment horizontal="center" vertical="center"/>
    </xf>
    <xf numFmtId="10" fontId="2" fillId="48" borderId="5" xfId="0" applyNumberFormat="1" applyFont="1" applyFill="1" applyBorder="1" applyAlignment="1">
      <alignment horizontal="center" vertical="center"/>
    </xf>
    <xf numFmtId="10" fontId="2" fillId="49" borderId="89" xfId="0" applyNumberFormat="1" applyFont="1" applyFill="1" applyBorder="1" applyAlignment="1">
      <alignment horizontal="center" vertical="center"/>
    </xf>
    <xf numFmtId="0" fontId="4" fillId="48" borderId="19" xfId="0" applyFont="1" applyFill="1" applyBorder="1"/>
    <xf numFmtId="0" fontId="9" fillId="12" borderId="54" xfId="0" applyFont="1" applyFill="1" applyBorder="1" applyAlignment="1">
      <alignment horizontal="center" vertical="center"/>
    </xf>
    <xf numFmtId="0" fontId="9" fillId="12" borderId="51" xfId="0" applyFont="1" applyFill="1" applyBorder="1" applyAlignment="1">
      <alignment horizontal="center" vertical="center"/>
    </xf>
    <xf numFmtId="0" fontId="9" fillId="66" borderId="44" xfId="0" applyFont="1" applyFill="1" applyBorder="1" applyAlignment="1">
      <alignment horizontal="center"/>
    </xf>
    <xf numFmtId="0" fontId="9" fillId="66" borderId="45" xfId="0" applyFont="1" applyFill="1" applyBorder="1" applyAlignment="1">
      <alignment horizontal="center"/>
    </xf>
    <xf numFmtId="0" fontId="10" fillId="5" borderId="0" xfId="0" applyFont="1" applyFill="1" applyAlignment="1">
      <alignment horizontal="center"/>
    </xf>
    <xf numFmtId="0" fontId="9" fillId="41" borderId="44" xfId="0" applyFont="1" applyFill="1" applyBorder="1" applyAlignment="1">
      <alignment horizontal="center"/>
    </xf>
    <xf numFmtId="0" fontId="9" fillId="41" borderId="45" xfId="0" applyFont="1" applyFill="1" applyBorder="1" applyAlignment="1">
      <alignment horizontal="center"/>
    </xf>
    <xf numFmtId="0" fontId="8" fillId="41" borderId="53" xfId="0" applyFont="1" applyFill="1" applyBorder="1" applyAlignment="1">
      <alignment horizontal="center" vertical="center"/>
    </xf>
    <xf numFmtId="0" fontId="8" fillId="41" borderId="51" xfId="0" applyFont="1" applyFill="1" applyBorder="1" applyAlignment="1">
      <alignment horizontal="center" vertical="center"/>
    </xf>
    <xf numFmtId="0" fontId="8" fillId="42" borderId="43" xfId="0" applyFont="1" applyFill="1" applyBorder="1" applyAlignment="1">
      <alignment horizontal="center"/>
    </xf>
    <xf numFmtId="0" fontId="8" fillId="42" borderId="47" xfId="0" applyFont="1" applyFill="1" applyBorder="1" applyAlignment="1">
      <alignment horizontal="center"/>
    </xf>
    <xf numFmtId="164" fontId="4" fillId="41" borderId="5" xfId="1" applyNumberFormat="1" applyFont="1" applyFill="1" applyBorder="1" applyAlignment="1">
      <alignment horizontal="center" vertical="center"/>
    </xf>
    <xf numFmtId="164" fontId="4" fillId="41" borderId="26" xfId="1" applyNumberFormat="1" applyFont="1" applyFill="1" applyBorder="1" applyAlignment="1">
      <alignment horizontal="center" vertical="center"/>
    </xf>
    <xf numFmtId="0" fontId="13" fillId="5" borderId="0" xfId="0" applyFont="1" applyFill="1" applyAlignment="1">
      <alignment horizontal="center"/>
    </xf>
    <xf numFmtId="10" fontId="4" fillId="52" borderId="41" xfId="0" applyNumberFormat="1" applyFont="1" applyFill="1" applyBorder="1" applyAlignment="1">
      <alignment horizontal="center" vertical="center"/>
    </xf>
    <xf numFmtId="10" fontId="4" fillId="52" borderId="37" xfId="0" applyNumberFormat="1" applyFont="1" applyFill="1" applyBorder="1" applyAlignment="1">
      <alignment horizontal="center" vertical="center"/>
    </xf>
    <xf numFmtId="165" fontId="20" fillId="13" borderId="6" xfId="0" applyNumberFormat="1" applyFont="1" applyFill="1" applyBorder="1" applyAlignment="1">
      <alignment horizontal="center" vertical="center"/>
    </xf>
    <xf numFmtId="0" fontId="8" fillId="72" borderId="44" xfId="0" applyFont="1" applyFill="1" applyBorder="1" applyAlignment="1">
      <alignment horizontal="center"/>
    </xf>
    <xf numFmtId="0" fontId="8" fillId="72" borderId="45" xfId="0" applyFont="1" applyFill="1" applyBorder="1" applyAlignment="1">
      <alignment horizontal="center"/>
    </xf>
  </cellXfs>
  <cellStyles count="3">
    <cellStyle name="Hiperveza" xfId="2" builtinId="8"/>
    <cellStyle name="Normalno" xfId="0" builtinId="0"/>
    <cellStyle name="Postotak" xfId="1" builtinId="5"/>
  </cellStyles>
  <dxfs count="0"/>
  <tableStyles count="0" defaultTableStyle="TableStyleMedium2" defaultPivotStyle="PivotStyleLight16"/>
  <colors>
    <mruColors>
      <color rgb="FF00E6AA"/>
      <color rgb="FF71FFDA"/>
      <color rgb="FF0066FF"/>
      <color rgb="FF00FAB9"/>
      <color rgb="FF893BC3"/>
      <color rgb="FFC39BE1"/>
      <color rgb="FFA86ED4"/>
      <color rgb="FF96D3FC"/>
      <color rgb="FF7BC6F9"/>
      <color rgb="FFB6E0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tea Parat" id="{468A9F94-3E22-4C77-9DB2-F93CA62472B4}" userId="S::ap55849@fer.hr::08f9e4c3-c215-4342-b21f-d070729ca9e1" providerId="AD"/>
  <person displayName="Roko Tojčić" id="{FD268F47-D829-4CB8-89FB-B62E668C6620}" userId="S::roko.tojcic@skole.hr::6c805348-660d-4813-b5ae-61540b54713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4-12-01T19:46:39.79" personId="{468A9F94-3E22-4C77-9DB2-F93CA62472B4}" id="{3BD2F513-9C7B-435D-83DE-FCF38F99290A}">
    <text>Pločica vs VHDL</text>
  </threadedComment>
  <threadedComment ref="A4" dT="2024-12-01T19:45:04.20" personId="{468A9F94-3E22-4C77-9DB2-F93CA62472B4}" id="{C5F87594-B8FA-4C6B-99D1-DF2AE143238D}">
    <text xml:space="preserve">Kratke provjere znanja će se načelno izvoditi putem kratkih testova na predavanjima. </text>
  </threadedComment>
  <threadedComment ref="D7" dT="2024-01-13T19:50:27.13" personId="{FD268F47-D829-4CB8-89FB-B62E668C6620}" id="{048DD218-393A-4AD5-968E-6FB055C98BFC}">
    <text>Dovoljan (2) 50 % 
Dobar (3) 62 % 
Vrlo dobar (4) 75 % 
Izvrstan (5) 88 %</text>
  </threadedComment>
  <threadedComment ref="A10" dT="2024-12-01T19:46:18.22" personId="{468A9F94-3E22-4C77-9DB2-F93CA62472B4}" id="{3EA29A52-07C6-4C40-9649-F47F5940D3E9}">
    <text>Obavezni!</text>
  </threadedComment>
  <threadedComment ref="D13" dT="2024-01-13T19:52:48.27" personId="{FD268F47-D829-4CB8-89FB-B62E668C6620}" id="{2E7764DA-5587-4B31-8CA8-03314B1AD733}">
    <text xml:space="preserve">[87.5, 100] 5 
[75, 87.5) 4 
[62.5, 75) 3 
[50, 62.5) 2 </text>
  </threadedComment>
  <threadedComment ref="A16" dT="2024-12-01T19:46:09.91" personId="{468A9F94-3E22-4C77-9DB2-F93CA62472B4}" id="{F43CA9E7-6F38-4EBA-B36B-53F7E4C4F452}">
    <text>Moodle</text>
  </threadedComment>
  <threadedComment ref="D19" dT="2024-01-13T19:53:31.85" personId="{FD268F47-D829-4CB8-89FB-B62E668C6620}" id="{79436E82-2329-417C-93BF-913CC54B60B9}">
    <text xml:space="preserve">45 bodova………dovoljan (2) 
55 bodova………dobar (3) 
70 bodova………vrlo dobar (4) 
85 bodova………izvrstan (5) </text>
  </threadedComment>
  <threadedComment ref="A22" dT="2024-12-01T19:46:55.70" personId="{468A9F94-3E22-4C77-9DB2-F93CA62472B4}" id="{917AC71B-81E7-4B94-8B4E-F9B9E3031B60}">
    <text>Moodle</text>
  </threadedComment>
  <threadedComment ref="D25" dT="2024-01-13T19:43:29.26" personId="{FD268F47-D829-4CB8-89FB-B62E668C6620}" id="{B8C00CC6-9561-471A-8418-228EC3B2A655}">
    <text>86 izvrstan
72 vrlo dobar
58 dobar
50 dovoljan</text>
  </threadedComment>
  <threadedComment ref="A29" dT="2024-12-01T19:47:23.07" personId="{468A9F94-3E22-4C77-9DB2-F93CA62472B4}" id="{E6332F3E-2A31-4270-9372-127D84CADD3A}">
    <text>Moodle</text>
  </threadedComment>
  <threadedComment ref="A30" dT="2024-12-01T19:47:37.18" personId="{468A9F94-3E22-4C77-9DB2-F93CA62472B4}" id="{99051C11-881D-4FA0-A781-C15A5FD667EC}">
    <text>Na predavanjima kviz</text>
  </threadedComment>
  <threadedComment ref="A31" dT="2024-12-01T19:48:08.40" personId="{468A9F94-3E22-4C77-9DB2-F93CA62472B4}" id="{6723D863-D6AD-48BE-A2A3-4E2048C735D2}">
    <text>Moodle/kviz</text>
  </threadedComment>
  <threadedComment ref="A32" dT="2024-12-01T19:47:45.42" personId="{468A9F94-3E22-4C77-9DB2-F93CA62472B4}" id="{1ED6D6E1-6B5A-4891-B579-C33DBD4716F9}">
    <text>moodle</text>
  </threadedComment>
  <threadedComment ref="A34" dT="2024-12-01T19:47:53.08" personId="{468A9F94-3E22-4C77-9DB2-F93CA62472B4}" id="{8679628A-DDC5-46F4-8EE9-847585F2A05F}">
    <text>radionica</text>
  </threadedComment>
  <threadedComment ref="D36" dT="2024-01-15T16:52:32.18" personId="{FD268F47-D829-4CB8-89FB-B62E668C6620}" id="{8336269A-3E16-4DCA-809F-D8012D883B9F}">
    <text xml:space="preserve">90 izvrstan
80 vrlo dobar
70 dobar
60 dovoljan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4-12-01T19:48:47.55" personId="{468A9F94-3E22-4C77-9DB2-F93CA62472B4}" id="{20E82975-B06B-43F0-90EE-6D5A17173CB0}">
    <text>Labosi se ne prenose!
Nakon 7 labosa, kolokvi od 3 boda</text>
  </threadedComment>
  <threadedComment ref="A3" dT="2024-12-01T19:48:55.53" personId="{468A9F94-3E22-4C77-9DB2-F93CA62472B4}" id="{62B29724-969A-48F7-9160-00DFC6DB0C10}">
    <text>Moodle</text>
  </threadedComment>
  <threadedComment ref="D7" dT="2024-02-13T16:30:27.79" personId="{468A9F94-3E22-4C77-9DB2-F93CA62472B4}" id="{8466538D-CB99-4685-8D00-C6B9C6699AC0}">
    <text xml:space="preserve">MI &amp; ZI 1/4 računskih zadataka mora biti u cijelosti točno riješen
85 izvrstan
70 vrlo dobar
60 dobar
50 dovoljan
</text>
  </threadedComment>
  <threadedComment ref="A10" dT="2024-12-01T19:49:05.80" personId="{468A9F94-3E22-4C77-9DB2-F93CA62472B4}" id="{1A13E031-3E39-48EC-9520-93DEAB747334}">
    <text>Obavezno!</text>
  </threadedComment>
  <threadedComment ref="A11" dT="2024-12-01T19:49:19.79" personId="{468A9F94-3E22-4C77-9DB2-F93CA62472B4}" id="{59915AAB-6082-4AE2-8E52-340F16C2DF3E}">
    <text>Teorijski dio labosa</text>
  </threadedComment>
  <threadedComment ref="D14" dT="2024-02-13T16:37:51.46" personId="{468A9F94-3E22-4C77-9DB2-F93CA62472B4}" id="{2E7B1771-4A33-442B-BD13-A927A1CA313D}">
    <text xml:space="preserve">90 izvrstan (5)
80 vrlo dobar (4)
65 dobar (3)
50 dovoljan (2)
</text>
  </threadedComment>
  <threadedComment ref="A17" dT="2024-12-01T19:49:38.93" personId="{468A9F94-3E22-4C77-9DB2-F93CA62472B4}" id="{D837A2AA-AA8A-4975-8312-3D458D54CE1A}">
    <text>Lagano, neki asistenti ispituju</text>
  </threadedComment>
  <threadedComment ref="A18" dT="2024-12-01T19:49:50.81" personId="{468A9F94-3E22-4C77-9DB2-F93CA62472B4}" id="{0CC4D979-69B2-48B6-A9B3-DC42DA8CBF2C}">
    <text>Oe stranica</text>
  </threadedComment>
  <threadedComment ref="A19" dT="2024-12-01T19:49:59.90" personId="{468A9F94-3E22-4C77-9DB2-F93CA62472B4}" id="{46F21044-8BC9-4070-B88A-E8D2F42F36F7}">
    <text>Oe stranica</text>
  </threadedComment>
  <threadedComment ref="A20" dT="2024-12-01T19:50:11.47" personId="{468A9F94-3E22-4C77-9DB2-F93CA62472B4}" id="{23C1F9BB-2C07-4C6A-BD66-FAC2E9632EDF}">
    <text>Ako zapnes prof za oko</text>
  </threadedComment>
  <threadedComment ref="D24" dT="2024-02-13T16:38:49.27" personId="{468A9F94-3E22-4C77-9DB2-F93CA62472B4}" id="{40C51B75-82AA-4452-9884-5B9F3D50D7A2}">
    <text xml:space="preserve">86 izvrstan (5)
74 vrlo dobar (4)
62 dobar (3)
50 dovoljan (2)
</text>
  </threadedComment>
  <threadedComment ref="A27" dT="2024-12-01T19:50:21.66" personId="{468A9F94-3E22-4C77-9DB2-F93CA62472B4}" id="{EC5C36A7-6C4A-4F56-AA25-F674A3C08BF9}">
    <text>Kpz moodle</text>
  </threadedComment>
  <threadedComment ref="D30" dT="2024-01-13T19:43:29.26" personId="{FD268F47-D829-4CB8-89FB-B62E668C6620}" id="{7026532A-443C-46BF-B9D8-05ADE320B1CB}">
    <text>86 izvrstan
72 vrlo dobar
58 dobar
50 dovoljan</text>
  </threadedComment>
  <threadedComment ref="D35" dT="2024-02-13T16:40:18.11" personId="{468A9F94-3E22-4C77-9DB2-F93CA62472B4}" id="{0C339E6C-19AE-4F2A-BA83-337FA80BEB9D}">
    <text xml:space="preserve">35,5 izvrstan (5) 
30 vrlo dobar (4) 
24 dobar (3)
20 dovoljan (2) 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4-12-01T19:50:37.10" personId="{468A9F94-3E22-4C77-9DB2-F93CA62472B4}" id="{4827BADE-D17C-44BF-9067-35E1F128F243}">
    <text>Svaki drugi lab kpz</text>
  </threadedComment>
  <threadedComment ref="E5" dT="2024-11-13T08:58:48.64" personId="{468A9F94-3E22-4C77-9DB2-F93CA62472B4}" id="{5ACE5987-5963-4121-89A7-4BF8668CD5C2}">
    <text xml:space="preserve">87 izvrstan
75 vrlo dobar
62 dobar
50 dovoljan
- obavezna odrada svih labosa
</text>
  </threadedComment>
  <threadedComment ref="A9" dT="2024-12-01T19:50:44.30" personId="{468A9F94-3E22-4C77-9DB2-F93CA62472B4}" id="{BFA778F5-56D7-4554-BB81-62153AE8EF8C}">
    <text>izi</text>
  </threadedComment>
  <threadedComment ref="A10" dT="2024-12-01T19:50:53.02" personId="{468A9F94-3E22-4C77-9DB2-F93CA62472B4}" id="{590A68DE-0BFA-4560-B59B-210A18F68807}">
    <text>nedjeljom</text>
  </threadedComment>
  <threadedComment ref="E12" dT="2024-11-21T08:59:43.80" personId="{468A9F94-3E22-4C77-9DB2-F93CA62472B4}" id="{AB322D82-E6EF-4901-85CB-BFC0F82680DD}">
    <text>Da bi student položio mora: -ostvariti najmanje 50% bodova na međuispitu i završnom ispitu -ostvariti najmanje 50% od ukupnog broja bodova</text>
  </threadedComment>
  <threadedComment ref="E14" dT="2024-11-21T08:59:13.51" personId="{468A9F94-3E22-4C77-9DB2-F93CA62472B4}" id="{000FE4A8-BE5A-455A-9A2D-474B3B7CA2CB}">
    <text>90 izvrstan
75 vrlo dobar
62 dobar
50 dovoljan</text>
  </threadedComment>
  <threadedComment ref="A18" dT="2024-12-01T19:51:15.95" personId="{468A9F94-3E22-4C77-9DB2-F93CA62472B4}" id="{4FDF75EB-0350-47F7-A272-0EAAC1735D48}">
    <text>Ne prenose se, samo su 3 labosa
Moodle o labosu nakon labosa</text>
  </threadedComment>
  <threadedComment ref="A19" dT="2024-12-01T19:51:21.97" personId="{468A9F94-3E22-4C77-9DB2-F93CA62472B4}" id="{FA3AE353-3267-447E-B8D2-74D83506D855}">
    <text>moodle</text>
  </threadedComment>
  <threadedComment ref="E22" dT="2024-11-15T22:05:34.71" personId="{468A9F94-3E22-4C77-9DB2-F93CA62472B4}" id="{E41F6399-D675-42CF-976D-6375BD38C856}">
    <text>MI &amp; ZI 1/4 računskih zadataka mora biti u cijelosti točno riješen
85 izvrstan
70 vrlo dobar
60 dobar
50 dovoljan</text>
  </threadedComment>
  <threadedComment ref="A26" dT="2024-12-01T19:51:49.21" personId="{468A9F94-3E22-4C77-9DB2-F93CA62472B4}" id="{AB7E756E-55D8-481E-AA8D-8CA5B0654353}">
    <text>Moodle, beskonacno mnogo puta se može riješiti,, moraš imati barem 50%</text>
  </threadedComment>
  <threadedComment ref="D26" dT="2024-11-21T09:00:41.27" personId="{468A9F94-3E22-4C77-9DB2-F93CA62472B4}" id="{0EC45E67-E186-49D3-BFB8-E6550EFBE9C6}">
    <text>RIJEŠITI SVE DZ</text>
  </threadedComment>
  <threadedComment ref="D29" dT="2024-01-13T19:43:29.26" personId="{FD268F47-D829-4CB8-89FB-B62E668C6620}" id="{D84C6AB1-FC10-46BA-90B0-FDB5AD3AE7A6}">
    <text>86 izvrstan
72 vrlo dobar
58 dobar
50 dovoljan</text>
  </threadedComment>
  <threadedComment ref="E29" dT="2024-11-21T09:02:28.36" personId="{468A9F94-3E22-4C77-9DB2-F93CA62472B4}" id="{BDAD792B-FD85-4720-A96F-70DCD1937719}">
    <text>85 izvrstan
70 vrlo dobar
55 dobar
45 dovoljan</text>
  </threadedComment>
  <threadedComment ref="A33" dT="2024-12-01T19:52:10.88" personId="{468A9F94-3E22-4C77-9DB2-F93CA62472B4}" id="{41984836-AB5F-4474-9048-DB1B89F8B9DF}">
    <text>Pakao, ispituju + provjera pripreme</text>
  </threadedComment>
  <threadedComment ref="E34" dT="2024-11-21T09:01:39.08" personId="{468A9F94-3E22-4C77-9DB2-F93CA62472B4}" id="{E8F8366C-8E71-4CA4-80A0-B8643DC05A7F}">
    <text>Uvjet za prolaz pismenih ispita je minimalno 16 bodova (40 %) ostvarenih sumarno na MI i ZIP</text>
  </threadedComment>
  <threadedComment ref="E37" dT="2024-11-21T09:02:06.58" personId="{468A9F94-3E22-4C77-9DB2-F93CA62472B4}" id="{5D102B51-940A-403B-92DA-CD3AC7DF9CA0}">
    <text xml:space="preserve">89 izvrstan
76 vrlo dobar
63 dobar
50 dovoljan
</text>
  </threadedComment>
  <threadedComment ref="D43" dT="2024-11-21T09:53:55.19" personId="{468A9F94-3E22-4C77-9DB2-F93CA62472B4}" id="{95D195A9-CFFF-46ED-9054-E06FEB4E364F}">
    <text>Međuispit: Pismeni 33%</text>
  </threadedComment>
  <threadedComment ref="D44" dT="2024-11-21T09:54:05.33" personId="{468A9F94-3E22-4C77-9DB2-F93CA62472B4}" id="{84CF1C41-9E85-442A-894C-1C4863E883C0}">
    <text>Završni ispit: Pismeni 37.5 %</text>
  </threadedComment>
  <threadedComment ref="E45" dT="2024-11-21T09:03:06.96" personId="{468A9F94-3E22-4C77-9DB2-F93CA62472B4}" id="{9395C8E6-71C0-4E8E-853E-2037B18EE0D0}">
    <text>85 izvrstan
72 vrlo dobar
60 dobar
50 dovoljan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5" dT="2024-11-13T09:46:07.20" personId="{468A9F94-3E22-4C77-9DB2-F93CA62472B4}" id="{2B565E65-B6B7-480B-B926-B037DD75D35E}">
    <text>85 izvrstan
70 vrlo dobar
55 dobar
45 dovoljan</text>
  </threadedComment>
  <threadedComment ref="A9" dT="2024-12-01T19:53:21.19" personId="{468A9F94-3E22-4C77-9DB2-F93CA62472B4}" id="{996AD986-7685-43DB-B774-52F0ED835790}">
    <text>Teorijski kviz</text>
  </threadedComment>
  <threadedComment ref="E12" dT="2024-11-13T10:37:13.38" personId="{468A9F94-3E22-4C77-9DB2-F93CA62472B4}" id="{7B4532CC-98DA-4AC3-A688-9F79983546AD}">
    <text>87.5 izvrstan
75 vrlo dobar
62.5 dobar
50 dovoljan</text>
  </threadedComment>
  <threadedComment ref="A16" dT="2024-12-01T19:53:07.04" personId="{468A9F94-3E22-4C77-9DB2-F93CA62472B4}" id="{F198EAFD-E3E0-47A3-93F8-C453B3DA8FC8}">
    <text>Predaja programa - je li plagijat (-1 bod)
Obrana programa - 0-2 boda</text>
  </threadedComment>
  <threadedComment ref="E19" dT="2024-11-13T10:03:36.94" personId="{468A9F94-3E22-4C77-9DB2-F93CA62472B4}" id="{9D2E405E-0273-4503-B245-96FE7681891E}">
    <text>90 izvrstan
80 vrlo dobar
65 dobar
50 dovoljan</text>
  </threadedComment>
  <threadedComment ref="A23" dT="2024-12-01T19:53:50.50" personId="{468A9F94-3E22-4C77-9DB2-F93CA62472B4}" id="{AFE73355-BF66-45D5-AA69-AB1D9D5D90EE}">
    <text>Matematički zadatak riješi pomoću programa</text>
  </threadedComment>
  <threadedComment ref="E27" dT="2024-11-13T08:58:48.64" personId="{468A9F94-3E22-4C77-9DB2-F93CA62472B4}" id="{CBB3F499-1903-4CAA-80DB-29B67F2D265D}">
    <text xml:space="preserve">85 izvrstan
70 vrlo dobar
55 dobar
45 dovoljan
</text>
  </threadedComment>
  <threadedComment ref="E33" dT="2024-11-13T10:03:36.94" personId="{468A9F94-3E22-4C77-9DB2-F93CA62472B4}" id="{90E3B7C8-5982-4B11-8E98-38C2C7947433}">
    <text>85 izvrstan
70 vrlo dobar
55 dobar
40 dovoljan</text>
  </threadedComment>
  <threadedComment ref="E41" dT="2024-11-13T10:35:59.42" personId="{468A9F94-3E22-4C77-9DB2-F93CA62472B4}" id="{B43446FD-BE6E-480A-A42F-7288033FCF50}">
    <text>85 izvrstan
72 vrlo dobar
60 dobar
50 dovoljan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M4" dT="2024-11-13T09:46:07.20" personId="{468A9F94-3E22-4C77-9DB2-F93CA62472B4}" id="{2F5DB799-5796-44A1-AE74-B2F1FA4C3393}">
    <text>85 izvrstan
70 vrlo dobar
55 dobar
45 dovoljan</text>
  </threadedComment>
  <threadedComment ref="E5" dT="2024-11-13T08:58:48.64" personId="{468A9F94-3E22-4C77-9DB2-F93CA62472B4}" id="{CD940560-83F7-4E1F-B7B4-88F49E7C73B6}">
    <text xml:space="preserve">87 izvrstan
75 vrlo dobar
62 dobar
50 dovoljan
- obavezna odrada svih labosa
</text>
  </threadedComment>
  <threadedComment ref="M11" dT="2024-11-13T10:37:13.38" personId="{468A9F94-3E22-4C77-9DB2-F93CA62472B4}" id="{B33C6F00-4C00-485F-A1B4-B1896C50B2DA}">
    <text>87.5 izvrstan
75 vrlo dobar
62.5 dobar
50 dovoljan</text>
  </threadedComment>
  <threadedComment ref="E13" dT="2024-11-17T21:25:42.09" personId="{468A9F94-3E22-4C77-9DB2-F93CA62472B4}" id="{F39260A3-8D0C-4E74-ACB1-38D41488AD4F}">
    <text>90 izvrstan
75 vrlo dobar
62 dobar
50 dovoljan</text>
  </threadedComment>
  <threadedComment ref="M17" dT="2024-11-13T10:03:36.94" personId="{468A9F94-3E22-4C77-9DB2-F93CA62472B4}" id="{F8A4418E-A9E8-43C6-B71E-F0842403E68F}">
    <text>90 izvrstan
80 vrlo dobar
65 dobar
50 dovoljan</text>
  </threadedComment>
  <threadedComment ref="E20" dT="2024-11-15T22:05:34.71" personId="{468A9F94-3E22-4C77-9DB2-F93CA62472B4}" id="{F3B2B247-5FEA-4EB6-91CB-B33CE33277B5}">
    <text>MI &amp; ZI 1/4 računskih zadataka mora biti u cijelosti točno riješen
85 izvrstan
70 vrlo dobar
60 dobar
50 dovoljan</text>
  </threadedComment>
  <threadedComment ref="M24" dT="2024-11-13T08:58:48.64" personId="{468A9F94-3E22-4C77-9DB2-F93CA62472B4}" id="{9A99B7CA-7840-423C-AA1D-C06FA44F2570}">
    <text xml:space="preserve">85 izvrstan
70 vrlo dobar
55 dobar
45 dovoljan
</text>
  </threadedComment>
  <threadedComment ref="D25" dT="2024-01-13T19:43:29.26" personId="{FD268F47-D829-4CB8-89FB-B62E668C6620}" id="{1F1AB1A4-26E7-4930-913D-2D82EF7D7B6C}">
    <text>86 izvrstan
72 vrlo dobar
58 dobar
50 dovoljan</text>
  </threadedComment>
  <threadedComment ref="E25" dT="2024-11-17T22:47:42.32" personId="{468A9F94-3E22-4C77-9DB2-F93CA62472B4}" id="{429CEDDA-2359-44B3-886C-82F59BE16B6A}">
    <text>85 izvrstan
70 vrlo dobar
55 dobar
45 dovoljan</text>
  </threadedComment>
  <threadedComment ref="M29" dT="2024-11-13T10:03:36.94" personId="{468A9F94-3E22-4C77-9DB2-F93CA62472B4}" id="{5FAE3D5B-557A-44B3-87E7-52B90DD42001}">
    <text>85 izvrstan
70 vrlo dobar
55 dobar
40 dovoljan</text>
  </threadedComment>
  <threadedComment ref="E32" dT="2024-11-17T22:51:20.34" personId="{468A9F94-3E22-4C77-9DB2-F93CA62472B4}" id="{E228BA9D-6FF7-4D7A-91F3-A4B14AAF6C22}">
    <text>89 izvrstan
76 vrlo dobar
63 dobar
50 dovoljan</text>
  </threadedComment>
  <threadedComment ref="M37" dT="2024-11-13T10:35:59.42" personId="{468A9F94-3E22-4C77-9DB2-F93CA62472B4}" id="{28D18C6A-B560-426C-BC9F-2EA1681BD962}">
    <text>85 izvrstan
72 vrlo dobar
60 dobar
50 dovoljan</text>
  </threadedComment>
  <threadedComment ref="E40" dT="2024-11-17T22:11:18.07" personId="{468A9F94-3E22-4C77-9DB2-F93CA62472B4}" id="{98564231-1D1B-4A44-B441-1EAAB427B188}">
    <text>85 izvrstan
72 vrlo dobar
60 dobar
50 dovoljan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Papratt13/Academic_Weapon/tree/maste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A5BB1-5D44-4F3D-8F14-D97808DE5CC5}">
  <dimension ref="A1:O18"/>
  <sheetViews>
    <sheetView tabSelected="1" zoomScale="121" zoomScaleNormal="155" workbookViewId="0">
      <selection activeCell="F8" sqref="F8"/>
    </sheetView>
  </sheetViews>
  <sheetFormatPr defaultRowHeight="14.4" x14ac:dyDescent="0.3"/>
  <cols>
    <col min="1" max="1" width="8.88671875" style="43" customWidth="1"/>
    <col min="2" max="5" width="8.88671875" style="43"/>
    <col min="6" max="6" width="11" style="253" bestFit="1" customWidth="1"/>
    <col min="7" max="16384" width="8.88671875" style="43"/>
  </cols>
  <sheetData>
    <row r="1" spans="1:15" ht="15" thickBot="1" x14ac:dyDescent="0.35">
      <c r="A1" s="580" t="s">
        <v>51</v>
      </c>
      <c r="B1" s="580"/>
      <c r="C1" s="580"/>
      <c r="D1" s="580"/>
      <c r="E1" s="580"/>
      <c r="F1" s="292"/>
    </row>
    <row r="2" spans="1:15" ht="15" thickBot="1" x14ac:dyDescent="0.35">
      <c r="A2" s="293" t="s">
        <v>57</v>
      </c>
      <c r="B2" s="43" t="s">
        <v>56</v>
      </c>
      <c r="H2" s="281" t="s">
        <v>54</v>
      </c>
      <c r="I2" s="282">
        <f>SUM(F4,F9, G15, O15)</f>
        <v>0</v>
      </c>
    </row>
    <row r="3" spans="1:15" ht="15" thickBot="1" x14ac:dyDescent="0.35">
      <c r="A3" s="585" t="s">
        <v>52</v>
      </c>
      <c r="B3" s="585"/>
      <c r="C3" s="585"/>
      <c r="D3" s="585"/>
      <c r="E3" s="586"/>
      <c r="F3" s="291"/>
      <c r="H3" s="275"/>
      <c r="I3" s="275"/>
      <c r="J3" s="275"/>
      <c r="K3" s="275"/>
      <c r="L3" s="208"/>
    </row>
    <row r="4" spans="1:15" ht="15.6" thickTop="1" thickBot="1" x14ac:dyDescent="0.35">
      <c r="A4" s="283" t="s">
        <v>0</v>
      </c>
      <c r="B4" s="283" t="s">
        <v>9</v>
      </c>
      <c r="C4" s="283" t="s">
        <v>10</v>
      </c>
      <c r="D4" s="283" t="s">
        <v>16</v>
      </c>
      <c r="E4" s="289" t="s">
        <v>29</v>
      </c>
      <c r="F4" s="583">
        <f>SUM(A5:E5)</f>
        <v>0</v>
      </c>
      <c r="H4" s="275"/>
      <c r="I4" s="275"/>
      <c r="J4" s="275"/>
      <c r="K4" s="275"/>
      <c r="L4" s="275"/>
    </row>
    <row r="5" spans="1:15" ht="15" thickBot="1" x14ac:dyDescent="0.35">
      <c r="A5" s="284">
        <f>IF(SUM(A6:A7)&gt;0,6,0)</f>
        <v>0</v>
      </c>
      <c r="B5" s="284">
        <f>IF(SUM(B6:B7)&gt;0,7,0)</f>
        <v>0</v>
      </c>
      <c r="C5" s="284">
        <f>IF(SUM(C6:C7)&gt;0,5,0)</f>
        <v>0</v>
      </c>
      <c r="D5" s="284">
        <f>IF(SUM(D6:D7)&gt;0,8,0)</f>
        <v>0</v>
      </c>
      <c r="E5" s="290">
        <f>IF(SUM(E6:E7)&gt;0,4,0)</f>
        <v>0</v>
      </c>
      <c r="F5" s="584"/>
    </row>
    <row r="6" spans="1:15" ht="15" thickTop="1" x14ac:dyDescent="0.3">
      <c r="A6" s="550">
        <f>IF('SEM1'!E7 &gt;1, 1, 0)</f>
        <v>0</v>
      </c>
      <c r="B6" s="550">
        <f>IF('SEM1'!E13 &gt;1, 1, 0)</f>
        <v>0</v>
      </c>
      <c r="C6" s="550">
        <f>IF('SEM1'!E19 &gt;1, 1, 0)</f>
        <v>0</v>
      </c>
      <c r="D6" s="550">
        <f>IF('SEM1'!E25 &gt;1, 1, 0)</f>
        <v>0</v>
      </c>
      <c r="E6" s="550">
        <f>IF('SEM1'!E36 &gt;1, 1, 0)</f>
        <v>0</v>
      </c>
      <c r="F6" s="545"/>
    </row>
    <row r="7" spans="1:15" ht="15" thickBot="1" x14ac:dyDescent="0.35">
      <c r="A7" s="551">
        <f>IF(SEM1_rokovi!E4 &gt;1, 1, 0)</f>
        <v>0</v>
      </c>
      <c r="B7" s="551">
        <f>IF(SEM1_rokovi!E9 &gt;1, 1, 0)</f>
        <v>0</v>
      </c>
      <c r="C7" s="551">
        <f>IF(SEM1_rokovi!E12 &gt;1, 1, 0)</f>
        <v>0</v>
      </c>
      <c r="D7" s="551">
        <f>IF(SEM1_rokovi!E15 &gt;1, 1, 0)</f>
        <v>0</v>
      </c>
      <c r="E7" s="551">
        <f>IF(SEM1_rokovi!E22 &gt;1, 1, 0)</f>
        <v>0</v>
      </c>
      <c r="F7" s="545"/>
    </row>
    <row r="8" spans="1:15" ht="15.6" thickTop="1" thickBot="1" x14ac:dyDescent="0.35">
      <c r="A8" s="581" t="s">
        <v>53</v>
      </c>
      <c r="B8" s="582"/>
      <c r="C8" s="582"/>
      <c r="D8" s="582"/>
      <c r="E8" s="582"/>
      <c r="F8" s="291"/>
    </row>
    <row r="9" spans="1:15" ht="15.6" thickTop="1" thickBot="1" x14ac:dyDescent="0.35">
      <c r="A9" s="285" t="s">
        <v>44</v>
      </c>
      <c r="B9" s="287" t="s">
        <v>36</v>
      </c>
      <c r="C9" s="287" t="s">
        <v>37</v>
      </c>
      <c r="D9" s="287" t="s">
        <v>45</v>
      </c>
      <c r="E9" s="287" t="s">
        <v>41</v>
      </c>
      <c r="F9" s="576">
        <f>SUM(A10:E10)</f>
        <v>0</v>
      </c>
    </row>
    <row r="10" spans="1:15" ht="15" thickBot="1" x14ac:dyDescent="0.35">
      <c r="A10" s="286">
        <f>IF(SUM(A11:A12)&gt;0,6,0)</f>
        <v>0</v>
      </c>
      <c r="B10" s="288">
        <f>IF(SUM(B11:B12)&gt;0,8,0)</f>
        <v>0</v>
      </c>
      <c r="C10" s="288">
        <f>IF(SUM(C11:C12)&gt;0,7,0)</f>
        <v>0</v>
      </c>
      <c r="D10" s="288">
        <f>IF(SUM(D11:D12)&gt;0,7,0)</f>
        <v>0</v>
      </c>
      <c r="E10" s="288">
        <f>IF(SUM(E11:E12)&gt;0,2,0)</f>
        <v>0</v>
      </c>
      <c r="F10" s="577"/>
    </row>
    <row r="11" spans="1:15" ht="15" thickTop="1" x14ac:dyDescent="0.3">
      <c r="A11" s="550">
        <f>IF('SEM2'!E7 &gt;1, 1, 0)</f>
        <v>0</v>
      </c>
      <c r="B11" s="550">
        <f>IF('SEM2'!E14 &gt;1, 1, 0)</f>
        <v>0</v>
      </c>
      <c r="C11" s="550">
        <f>IF('SEM2'!E24 &gt;1, 1, 0)</f>
        <v>0</v>
      </c>
      <c r="D11" s="550">
        <f>IF('SEM2'!E30 &gt;1, 1, 0)</f>
        <v>0</v>
      </c>
      <c r="E11" s="550">
        <f>IF('SEM2'!E35 &gt;1, 1, 0)</f>
        <v>0</v>
      </c>
      <c r="F11" s="545"/>
      <c r="H11" s="208"/>
      <c r="I11" s="208"/>
      <c r="J11" s="208"/>
      <c r="K11" s="208"/>
      <c r="L11" s="208"/>
    </row>
    <row r="12" spans="1:15" x14ac:dyDescent="0.3">
      <c r="A12" s="550">
        <f>IF(SEM2_rokovi!E6 &gt;1, 1, 0)</f>
        <v>0</v>
      </c>
      <c r="B12" s="550">
        <f>IF(SEM2_rokovi!E9 &gt;1, 1, 0)</f>
        <v>0</v>
      </c>
      <c r="C12" s="550">
        <f>IF(SEM2_rokovi!E18 &gt;1, 1, 0)</f>
        <v>0</v>
      </c>
      <c r="D12" s="550">
        <f>IF(SEM2_rokovi!E21 &gt;1, 1, 0)</f>
        <v>0</v>
      </c>
      <c r="E12" s="550">
        <f>IF(SEM2_rokovi!E24 &gt;1, 1, 0)</f>
        <v>0</v>
      </c>
      <c r="F12" s="545"/>
      <c r="H12" s="208"/>
      <c r="I12" s="208"/>
      <c r="J12" s="208"/>
      <c r="K12" s="208"/>
      <c r="L12" s="208"/>
    </row>
    <row r="13" spans="1:15" ht="15" thickBot="1" x14ac:dyDescent="0.35"/>
    <row r="14" spans="1:15" ht="15.6" thickTop="1" thickBot="1" x14ac:dyDescent="0.35">
      <c r="A14" s="578" t="s">
        <v>81</v>
      </c>
      <c r="B14" s="579"/>
      <c r="C14" s="579"/>
      <c r="D14" s="579"/>
      <c r="E14" s="579"/>
      <c r="F14" s="291"/>
      <c r="I14" s="593" t="s">
        <v>87</v>
      </c>
      <c r="J14" s="594"/>
      <c r="K14" s="594"/>
      <c r="L14" s="594"/>
      <c r="M14" s="594"/>
      <c r="N14" s="291"/>
    </row>
    <row r="15" spans="1:15" ht="15.6" thickTop="1" thickBot="1" x14ac:dyDescent="0.35">
      <c r="A15" s="546" t="s">
        <v>82</v>
      </c>
      <c r="B15" s="547" t="s">
        <v>83</v>
      </c>
      <c r="C15" s="547" t="s">
        <v>84</v>
      </c>
      <c r="D15" s="547" t="s">
        <v>45</v>
      </c>
      <c r="E15" s="547" t="s">
        <v>85</v>
      </c>
      <c r="F15" s="547" t="s">
        <v>86</v>
      </c>
      <c r="G15" s="576">
        <f>SUM(A16:E16)</f>
        <v>0</v>
      </c>
      <c r="I15" s="548" t="s">
        <v>75</v>
      </c>
      <c r="J15" s="549" t="s">
        <v>74</v>
      </c>
      <c r="K15" s="549" t="s">
        <v>76</v>
      </c>
      <c r="L15" s="549" t="s">
        <v>77</v>
      </c>
      <c r="M15" s="549" t="s">
        <v>78</v>
      </c>
      <c r="N15" s="549" t="s">
        <v>86</v>
      </c>
      <c r="O15" s="576">
        <f>SUM(I16:M16)</f>
        <v>0</v>
      </c>
    </row>
    <row r="16" spans="1:15" ht="15" thickBot="1" x14ac:dyDescent="0.35">
      <c r="A16" s="286">
        <f>IF(SUM(A17:A18)&gt;0,6,0)</f>
        <v>0</v>
      </c>
      <c r="B16" s="288">
        <f>IF(SUM(B17:B18)&gt;0,8,0)</f>
        <v>0</v>
      </c>
      <c r="C16" s="288">
        <f>IF(SUM(C17:C18)&gt;0,7,0)</f>
        <v>0</v>
      </c>
      <c r="D16" s="288">
        <f>IF(SUM(D17:D18)&gt;0,7,0)</f>
        <v>0</v>
      </c>
      <c r="E16" s="288">
        <f>IF(SUM(E17:E18)&gt;0,2,0)</f>
        <v>0</v>
      </c>
      <c r="F16" s="288">
        <f>IF(SUM(F17:F18)&gt;0,2,0)</f>
        <v>0</v>
      </c>
      <c r="G16" s="577"/>
      <c r="I16" s="286">
        <f>IF(SUM(I17:I18)&gt;0,6,0)</f>
        <v>0</v>
      </c>
      <c r="J16" s="288">
        <f>IF(SUM(J17:J18)&gt;0,8,0)</f>
        <v>0</v>
      </c>
      <c r="K16" s="288">
        <f>IF(SUM(K17:K18)&gt;0,7,0)</f>
        <v>0</v>
      </c>
      <c r="L16" s="288">
        <f>IF(SUM(L17:L18)&gt;0,7,0)</f>
        <v>0</v>
      </c>
      <c r="M16" s="288">
        <f>IF(SUM(M17:M18)&gt;0,2,0)</f>
        <v>0</v>
      </c>
      <c r="N16" s="288">
        <f>IF(SUM(N17:N18)&gt;0,2,0)</f>
        <v>0</v>
      </c>
      <c r="O16" s="577"/>
    </row>
    <row r="17" spans="1:14" ht="15" thickTop="1" x14ac:dyDescent="0.3">
      <c r="A17" s="550">
        <f>IF(SEM3_E!E5 &gt;1, 1, 0)</f>
        <v>0</v>
      </c>
      <c r="B17" s="550">
        <f>IF(SEM3_E!E14 &gt;1, 1, 0)</f>
        <v>0</v>
      </c>
      <c r="C17" s="550">
        <f>IF(SEM3_E!E22 &gt;1, 1, 0)</f>
        <v>0</v>
      </c>
      <c r="D17" s="550">
        <f>IF(SEM3_E!E29 &gt;1, 1, 0)</f>
        <v>0</v>
      </c>
      <c r="E17" s="550">
        <f>IF(SEM3_E!E37 &gt;1, 1, 0)</f>
        <v>0</v>
      </c>
      <c r="F17" s="550">
        <f>IF(SEM3_E!E45 &gt;1, 1, 0)</f>
        <v>0</v>
      </c>
      <c r="I17" s="550">
        <f>IF(SEM3_R!E5 &gt;1, 1, 0)</f>
        <v>0</v>
      </c>
      <c r="J17" s="550">
        <f>IF(SEM3_R!E12 &gt;1, 1, 0)</f>
        <v>0</v>
      </c>
      <c r="K17" s="550">
        <f>IF(SEM3_R!E19 &gt;1, 1, 0)</f>
        <v>0</v>
      </c>
      <c r="L17" s="550">
        <f>IF(SEM3_R!E27 &gt;1, 1, 0)</f>
        <v>0</v>
      </c>
      <c r="M17" s="550">
        <f>IF(SEM3_R!E33 &gt;1, 1, 0)</f>
        <v>0</v>
      </c>
      <c r="N17" s="550">
        <f>IF(SEM3_R!E41 &gt;1, 1, 0)</f>
        <v>0</v>
      </c>
    </row>
    <row r="18" spans="1:14" x14ac:dyDescent="0.3">
      <c r="A18" s="550">
        <f>IF(SEM3_rokovi!E5 &gt;1, 1, 0)</f>
        <v>0</v>
      </c>
      <c r="B18" s="550">
        <f>IF(SEM3_rokovi!E13 &gt;1, 1, 0)</f>
        <v>0</v>
      </c>
      <c r="C18" s="550">
        <f>IF(SEM3_rokovi!E20 &gt;1, 1, 0)</f>
        <v>0</v>
      </c>
      <c r="D18" s="550">
        <f>IF(SEM3_rokovi!E25 &gt;1, 1, 0)</f>
        <v>0</v>
      </c>
      <c r="E18" s="550">
        <f>IF(SEM3_rokovi!E32 &gt;1, 1, 0)</f>
        <v>0</v>
      </c>
      <c r="F18" s="550">
        <f>IF(SEM3_rokovi!F40 &gt;1, 1, 0)</f>
        <v>0</v>
      </c>
      <c r="I18" s="550">
        <f>IF(SEM3_rokovi!M4 &gt;1, 1, 0)</f>
        <v>0</v>
      </c>
      <c r="J18" s="550">
        <f>IF(SEM3_rokovi!M11 &gt;1, 1, 0)</f>
        <v>0</v>
      </c>
      <c r="K18" s="550">
        <f>IF(SEM3_rokovi!M17 &gt;1, 1, 0)</f>
        <v>0</v>
      </c>
      <c r="L18" s="550">
        <f>IF(SEM3_rokovi!M24 &gt;1, 1, 0)</f>
        <v>0</v>
      </c>
      <c r="M18" s="550">
        <f>IF(SEM3_rokovi!M29 &gt;1, 1, 0)</f>
        <v>0</v>
      </c>
      <c r="N18" s="550">
        <f>IF(SEM3_rokovi!M37 &gt;1, 1, 0)</f>
        <v>0</v>
      </c>
    </row>
  </sheetData>
  <mergeCells count="9">
    <mergeCell ref="O15:O16"/>
    <mergeCell ref="A14:E14"/>
    <mergeCell ref="G15:G16"/>
    <mergeCell ref="I14:M14"/>
    <mergeCell ref="A1:E1"/>
    <mergeCell ref="A8:E8"/>
    <mergeCell ref="F4:F5"/>
    <mergeCell ref="F9:F10"/>
    <mergeCell ref="A3:E3"/>
  </mergeCells>
  <hyperlinks>
    <hyperlink ref="A2" r:id="rId1" xr:uid="{AED85BA7-2BF7-44CB-B181-5EE3391179F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</sheetPr>
  <dimension ref="A1:T36"/>
  <sheetViews>
    <sheetView topLeftCell="A14" zoomScale="101" zoomScaleNormal="120" workbookViewId="0">
      <selection activeCell="C38" sqref="C38"/>
    </sheetView>
  </sheetViews>
  <sheetFormatPr defaultColWidth="8.88671875" defaultRowHeight="14.4" x14ac:dyDescent="0.3"/>
  <cols>
    <col min="1" max="1" width="13.5546875" style="43" customWidth="1"/>
    <col min="2" max="2" width="11.5546875" style="43" customWidth="1"/>
    <col min="3" max="3" width="9.109375" style="43" bestFit="1" customWidth="1"/>
    <col min="4" max="4" width="12.33203125" style="43" customWidth="1"/>
    <col min="5" max="16384" width="8.88671875" style="43"/>
  </cols>
  <sheetData>
    <row r="1" spans="1:20" ht="15" thickBot="1" x14ac:dyDescent="0.35">
      <c r="A1" s="8" t="s">
        <v>0</v>
      </c>
      <c r="B1" s="9" t="s">
        <v>6</v>
      </c>
      <c r="C1" s="10" t="s">
        <v>7</v>
      </c>
      <c r="D1" s="11" t="s">
        <v>13</v>
      </c>
      <c r="F1" s="279" t="s">
        <v>55</v>
      </c>
    </row>
    <row r="2" spans="1:20" ht="15" thickBot="1" x14ac:dyDescent="0.35">
      <c r="A2" s="12" t="s">
        <v>1</v>
      </c>
      <c r="B2" s="23"/>
      <c r="C2" s="24">
        <v>15</v>
      </c>
      <c r="D2" s="25">
        <f>B2/C2</f>
        <v>0</v>
      </c>
      <c r="E2" s="44"/>
      <c r="F2" s="277">
        <f>SUM(F7:F36)</f>
        <v>0</v>
      </c>
      <c r="M2" s="88"/>
      <c r="N2" s="88"/>
      <c r="O2" s="88"/>
      <c r="P2" s="88"/>
      <c r="Q2" s="88"/>
    </row>
    <row r="3" spans="1:20" x14ac:dyDescent="0.3">
      <c r="A3" s="13" t="s">
        <v>2</v>
      </c>
      <c r="B3" s="15"/>
      <c r="C3" s="16">
        <v>10</v>
      </c>
      <c r="D3" s="17">
        <f t="shared" ref="D3:D7" si="0">B3/C3</f>
        <v>0</v>
      </c>
      <c r="L3" s="88"/>
      <c r="M3" s="138" t="s">
        <v>15</v>
      </c>
      <c r="N3" s="138" t="s">
        <v>0</v>
      </c>
      <c r="O3" s="138" t="s">
        <v>9</v>
      </c>
      <c r="P3" s="138" t="s">
        <v>10</v>
      </c>
      <c r="Q3" s="138" t="s">
        <v>16</v>
      </c>
      <c r="R3" s="138" t="s">
        <v>29</v>
      </c>
    </row>
    <row r="4" spans="1:20" x14ac:dyDescent="0.3">
      <c r="A4" s="13" t="s">
        <v>3</v>
      </c>
      <c r="B4" s="20"/>
      <c r="C4" s="21">
        <v>5</v>
      </c>
      <c r="D4" s="22">
        <f t="shared" si="0"/>
        <v>0</v>
      </c>
      <c r="L4" s="88"/>
      <c r="M4" s="138">
        <v>1</v>
      </c>
      <c r="N4" s="138">
        <v>1</v>
      </c>
      <c r="O4" s="138">
        <v>1</v>
      </c>
      <c r="P4" s="138">
        <v>1</v>
      </c>
      <c r="Q4" s="138">
        <v>1</v>
      </c>
      <c r="R4" s="138">
        <v>1</v>
      </c>
      <c r="S4" s="88"/>
      <c r="T4" s="88"/>
    </row>
    <row r="5" spans="1:20" ht="15" thickBot="1" x14ac:dyDescent="0.35">
      <c r="A5" s="13" t="s">
        <v>4</v>
      </c>
      <c r="B5" s="15"/>
      <c r="C5" s="16">
        <v>30</v>
      </c>
      <c r="D5" s="17">
        <f t="shared" si="0"/>
        <v>0</v>
      </c>
      <c r="L5" s="88"/>
      <c r="M5" s="138">
        <v>2</v>
      </c>
      <c r="N5" s="138">
        <f>IF($B$7 &gt;= 50, 1, 0)</f>
        <v>0</v>
      </c>
      <c r="O5" s="138">
        <f>IF($B$13 &gt;= 50, 1, 0)</f>
        <v>0</v>
      </c>
      <c r="P5" s="138">
        <f>IF($B$19 &gt;= 45, 1, 0)</f>
        <v>0</v>
      </c>
      <c r="Q5" s="138">
        <f>IF($B$25 &gt;= 50, 1,)</f>
        <v>0</v>
      </c>
      <c r="R5" s="138">
        <f>IF($B$36 &gt;= 60, 1,)</f>
        <v>0</v>
      </c>
      <c r="S5" s="88"/>
      <c r="T5" s="88"/>
    </row>
    <row r="6" spans="1:20" x14ac:dyDescent="0.3">
      <c r="A6" s="13" t="s">
        <v>5</v>
      </c>
      <c r="B6" s="20"/>
      <c r="C6" s="21">
        <v>40</v>
      </c>
      <c r="D6" s="78">
        <f>B6/C6</f>
        <v>0</v>
      </c>
      <c r="E6" s="80" t="s">
        <v>14</v>
      </c>
      <c r="F6" s="279" t="s">
        <v>50</v>
      </c>
      <c r="L6" s="88"/>
      <c r="M6" s="138">
        <v>3</v>
      </c>
      <c r="N6" s="138">
        <f>IF($B$7 &gt;= 62, 1, 0)</f>
        <v>0</v>
      </c>
      <c r="O6" s="138">
        <f>IF($B$13 &gt;= 62.5, 1, 0)</f>
        <v>0</v>
      </c>
      <c r="P6" s="138">
        <f>IF($B$19 &gt;= 55, 1, )</f>
        <v>0</v>
      </c>
      <c r="Q6" s="138">
        <f>IF($B$25 &gt;= 58, 1, )</f>
        <v>0</v>
      </c>
      <c r="R6" s="138">
        <f>IF($B$36 &gt;= 70, 1,)</f>
        <v>0</v>
      </c>
      <c r="S6" s="88"/>
      <c r="T6" s="88"/>
    </row>
    <row r="7" spans="1:20" ht="15" thickBot="1" x14ac:dyDescent="0.35">
      <c r="A7" s="14" t="s">
        <v>8</v>
      </c>
      <c r="B7" s="18">
        <f>SUM(B2:B6)</f>
        <v>0</v>
      </c>
      <c r="C7" s="19">
        <v>100</v>
      </c>
      <c r="D7" s="79">
        <f t="shared" si="0"/>
        <v>0</v>
      </c>
      <c r="E7" s="84">
        <f>N9</f>
        <v>1</v>
      </c>
      <c r="F7" s="277">
        <f>IF($E$7 &gt;1, 6, 0)</f>
        <v>0</v>
      </c>
      <c r="L7" s="88"/>
      <c r="M7" s="138">
        <v>4</v>
      </c>
      <c r="N7" s="138">
        <f>IF($B$7 &gt;= 75, 1, 0)</f>
        <v>0</v>
      </c>
      <c r="O7" s="138">
        <f>IF($B$13 &gt;= 75, 1, 0)</f>
        <v>0</v>
      </c>
      <c r="P7" s="138">
        <f>IF($B$19 &gt;= 70, 1, 0)</f>
        <v>0</v>
      </c>
      <c r="Q7" s="138">
        <f>IF($B$25 &gt;= 72, 1, )</f>
        <v>0</v>
      </c>
      <c r="R7" s="138">
        <f>IF($B$36 &gt;= 80, 1,)</f>
        <v>0</v>
      </c>
      <c r="S7" s="88"/>
      <c r="T7" s="88"/>
    </row>
    <row r="8" spans="1:20" ht="15" thickBot="1" x14ac:dyDescent="0.35">
      <c r="L8" s="88"/>
      <c r="M8" s="138">
        <v>5</v>
      </c>
      <c r="N8" s="138">
        <f>IF($B$7 &gt;= 88, 1, 0)</f>
        <v>0</v>
      </c>
      <c r="O8" s="138">
        <f>IF($B$13 &gt;= 87.5, 1, 0)</f>
        <v>0</v>
      </c>
      <c r="P8" s="138">
        <f>IF($B$19 &gt;= 85, 1, 0)</f>
        <v>0</v>
      </c>
      <c r="Q8" s="138">
        <f>IF($B$25 &gt;= 86, 1, 0)</f>
        <v>0</v>
      </c>
      <c r="R8" s="138">
        <f>IF($B$36 &gt;= 90, 1,)</f>
        <v>0</v>
      </c>
      <c r="S8" s="88"/>
      <c r="T8" s="88"/>
    </row>
    <row r="9" spans="1:20" ht="15" thickBot="1" x14ac:dyDescent="0.35">
      <c r="A9" s="39" t="s">
        <v>9</v>
      </c>
      <c r="B9" s="40" t="s">
        <v>6</v>
      </c>
      <c r="C9" s="41" t="s">
        <v>7</v>
      </c>
      <c r="D9" s="42" t="s">
        <v>13</v>
      </c>
      <c r="L9" s="88"/>
      <c r="M9" s="138" t="s">
        <v>17</v>
      </c>
      <c r="N9" s="138">
        <f>SUM(N4:N8)</f>
        <v>1</v>
      </c>
      <c r="O9" s="138">
        <f t="shared" ref="O9" si="1">SUM(O4:O8)</f>
        <v>1</v>
      </c>
      <c r="P9" s="138">
        <f t="shared" ref="P9" si="2">SUM(P4:P8)</f>
        <v>1</v>
      </c>
      <c r="Q9" s="138">
        <f t="shared" ref="Q9" si="3">SUM(Q4:Q8)</f>
        <v>1</v>
      </c>
      <c r="R9" s="138">
        <f>SUM(R4:R8)</f>
        <v>1</v>
      </c>
      <c r="S9" s="88"/>
      <c r="T9" s="88"/>
    </row>
    <row r="10" spans="1:20" x14ac:dyDescent="0.3">
      <c r="A10" s="36" t="s">
        <v>1</v>
      </c>
      <c r="B10" s="33"/>
      <c r="C10" s="34">
        <v>30</v>
      </c>
      <c r="D10" s="35">
        <f>B10/C10</f>
        <v>0</v>
      </c>
      <c r="M10" s="88"/>
      <c r="N10" s="88"/>
      <c r="O10" s="88"/>
      <c r="P10" s="88"/>
      <c r="Q10" s="88"/>
      <c r="R10" s="88"/>
      <c r="S10" s="88"/>
      <c r="T10" s="88"/>
    </row>
    <row r="11" spans="1:20" ht="15" thickBot="1" x14ac:dyDescent="0.35">
      <c r="A11" s="37" t="s">
        <v>4</v>
      </c>
      <c r="B11" s="26"/>
      <c r="C11" s="27">
        <v>30</v>
      </c>
      <c r="D11" s="28">
        <f t="shared" ref="D11:D13" si="4">B11/C11</f>
        <v>0</v>
      </c>
      <c r="M11" s="88"/>
      <c r="N11" s="88"/>
      <c r="O11" s="88"/>
      <c r="P11" s="88"/>
      <c r="Q11" s="88"/>
      <c r="R11" s="88"/>
      <c r="S11" s="88"/>
      <c r="T11" s="88"/>
    </row>
    <row r="12" spans="1:20" x14ac:dyDescent="0.3">
      <c r="A12" s="37" t="s">
        <v>5</v>
      </c>
      <c r="B12" s="31"/>
      <c r="C12" s="32">
        <v>40</v>
      </c>
      <c r="D12" s="76">
        <f t="shared" si="4"/>
        <v>0</v>
      </c>
      <c r="E12" s="81" t="s">
        <v>14</v>
      </c>
      <c r="F12" s="279" t="s">
        <v>50</v>
      </c>
      <c r="N12" s="88"/>
      <c r="O12" s="88"/>
      <c r="P12" s="88"/>
      <c r="Q12" s="88"/>
      <c r="R12" s="88"/>
      <c r="S12" s="88"/>
      <c r="T12" s="88"/>
    </row>
    <row r="13" spans="1:20" ht="15" thickBot="1" x14ac:dyDescent="0.35">
      <c r="A13" s="38" t="s">
        <v>8</v>
      </c>
      <c r="B13" s="29">
        <f>SUM(B10:B12)</f>
        <v>0</v>
      </c>
      <c r="C13" s="30">
        <v>100</v>
      </c>
      <c r="D13" s="77">
        <f t="shared" si="4"/>
        <v>0</v>
      </c>
      <c r="E13" s="85">
        <f>O9</f>
        <v>1</v>
      </c>
      <c r="F13" s="277">
        <f>IF($E$13 &gt;1, 7, 0)</f>
        <v>0</v>
      </c>
      <c r="N13" s="88"/>
      <c r="O13" s="88"/>
      <c r="P13" s="88"/>
      <c r="Q13" s="88"/>
      <c r="R13" s="88"/>
      <c r="S13" s="88"/>
      <c r="T13" s="88"/>
    </row>
    <row r="14" spans="1:20" ht="15" thickBot="1" x14ac:dyDescent="0.35"/>
    <row r="15" spans="1:20" ht="15" thickBot="1" x14ac:dyDescent="0.35">
      <c r="A15" s="4" t="s">
        <v>10</v>
      </c>
      <c r="B15" s="5" t="s">
        <v>6</v>
      </c>
      <c r="C15" s="6" t="s">
        <v>7</v>
      </c>
      <c r="D15" s="7" t="s">
        <v>13</v>
      </c>
    </row>
    <row r="16" spans="1:20" x14ac:dyDescent="0.3">
      <c r="A16" s="1" t="s">
        <v>11</v>
      </c>
      <c r="B16" s="45">
        <f>(0)/2</f>
        <v>0</v>
      </c>
      <c r="C16" s="46">
        <v>5</v>
      </c>
      <c r="D16" s="47">
        <f>B16/C16</f>
        <v>0</v>
      </c>
    </row>
    <row r="17" spans="1:6" ht="15" thickBot="1" x14ac:dyDescent="0.35">
      <c r="A17" s="2" t="s">
        <v>4</v>
      </c>
      <c r="B17" s="50"/>
      <c r="C17" s="51">
        <v>50</v>
      </c>
      <c r="D17" s="52">
        <f t="shared" ref="D17:D19" si="5">B17/C17</f>
        <v>0</v>
      </c>
    </row>
    <row r="18" spans="1:6" x14ac:dyDescent="0.3">
      <c r="A18" s="2" t="s">
        <v>5</v>
      </c>
      <c r="B18" s="48"/>
      <c r="C18" s="49">
        <v>50</v>
      </c>
      <c r="D18" s="74">
        <f t="shared" si="5"/>
        <v>0</v>
      </c>
      <c r="E18" s="82" t="s">
        <v>14</v>
      </c>
      <c r="F18" s="279" t="s">
        <v>50</v>
      </c>
    </row>
    <row r="19" spans="1:6" ht="15" thickBot="1" x14ac:dyDescent="0.35">
      <c r="A19" s="3" t="s">
        <v>8</v>
      </c>
      <c r="B19" s="53">
        <f>IF((B17+B18) &gt;= 45,SUM(B16:B18),(B17+B18))</f>
        <v>0</v>
      </c>
      <c r="C19" s="54">
        <v>100</v>
      </c>
      <c r="D19" s="75">
        <f t="shared" si="5"/>
        <v>0</v>
      </c>
      <c r="E19" s="86">
        <f>P9</f>
        <v>1</v>
      </c>
      <c r="F19" s="277">
        <f>IF($E$19 &gt;1, 5, 0)</f>
        <v>0</v>
      </c>
    </row>
    <row r="20" spans="1:6" ht="15" thickBot="1" x14ac:dyDescent="0.35"/>
    <row r="21" spans="1:6" ht="15" thickBot="1" x14ac:dyDescent="0.35">
      <c r="A21" s="55" t="s">
        <v>12</v>
      </c>
      <c r="B21" s="56" t="s">
        <v>6</v>
      </c>
      <c r="C21" s="57" t="s">
        <v>7</v>
      </c>
      <c r="D21" s="58" t="s">
        <v>13</v>
      </c>
    </row>
    <row r="22" spans="1:6" x14ac:dyDescent="0.3">
      <c r="A22" s="59" t="s">
        <v>3</v>
      </c>
      <c r="B22" s="62"/>
      <c r="C22" s="63">
        <v>6</v>
      </c>
      <c r="D22" s="64">
        <f>B22/C22</f>
        <v>0</v>
      </c>
    </row>
    <row r="23" spans="1:6" ht="15" thickBot="1" x14ac:dyDescent="0.35">
      <c r="A23" s="60" t="s">
        <v>4</v>
      </c>
      <c r="B23" s="67"/>
      <c r="C23" s="68">
        <v>47</v>
      </c>
      <c r="D23" s="69">
        <f t="shared" ref="D23:D25" si="6">B23/C23</f>
        <v>0</v>
      </c>
    </row>
    <row r="24" spans="1:6" x14ac:dyDescent="0.3">
      <c r="A24" s="60" t="s">
        <v>5</v>
      </c>
      <c r="B24" s="65"/>
      <c r="C24" s="66">
        <v>47</v>
      </c>
      <c r="D24" s="72">
        <f t="shared" si="6"/>
        <v>0</v>
      </c>
      <c r="E24" s="83" t="s">
        <v>14</v>
      </c>
      <c r="F24" s="279" t="s">
        <v>50</v>
      </c>
    </row>
    <row r="25" spans="1:6" ht="15" thickBot="1" x14ac:dyDescent="0.35">
      <c r="A25" s="61" t="s">
        <v>8</v>
      </c>
      <c r="B25" s="70">
        <f>SUM(B22:B24)</f>
        <v>0</v>
      </c>
      <c r="C25" s="71">
        <v>100</v>
      </c>
      <c r="D25" s="73">
        <f t="shared" si="6"/>
        <v>0</v>
      </c>
      <c r="E25" s="87">
        <f>Q9</f>
        <v>1</v>
      </c>
      <c r="F25" s="277">
        <f>IF($E$25 &gt;1, 8, 0)</f>
        <v>0</v>
      </c>
    </row>
    <row r="27" spans="1:6" ht="15" thickBot="1" x14ac:dyDescent="0.35"/>
    <row r="28" spans="1:6" ht="15" thickBot="1" x14ac:dyDescent="0.35">
      <c r="A28" s="132" t="s">
        <v>24</v>
      </c>
      <c r="B28" s="130" t="s">
        <v>6</v>
      </c>
      <c r="C28" s="123" t="s">
        <v>7</v>
      </c>
      <c r="D28" s="124" t="s">
        <v>13</v>
      </c>
    </row>
    <row r="29" spans="1:6" x14ac:dyDescent="0.3">
      <c r="A29" s="131" t="s">
        <v>25</v>
      </c>
      <c r="B29" s="125"/>
      <c r="C29" s="126">
        <v>10</v>
      </c>
      <c r="D29" s="133">
        <f>B29/C29</f>
        <v>0</v>
      </c>
    </row>
    <row r="30" spans="1:6" x14ac:dyDescent="0.3">
      <c r="A30" s="121" t="s">
        <v>27</v>
      </c>
      <c r="B30" s="127"/>
      <c r="C30" s="118">
        <v>5</v>
      </c>
      <c r="D30" s="134">
        <f t="shared" ref="D30:D36" si="7">B30/C30</f>
        <v>0</v>
      </c>
    </row>
    <row r="31" spans="1:6" x14ac:dyDescent="0.3">
      <c r="A31" s="121" t="s">
        <v>3</v>
      </c>
      <c r="B31" s="128"/>
      <c r="C31" s="117">
        <v>10</v>
      </c>
      <c r="D31" s="135">
        <f t="shared" si="7"/>
        <v>0</v>
      </c>
    </row>
    <row r="32" spans="1:6" x14ac:dyDescent="0.3">
      <c r="A32" s="121" t="s">
        <v>11</v>
      </c>
      <c r="B32" s="127"/>
      <c r="C32" s="118">
        <v>25</v>
      </c>
      <c r="D32" s="134">
        <f t="shared" si="7"/>
        <v>0</v>
      </c>
    </row>
    <row r="33" spans="1:6" x14ac:dyDescent="0.3">
      <c r="A33" s="121" t="s">
        <v>26</v>
      </c>
      <c r="B33" s="128"/>
      <c r="C33" s="117">
        <v>30</v>
      </c>
      <c r="D33" s="135">
        <f t="shared" si="7"/>
        <v>0</v>
      </c>
    </row>
    <row r="34" spans="1:6" ht="15" thickBot="1" x14ac:dyDescent="0.35">
      <c r="A34" s="121" t="s">
        <v>31</v>
      </c>
      <c r="B34" s="127"/>
      <c r="C34" s="118">
        <v>10</v>
      </c>
      <c r="D34" s="134">
        <f t="shared" si="7"/>
        <v>0</v>
      </c>
    </row>
    <row r="35" spans="1:6" x14ac:dyDescent="0.3">
      <c r="A35" s="121" t="s">
        <v>28</v>
      </c>
      <c r="B35" s="128"/>
      <c r="C35" s="117">
        <v>20</v>
      </c>
      <c r="D35" s="135">
        <f t="shared" si="7"/>
        <v>0</v>
      </c>
      <c r="E35" s="137" t="s">
        <v>14</v>
      </c>
      <c r="F35" s="279" t="s">
        <v>50</v>
      </c>
    </row>
    <row r="36" spans="1:6" ht="15" thickBot="1" x14ac:dyDescent="0.35">
      <c r="A36" s="122" t="s">
        <v>8</v>
      </c>
      <c r="B36" s="129">
        <f>SUM(B29:B35)</f>
        <v>0</v>
      </c>
      <c r="C36" s="120">
        <v>100</v>
      </c>
      <c r="D36" s="136">
        <f t="shared" si="7"/>
        <v>0</v>
      </c>
      <c r="E36" s="139">
        <f>R9</f>
        <v>1</v>
      </c>
      <c r="F36" s="277">
        <f>IF($E$36 &gt;1, 4, 0)</f>
        <v>0</v>
      </c>
    </row>
  </sheetData>
  <conditionalFormatting sqref="D2 D7 D13 D25 D29:D33 D35">
    <cfRule type="iconSet" priority="8">
      <iconSet iconSet="3Symbols2">
        <cfvo type="percent" val="0"/>
        <cfvo type="num" val="0.5"/>
        <cfvo type="num" val="0.5"/>
      </iconSet>
    </cfRule>
  </conditionalFormatting>
  <conditionalFormatting sqref="D2:D4 D12 D15 D29:D36 D6:D9">
    <cfRule type="dataBar" priority="5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{09D29813-1A5F-4C87-9AD2-6D28F23B09B2}</x14:id>
        </ext>
      </extLst>
    </cfRule>
  </conditionalFormatting>
  <conditionalFormatting sqref="D6">
    <cfRule type="iconSet" priority="1">
      <iconSet iconSet="3Symbols2">
        <cfvo type="percent" val="0"/>
        <cfvo type="num" val="0.39"/>
        <cfvo type="num" val="0.39"/>
      </iconSet>
    </cfRule>
  </conditionalFormatting>
  <conditionalFormatting sqref="D10:D13 D16:D19 D22:D25 D2:D7">
    <cfRule type="dataBar" priority="9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{BDEEF6D8-2305-47FF-8299-63F9DB48D21B}</x14:id>
        </ext>
      </extLst>
    </cfRule>
  </conditionalFormatting>
  <conditionalFormatting sqref="D12">
    <cfRule type="iconSet" priority="7">
      <iconSet iconSet="3Symbols2">
        <cfvo type="percent" val="0"/>
        <cfvo type="num" val="0.4"/>
        <cfvo type="num" val="0.4"/>
      </iconSet>
    </cfRule>
  </conditionalFormatting>
  <conditionalFormatting sqref="D19">
    <cfRule type="iconSet" priority="3">
      <iconSet iconSet="3Symbols2">
        <cfvo type="percent" val="0"/>
        <cfvo type="num" val="0.45"/>
        <cfvo type="num" val="0.45"/>
      </iconSet>
    </cfRule>
  </conditionalFormatting>
  <conditionalFormatting sqref="D36">
    <cfRule type="iconSet" priority="2">
      <iconSet iconSet="3Symbols2">
        <cfvo type="percent" val="0"/>
        <cfvo type="num" val="0.6"/>
        <cfvo type="num" val="0.6"/>
      </iconSe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D29813-1A5F-4C87-9AD2-6D28F23B09B2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B0F0"/>
              <x14:negativeFillColor rgb="FFFF0000"/>
              <x14:negativeBorderColor rgb="FFFF0000"/>
              <x14:axisColor rgb="FF000000"/>
            </x14:dataBar>
          </x14:cfRule>
          <xm:sqref>D2:D4 D12 D15 D29:D36 D6:D9</xm:sqref>
        </x14:conditionalFormatting>
        <x14:conditionalFormatting xmlns:xm="http://schemas.microsoft.com/office/excel/2006/main">
          <x14:cfRule type="dataBar" id="{BDEEF6D8-2305-47FF-8299-63F9DB48D21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B0F0"/>
              <x14:negativeFillColor rgb="FFFF0000"/>
              <x14:negativeBorderColor rgb="FFFF0000"/>
              <x14:axisColor rgb="FF000000"/>
            </x14:dataBar>
          </x14:cfRule>
          <xm:sqref>D10:D13 D16:D19 D22:D25 D2:D7</xm:sqref>
        </x14:conditionalFormatting>
        <x14:conditionalFormatting xmlns:xm="http://schemas.microsoft.com/office/excel/2006/main">
          <x14:cfRule type="iconSet" priority="6" id="{22EE1DB6-E84D-464A-A597-8CB03284CDC0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E7 E13 E19 E25 E36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9E857-27D0-4456-BD14-AA85986C9660}">
  <sheetPr>
    <tabColor theme="0" tint="-4.9989318521683403E-2"/>
  </sheetPr>
  <dimension ref="A1:X28"/>
  <sheetViews>
    <sheetView topLeftCell="C1" zoomScale="120" zoomScaleNormal="120" workbookViewId="0">
      <selection activeCell="B12" sqref="B12"/>
    </sheetView>
  </sheetViews>
  <sheetFormatPr defaultColWidth="8.88671875" defaultRowHeight="14.4" x14ac:dyDescent="0.3"/>
  <cols>
    <col min="1" max="1" width="8.88671875" style="43"/>
    <col min="2" max="2" width="10.77734375" style="43" customWidth="1"/>
    <col min="3" max="3" width="9.109375" style="43" customWidth="1"/>
    <col min="4" max="4" width="13.88671875" style="43" customWidth="1"/>
    <col min="5" max="16384" width="8.88671875" style="43"/>
  </cols>
  <sheetData>
    <row r="1" spans="1:24" ht="15" thickBot="1" x14ac:dyDescent="0.35">
      <c r="A1" s="8" t="s">
        <v>0</v>
      </c>
      <c r="B1" s="9" t="s">
        <v>6</v>
      </c>
      <c r="C1" s="10" t="s">
        <v>7</v>
      </c>
      <c r="D1" s="11" t="s">
        <v>13</v>
      </c>
      <c r="F1" s="279" t="s">
        <v>55</v>
      </c>
      <c r="H1" s="195"/>
      <c r="I1" s="195"/>
      <c r="J1" s="195"/>
      <c r="K1" s="254"/>
      <c r="L1" s="254"/>
      <c r="M1" s="254"/>
      <c r="N1" s="254"/>
      <c r="O1" s="254"/>
      <c r="P1" s="254"/>
      <c r="Q1" s="254"/>
      <c r="R1" s="195"/>
      <c r="S1" s="195"/>
      <c r="T1" s="195"/>
      <c r="U1" s="195"/>
      <c r="V1" s="195"/>
      <c r="W1" s="195"/>
      <c r="X1" s="195"/>
    </row>
    <row r="2" spans="1:24" ht="15" thickBot="1" x14ac:dyDescent="0.35">
      <c r="A2" s="12" t="s">
        <v>1</v>
      </c>
      <c r="B2" s="23">
        <f>'SEM1'!B2</f>
        <v>0</v>
      </c>
      <c r="C2" s="24">
        <v>15</v>
      </c>
      <c r="D2" s="25">
        <f t="shared" ref="D2:D4" si="0">B2/C2</f>
        <v>0</v>
      </c>
      <c r="F2" s="277">
        <f>SUM(F4:F34)</f>
        <v>0</v>
      </c>
      <c r="H2" s="195"/>
      <c r="I2" s="195"/>
      <c r="J2" s="195"/>
      <c r="K2" s="254"/>
      <c r="L2" s="254"/>
      <c r="M2" s="254"/>
      <c r="N2" s="254"/>
      <c r="O2" s="254"/>
      <c r="P2" s="254"/>
      <c r="Q2" s="254"/>
      <c r="R2" s="195"/>
      <c r="S2" s="195"/>
      <c r="T2" s="195"/>
      <c r="U2" s="195"/>
      <c r="V2" s="195"/>
      <c r="W2" s="195"/>
      <c r="X2" s="195"/>
    </row>
    <row r="3" spans="1:24" x14ac:dyDescent="0.3">
      <c r="A3" s="13" t="s">
        <v>18</v>
      </c>
      <c r="B3" s="15"/>
      <c r="C3" s="16">
        <v>85</v>
      </c>
      <c r="D3" s="111">
        <f t="shared" si="0"/>
        <v>0</v>
      </c>
      <c r="E3" s="105" t="s">
        <v>23</v>
      </c>
      <c r="F3" s="279" t="s">
        <v>50</v>
      </c>
      <c r="H3" s="195"/>
      <c r="I3" s="195"/>
      <c r="J3" s="195"/>
      <c r="K3" s="254"/>
      <c r="L3" s="89" t="s">
        <v>15</v>
      </c>
      <c r="M3" s="89" t="s">
        <v>0</v>
      </c>
      <c r="N3" s="89" t="s">
        <v>9</v>
      </c>
      <c r="O3" s="89" t="s">
        <v>10</v>
      </c>
      <c r="P3" s="89" t="s">
        <v>16</v>
      </c>
      <c r="Q3" s="138" t="s">
        <v>29</v>
      </c>
      <c r="R3" s="195"/>
      <c r="S3" s="195"/>
      <c r="T3" s="195"/>
      <c r="U3" s="195"/>
      <c r="V3" s="195"/>
      <c r="W3" s="195"/>
      <c r="X3" s="195"/>
    </row>
    <row r="4" spans="1:24" ht="15" thickBot="1" x14ac:dyDescent="0.35">
      <c r="A4" s="14" t="s">
        <v>21</v>
      </c>
      <c r="B4" s="94">
        <f>SUM(B2:B3)</f>
        <v>0</v>
      </c>
      <c r="C4" s="92">
        <v>100</v>
      </c>
      <c r="D4" s="112">
        <f t="shared" si="0"/>
        <v>0</v>
      </c>
      <c r="E4" s="110">
        <f>M9</f>
        <v>1</v>
      </c>
      <c r="F4" s="277">
        <f>IF($E$4 &gt;1, 6, 0)</f>
        <v>0</v>
      </c>
      <c r="H4" s="195"/>
      <c r="I4" s="195"/>
      <c r="J4" s="195"/>
      <c r="K4" s="254"/>
      <c r="L4" s="89">
        <v>1</v>
      </c>
      <c r="M4" s="89">
        <v>1</v>
      </c>
      <c r="N4" s="89">
        <v>1</v>
      </c>
      <c r="O4" s="89">
        <v>1</v>
      </c>
      <c r="P4" s="89">
        <v>1</v>
      </c>
      <c r="Q4" s="138">
        <v>1</v>
      </c>
      <c r="R4" s="195"/>
      <c r="S4" s="195"/>
      <c r="T4" s="195"/>
      <c r="U4" s="195"/>
      <c r="V4" s="195"/>
      <c r="W4" s="195"/>
      <c r="X4" s="195"/>
    </row>
    <row r="5" spans="1:24" ht="15" thickBot="1" x14ac:dyDescent="0.35">
      <c r="A5" s="90"/>
      <c r="B5" s="90"/>
      <c r="C5" s="90"/>
      <c r="D5" s="90"/>
      <c r="H5" s="195"/>
      <c r="I5" s="195"/>
      <c r="J5" s="195"/>
      <c r="K5" s="254"/>
      <c r="L5" s="89">
        <v>2</v>
      </c>
      <c r="M5" s="89">
        <f>IF($B$4 &gt;= 50, 1, 0)</f>
        <v>0</v>
      </c>
      <c r="N5" s="89">
        <f>IF($B$9 &gt;= 50, 1, 0)</f>
        <v>0</v>
      </c>
      <c r="O5" s="89">
        <f>IF($B$12 &gt;= 45, 1, 0)</f>
        <v>0</v>
      </c>
      <c r="P5" s="89">
        <f>IF($B$15 &gt;= 50, 1,)</f>
        <v>0</v>
      </c>
      <c r="Q5" s="138">
        <f>IF($B$23 &gt;= 60, 1,)</f>
        <v>0</v>
      </c>
      <c r="R5" s="195"/>
      <c r="S5" s="195"/>
      <c r="T5" s="195"/>
      <c r="U5" s="195"/>
      <c r="V5" s="195"/>
      <c r="W5" s="195"/>
      <c r="X5" s="195"/>
    </row>
    <row r="6" spans="1:24" ht="15" thickBot="1" x14ac:dyDescent="0.35">
      <c r="A6" s="39" t="s">
        <v>9</v>
      </c>
      <c r="B6" s="40" t="s">
        <v>6</v>
      </c>
      <c r="C6" s="41" t="s">
        <v>7</v>
      </c>
      <c r="D6" s="42" t="s">
        <v>13</v>
      </c>
      <c r="H6" s="195"/>
      <c r="I6" s="195"/>
      <c r="J6" s="195"/>
      <c r="K6" s="254"/>
      <c r="L6" s="89">
        <v>3</v>
      </c>
      <c r="M6" s="89">
        <f>IF($B$4 &gt;= 62, 1, 0)</f>
        <v>0</v>
      </c>
      <c r="N6" s="89">
        <f>IF($B$9 &gt;= 62.5, 1, 0)</f>
        <v>0</v>
      </c>
      <c r="O6" s="89">
        <f>IF($B$12 &gt;= 55, 1, )</f>
        <v>0</v>
      </c>
      <c r="P6" s="89">
        <f>IF($B$15 &gt;= 58, 1, )</f>
        <v>0</v>
      </c>
      <c r="Q6" s="138">
        <f>IF($B$23 &gt;= 70, 1,)</f>
        <v>0</v>
      </c>
      <c r="R6" s="195"/>
      <c r="S6" s="195"/>
      <c r="T6" s="195"/>
      <c r="U6" s="195"/>
      <c r="V6" s="195"/>
      <c r="W6" s="195"/>
      <c r="X6" s="195"/>
    </row>
    <row r="7" spans="1:24" ht="15" thickBot="1" x14ac:dyDescent="0.35">
      <c r="A7" s="36" t="s">
        <v>1</v>
      </c>
      <c r="B7" s="33">
        <f>'SEM1'!B10</f>
        <v>0</v>
      </c>
      <c r="C7" s="34">
        <v>30</v>
      </c>
      <c r="D7" s="35">
        <f>B7/C7</f>
        <v>0</v>
      </c>
      <c r="H7" s="195"/>
      <c r="I7" s="195"/>
      <c r="J7" s="195"/>
      <c r="K7" s="254"/>
      <c r="L7" s="89">
        <v>4</v>
      </c>
      <c r="M7" s="89">
        <f>IF($B$4 &gt;= 75, 1, 0)</f>
        <v>0</v>
      </c>
      <c r="N7" s="89">
        <f>IF($B$9 &gt;= 75, 1, 0)</f>
        <v>0</v>
      </c>
      <c r="O7" s="89">
        <f>IF($B$12&gt;= 70, 1, 0)</f>
        <v>0</v>
      </c>
      <c r="P7" s="89">
        <f>IF($B$15 &gt;= 72, 1, )</f>
        <v>0</v>
      </c>
      <c r="Q7" s="138">
        <f>IF($B$23 &gt;= 80, 1,)</f>
        <v>0</v>
      </c>
      <c r="R7" s="195"/>
      <c r="S7" s="195"/>
      <c r="T7" s="195"/>
      <c r="U7" s="195"/>
      <c r="V7" s="195"/>
      <c r="W7" s="195"/>
      <c r="X7" s="195"/>
    </row>
    <row r="8" spans="1:24" x14ac:dyDescent="0.3">
      <c r="A8" s="37" t="s">
        <v>18</v>
      </c>
      <c r="B8" s="26"/>
      <c r="C8" s="27">
        <v>70</v>
      </c>
      <c r="D8" s="113">
        <f t="shared" ref="D8:D9" si="1">B8/C8</f>
        <v>0</v>
      </c>
      <c r="E8" s="107" t="s">
        <v>23</v>
      </c>
      <c r="F8" s="279" t="s">
        <v>50</v>
      </c>
      <c r="H8" s="195"/>
      <c r="I8" s="195"/>
      <c r="J8" s="195"/>
      <c r="K8" s="254"/>
      <c r="L8" s="89">
        <v>5</v>
      </c>
      <c r="M8" s="89">
        <f>IF($B$4 &gt;= 88, 1, 0)</f>
        <v>0</v>
      </c>
      <c r="N8" s="89">
        <f>IF($B$9 &gt;= 87.5, 1, 0)</f>
        <v>0</v>
      </c>
      <c r="O8" s="89">
        <f>IF($B$12 &gt;= 85, 1, 0)</f>
        <v>0</v>
      </c>
      <c r="P8" s="89">
        <f>IF($B$15 &gt;= 86, 1, 0)</f>
        <v>0</v>
      </c>
      <c r="Q8" s="138">
        <f>IF($B$23 &gt;= 90, 1,)</f>
        <v>0</v>
      </c>
      <c r="R8" s="195"/>
      <c r="S8" s="195"/>
      <c r="T8" s="195"/>
      <c r="U8" s="195"/>
      <c r="V8" s="195"/>
      <c r="W8" s="195"/>
      <c r="X8" s="195"/>
    </row>
    <row r="9" spans="1:24" ht="15" thickBot="1" x14ac:dyDescent="0.35">
      <c r="A9" s="38" t="s">
        <v>21</v>
      </c>
      <c r="B9" s="93">
        <f>SUM(B7:B8)</f>
        <v>0</v>
      </c>
      <c r="C9" s="91">
        <v>100</v>
      </c>
      <c r="D9" s="114">
        <f t="shared" si="1"/>
        <v>0</v>
      </c>
      <c r="E9" s="106">
        <f>N9</f>
        <v>1</v>
      </c>
      <c r="F9" s="277">
        <f>IF($E$9 &gt;1, 7, 0)</f>
        <v>0</v>
      </c>
      <c r="H9" s="195"/>
      <c r="I9" s="195"/>
      <c r="J9" s="195"/>
      <c r="K9" s="254"/>
      <c r="L9" s="89" t="s">
        <v>17</v>
      </c>
      <c r="M9" s="89">
        <f>SUM(M4:M8)</f>
        <v>1</v>
      </c>
      <c r="N9" s="89">
        <f t="shared" ref="N9:P9" si="2">SUM(N4:N8)</f>
        <v>1</v>
      </c>
      <c r="O9" s="89">
        <f t="shared" si="2"/>
        <v>1</v>
      </c>
      <c r="P9" s="89">
        <f t="shared" si="2"/>
        <v>1</v>
      </c>
      <c r="Q9" s="138">
        <f>SUM(Q4:Q8)</f>
        <v>1</v>
      </c>
      <c r="R9" s="195"/>
      <c r="S9" s="195"/>
      <c r="T9" s="195"/>
      <c r="U9" s="195"/>
      <c r="V9" s="195"/>
      <c r="W9" s="195"/>
      <c r="X9" s="195"/>
    </row>
    <row r="10" spans="1:24" ht="15" thickBot="1" x14ac:dyDescent="0.35">
      <c r="A10" s="90"/>
      <c r="B10" s="90"/>
      <c r="C10" s="90"/>
      <c r="D10" s="90"/>
      <c r="H10" s="195"/>
      <c r="I10" s="195"/>
      <c r="J10" s="195"/>
      <c r="K10" s="254"/>
      <c r="L10" s="254"/>
      <c r="M10" s="254"/>
      <c r="N10" s="254"/>
      <c r="O10" s="254"/>
      <c r="P10" s="254"/>
      <c r="Q10" s="254"/>
      <c r="R10" s="195"/>
      <c r="S10" s="195"/>
      <c r="T10" s="195"/>
      <c r="U10" s="195"/>
      <c r="V10" s="195"/>
      <c r="W10" s="195"/>
      <c r="X10" s="195"/>
    </row>
    <row r="11" spans="1:24" ht="15" thickBot="1" x14ac:dyDescent="0.35">
      <c r="A11" s="4" t="s">
        <v>19</v>
      </c>
      <c r="B11" s="5" t="s">
        <v>6</v>
      </c>
      <c r="C11" s="6" t="s">
        <v>20</v>
      </c>
      <c r="D11" s="103" t="s">
        <v>13</v>
      </c>
      <c r="E11" s="82" t="s">
        <v>23</v>
      </c>
      <c r="F11" s="279" t="s">
        <v>50</v>
      </c>
      <c r="H11" s="195"/>
      <c r="I11" s="195"/>
      <c r="J11" s="195"/>
      <c r="K11" s="195"/>
      <c r="L11" s="195"/>
      <c r="M11" s="195"/>
      <c r="N11" s="195"/>
      <c r="O11" s="195"/>
      <c r="P11" s="195"/>
      <c r="Q11" s="195"/>
      <c r="R11" s="195"/>
      <c r="S11" s="195"/>
      <c r="T11" s="195"/>
      <c r="U11" s="195"/>
      <c r="V11" s="195"/>
      <c r="W11" s="195"/>
      <c r="X11" s="195"/>
    </row>
    <row r="12" spans="1:24" ht="15" thickBot="1" x14ac:dyDescent="0.35">
      <c r="A12" s="95" t="s">
        <v>18</v>
      </c>
      <c r="B12" s="96"/>
      <c r="C12" s="97">
        <v>100</v>
      </c>
      <c r="D12" s="115">
        <f>B12/C12</f>
        <v>0</v>
      </c>
      <c r="E12" s="109">
        <f>O9</f>
        <v>1</v>
      </c>
      <c r="F12" s="277">
        <f>IF($E$12 &gt;1, 5, 0)</f>
        <v>0</v>
      </c>
      <c r="H12" s="195"/>
      <c r="I12" s="195"/>
      <c r="J12" s="195"/>
      <c r="K12" s="195"/>
      <c r="L12" s="195"/>
      <c r="M12" s="195"/>
      <c r="N12" s="195"/>
      <c r="O12" s="195"/>
      <c r="P12" s="195"/>
      <c r="Q12" s="195"/>
      <c r="R12" s="195"/>
      <c r="S12" s="195"/>
      <c r="T12" s="195"/>
      <c r="U12" s="195"/>
      <c r="V12" s="195"/>
      <c r="W12" s="195"/>
      <c r="X12" s="195"/>
    </row>
    <row r="13" spans="1:24" ht="15" thickBot="1" x14ac:dyDescent="0.35">
      <c r="A13" s="90"/>
      <c r="B13" s="90"/>
      <c r="C13" s="90"/>
      <c r="D13" s="90"/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95"/>
      <c r="W13" s="195"/>
      <c r="X13" s="195"/>
    </row>
    <row r="14" spans="1:24" ht="15" thickBot="1" x14ac:dyDescent="0.35">
      <c r="A14" s="55" t="s">
        <v>22</v>
      </c>
      <c r="B14" s="98" t="s">
        <v>6</v>
      </c>
      <c r="C14" s="99" t="s">
        <v>7</v>
      </c>
      <c r="D14" s="104" t="s">
        <v>13</v>
      </c>
      <c r="E14" s="83" t="s">
        <v>23</v>
      </c>
      <c r="F14" s="279" t="s">
        <v>50</v>
      </c>
      <c r="H14" s="195"/>
      <c r="I14" s="195"/>
      <c r="J14" s="195"/>
      <c r="K14" s="195"/>
      <c r="L14" s="195"/>
      <c r="M14" s="195"/>
      <c r="N14" s="195"/>
      <c r="O14" s="195"/>
      <c r="P14" s="195"/>
      <c r="Q14" s="195"/>
      <c r="R14" s="195"/>
      <c r="S14" s="195"/>
      <c r="T14" s="195"/>
      <c r="U14" s="195"/>
      <c r="V14" s="195"/>
      <c r="W14" s="195"/>
      <c r="X14" s="195"/>
    </row>
    <row r="15" spans="1:24" ht="15" thickBot="1" x14ac:dyDescent="0.35">
      <c r="A15" s="100" t="s">
        <v>18</v>
      </c>
      <c r="B15" s="101"/>
      <c r="C15" s="102">
        <v>100</v>
      </c>
      <c r="D15" s="116">
        <f>B15/C15</f>
        <v>0</v>
      </c>
      <c r="E15" s="108">
        <f>P9</f>
        <v>1</v>
      </c>
      <c r="F15" s="277">
        <f>IF($E$15 &gt;1, 8, 0)</f>
        <v>0</v>
      </c>
      <c r="H15" s="195"/>
      <c r="I15" s="195"/>
      <c r="J15" s="195"/>
      <c r="K15" s="195"/>
      <c r="L15" s="195"/>
      <c r="M15" s="195"/>
      <c r="N15" s="195"/>
      <c r="O15" s="195"/>
      <c r="P15" s="195"/>
      <c r="Q15" s="195"/>
      <c r="R15" s="195"/>
      <c r="S15" s="195"/>
      <c r="T15" s="195"/>
      <c r="U15" s="195"/>
      <c r="V15" s="195"/>
      <c r="W15" s="195"/>
      <c r="X15" s="195"/>
    </row>
    <row r="16" spans="1:24" ht="15" thickBot="1" x14ac:dyDescent="0.35">
      <c r="H16" s="195"/>
      <c r="I16" s="195"/>
      <c r="J16" s="195"/>
      <c r="K16" s="195"/>
      <c r="L16" s="195"/>
      <c r="M16" s="195"/>
      <c r="N16" s="195"/>
      <c r="O16" s="195"/>
      <c r="P16" s="195"/>
      <c r="Q16" s="195"/>
      <c r="R16" s="195"/>
      <c r="S16" s="195"/>
      <c r="T16" s="195"/>
      <c r="U16" s="195"/>
      <c r="V16" s="195"/>
      <c r="W16" s="195"/>
      <c r="X16" s="195"/>
    </row>
    <row r="17" spans="1:24" ht="15" thickBot="1" x14ac:dyDescent="0.35">
      <c r="A17" s="132" t="s">
        <v>30</v>
      </c>
      <c r="B17" s="130" t="s">
        <v>6</v>
      </c>
      <c r="C17" s="123" t="s">
        <v>7</v>
      </c>
      <c r="D17" s="124" t="s">
        <v>13</v>
      </c>
      <c r="H17" s="195"/>
      <c r="I17" s="195"/>
      <c r="J17" s="195"/>
      <c r="K17" s="195"/>
      <c r="L17" s="195"/>
      <c r="M17" s="195"/>
      <c r="N17" s="195"/>
      <c r="O17" s="195"/>
      <c r="P17" s="195"/>
      <c r="Q17" s="195"/>
      <c r="R17" s="195"/>
      <c r="S17" s="195"/>
      <c r="T17" s="195"/>
      <c r="U17" s="195"/>
      <c r="V17" s="195"/>
      <c r="W17" s="195"/>
      <c r="X17" s="195"/>
    </row>
    <row r="18" spans="1:24" x14ac:dyDescent="0.3">
      <c r="A18" s="131" t="s">
        <v>11</v>
      </c>
      <c r="B18" s="125">
        <f>('SEM1'!B32/25) * 40</f>
        <v>0</v>
      </c>
      <c r="C18" s="126">
        <v>40</v>
      </c>
      <c r="D18" s="133">
        <f>B18/C18</f>
        <v>0</v>
      </c>
      <c r="H18" s="195"/>
      <c r="I18" s="195"/>
      <c r="J18" s="195"/>
      <c r="K18" s="195"/>
      <c r="L18" s="195"/>
      <c r="M18" s="195"/>
      <c r="N18" s="195"/>
      <c r="O18" s="195"/>
      <c r="P18" s="195"/>
      <c r="Q18" s="195"/>
      <c r="R18" s="195"/>
      <c r="S18" s="195"/>
      <c r="T18" s="195"/>
      <c r="U18" s="195"/>
      <c r="V18" s="195"/>
      <c r="W18" s="195"/>
      <c r="X18" s="195"/>
    </row>
    <row r="19" spans="1:24" x14ac:dyDescent="0.3">
      <c r="A19" s="121" t="s">
        <v>3</v>
      </c>
      <c r="B19" s="127"/>
      <c r="C19" s="118">
        <v>10</v>
      </c>
      <c r="D19" s="134">
        <f t="shared" ref="D19:D21" si="3">B19/C19</f>
        <v>0</v>
      </c>
      <c r="H19" s="195"/>
      <c r="I19" s="195"/>
      <c r="J19" s="195"/>
      <c r="K19" s="195"/>
      <c r="L19" s="195"/>
      <c r="M19" s="195"/>
      <c r="N19" s="195"/>
      <c r="O19" s="195"/>
      <c r="P19" s="195"/>
      <c r="Q19" s="195"/>
      <c r="R19" s="195"/>
      <c r="S19" s="195"/>
      <c r="T19" s="195"/>
      <c r="U19" s="195"/>
      <c r="V19" s="195"/>
      <c r="W19" s="195"/>
      <c r="X19" s="195"/>
    </row>
    <row r="20" spans="1:24" ht="15" thickBot="1" x14ac:dyDescent="0.35">
      <c r="A20" s="121" t="s">
        <v>26</v>
      </c>
      <c r="B20" s="128">
        <f>'SEM1'!B33</f>
        <v>0</v>
      </c>
      <c r="C20" s="117">
        <v>30</v>
      </c>
      <c r="D20" s="135">
        <f t="shared" si="3"/>
        <v>0</v>
      </c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5"/>
      <c r="V20" s="195"/>
      <c r="W20" s="195"/>
      <c r="X20" s="195"/>
    </row>
    <row r="21" spans="1:24" x14ac:dyDescent="0.3">
      <c r="A21" s="121" t="s">
        <v>18</v>
      </c>
      <c r="B21" s="127"/>
      <c r="C21" s="118">
        <v>20</v>
      </c>
      <c r="D21" s="134">
        <f t="shared" si="3"/>
        <v>0</v>
      </c>
      <c r="E21" s="140" t="s">
        <v>23</v>
      </c>
      <c r="F21" s="279" t="s">
        <v>50</v>
      </c>
      <c r="H21" s="195"/>
      <c r="I21" s="195"/>
      <c r="J21" s="195"/>
      <c r="K21" s="195"/>
      <c r="L21" s="195"/>
      <c r="M21" s="195"/>
      <c r="N21" s="195"/>
      <c r="O21" s="195"/>
      <c r="P21" s="195"/>
      <c r="Q21" s="195"/>
      <c r="R21" s="195"/>
      <c r="S21" s="195"/>
      <c r="T21" s="195"/>
      <c r="U21" s="195"/>
      <c r="V21" s="195"/>
      <c r="W21" s="195"/>
      <c r="X21" s="195"/>
    </row>
    <row r="22" spans="1:24" ht="15" thickBot="1" x14ac:dyDescent="0.35">
      <c r="A22" s="122" t="s">
        <v>21</v>
      </c>
      <c r="B22" s="142">
        <f>SUM(B17:B21)</f>
        <v>0</v>
      </c>
      <c r="C22" s="120">
        <v>100</v>
      </c>
      <c r="D22" s="136">
        <f t="shared" ref="D22" si="4">B22/C22</f>
        <v>0</v>
      </c>
      <c r="E22" s="141">
        <f>Q9</f>
        <v>1</v>
      </c>
      <c r="F22" s="277">
        <f>IF($E$22 &gt;1, 4, 0)</f>
        <v>0</v>
      </c>
      <c r="H22" s="195"/>
      <c r="I22" s="195"/>
      <c r="J22" s="195"/>
      <c r="K22" s="195"/>
      <c r="L22" s="195"/>
      <c r="M22" s="195"/>
      <c r="N22" s="195"/>
      <c r="O22" s="195"/>
      <c r="P22" s="195"/>
      <c r="Q22" s="195"/>
      <c r="R22" s="195"/>
      <c r="S22" s="195"/>
      <c r="T22" s="195"/>
      <c r="U22" s="195"/>
      <c r="V22" s="195"/>
      <c r="W22" s="195"/>
      <c r="X22" s="195"/>
    </row>
    <row r="23" spans="1:24" x14ac:dyDescent="0.3">
      <c r="A23" s="119"/>
      <c r="B23" s="143"/>
      <c r="C23" s="90"/>
      <c r="D23" s="144"/>
      <c r="H23" s="195"/>
      <c r="I23" s="195"/>
      <c r="J23" s="195"/>
      <c r="K23" s="195"/>
      <c r="L23" s="195"/>
      <c r="M23" s="195"/>
      <c r="N23" s="195"/>
      <c r="O23" s="195"/>
      <c r="P23" s="195"/>
      <c r="Q23" s="195"/>
      <c r="R23" s="195"/>
      <c r="S23" s="195"/>
      <c r="T23" s="195"/>
      <c r="U23" s="195"/>
      <c r="V23" s="195"/>
      <c r="W23" s="195"/>
      <c r="X23" s="195"/>
    </row>
    <row r="24" spans="1:24" x14ac:dyDescent="0.3">
      <c r="H24" s="195"/>
      <c r="I24" s="195"/>
      <c r="J24" s="195"/>
      <c r="K24" s="195"/>
      <c r="L24" s="195"/>
      <c r="M24" s="195"/>
      <c r="N24" s="195"/>
      <c r="O24" s="195"/>
      <c r="P24" s="195"/>
      <c r="Q24" s="195"/>
      <c r="R24" s="195"/>
      <c r="S24" s="195"/>
      <c r="T24" s="195"/>
      <c r="U24" s="195"/>
      <c r="V24" s="195"/>
      <c r="W24" s="195"/>
      <c r="X24" s="195"/>
    </row>
    <row r="25" spans="1:24" x14ac:dyDescent="0.3">
      <c r="H25" s="195"/>
      <c r="I25" s="195"/>
      <c r="J25" s="195"/>
      <c r="K25" s="195"/>
      <c r="L25" s="195"/>
      <c r="M25" s="195"/>
      <c r="N25" s="195"/>
      <c r="O25" s="195"/>
      <c r="P25" s="195"/>
      <c r="Q25" s="195"/>
      <c r="R25" s="195"/>
      <c r="S25" s="195"/>
      <c r="T25" s="195"/>
      <c r="U25" s="195"/>
      <c r="V25" s="195"/>
      <c r="W25" s="195"/>
      <c r="X25" s="195"/>
    </row>
    <row r="26" spans="1:24" x14ac:dyDescent="0.3">
      <c r="H26" s="195"/>
      <c r="I26" s="195"/>
      <c r="J26" s="195"/>
      <c r="K26" s="195"/>
      <c r="L26" s="195"/>
      <c r="M26" s="195"/>
      <c r="N26" s="195"/>
      <c r="O26" s="195"/>
      <c r="P26" s="195"/>
      <c r="Q26" s="195"/>
      <c r="R26" s="195"/>
      <c r="S26" s="195"/>
      <c r="T26" s="195"/>
      <c r="U26" s="195"/>
      <c r="V26" s="195"/>
      <c r="W26" s="195"/>
      <c r="X26" s="195"/>
    </row>
    <row r="27" spans="1:24" x14ac:dyDescent="0.3">
      <c r="H27" s="195"/>
      <c r="I27" s="195"/>
      <c r="J27" s="195"/>
      <c r="K27" s="195"/>
      <c r="L27" s="195"/>
      <c r="M27" s="195"/>
      <c r="N27" s="195"/>
      <c r="O27" s="195"/>
      <c r="P27" s="195"/>
      <c r="Q27" s="195"/>
      <c r="R27" s="195"/>
      <c r="S27" s="195"/>
      <c r="T27" s="195"/>
      <c r="U27" s="195"/>
      <c r="V27" s="195"/>
      <c r="W27" s="195"/>
      <c r="X27" s="195"/>
    </row>
    <row r="28" spans="1:24" x14ac:dyDescent="0.3">
      <c r="H28" s="195"/>
      <c r="I28" s="195"/>
      <c r="J28" s="195"/>
      <c r="K28" s="195"/>
      <c r="L28" s="195"/>
      <c r="M28" s="195"/>
      <c r="N28" s="195"/>
      <c r="O28" s="195"/>
      <c r="P28" s="195"/>
      <c r="Q28" s="195"/>
      <c r="R28" s="195"/>
      <c r="S28" s="195"/>
      <c r="T28" s="195"/>
      <c r="U28" s="195"/>
      <c r="V28" s="195"/>
      <c r="W28" s="195"/>
      <c r="X28" s="195"/>
    </row>
  </sheetData>
  <conditionalFormatting sqref="D2:D4 D7:D9 D12 D15 D18:D23">
    <cfRule type="dataBar" priority="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{1BC900FF-8DD7-4311-8CE5-25E2A253943D}</x14:id>
        </ext>
      </extLst>
    </cfRule>
  </conditionalFormatting>
  <conditionalFormatting sqref="D2:D4 D8:D9 D15 D18 D20:D21">
    <cfRule type="iconSet" priority="3">
      <iconSet iconSet="3Symbols2">
        <cfvo type="percent" val="0"/>
        <cfvo type="num" val="0.5"/>
        <cfvo type="num" val="0.5"/>
      </iconSet>
    </cfRule>
  </conditionalFormatting>
  <conditionalFormatting sqref="D12">
    <cfRule type="iconSet" priority="2">
      <iconSet iconSet="3Symbols2">
        <cfvo type="percent" val="0"/>
        <cfvo type="num" val="0.45"/>
        <cfvo type="num" val="0.45"/>
      </iconSet>
    </cfRule>
  </conditionalFormatting>
  <conditionalFormatting sqref="D22:D23">
    <cfRule type="iconSet" priority="1">
      <iconSet iconSet="3Symbols2">
        <cfvo type="percent" val="0"/>
        <cfvo type="num" val="0.6"/>
        <cfvo type="num" val="0.6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C900FF-8DD7-4311-8CE5-25E2A253943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D2:D4 D7:D9 D12 D15 D18:D23</xm:sqref>
        </x14:conditionalFormatting>
        <x14:conditionalFormatting xmlns:xm="http://schemas.microsoft.com/office/excel/2006/main">
          <x14:cfRule type="iconSet" priority="4" id="{31FEB6C0-6CE1-4A7D-8351-E0976F130F51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E4 E9 E12 E15 E22:E23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55292-5C2A-464C-A604-04024A6EF04E}">
  <sheetPr>
    <tabColor theme="0" tint="-4.9989318521683403E-2"/>
  </sheetPr>
  <dimension ref="A1:Y39"/>
  <sheetViews>
    <sheetView topLeftCell="E1" zoomScale="120" zoomScaleNormal="120" workbookViewId="0">
      <selection activeCell="K2" sqref="K2:S10"/>
    </sheetView>
  </sheetViews>
  <sheetFormatPr defaultColWidth="8.88671875" defaultRowHeight="14.4" x14ac:dyDescent="0.3"/>
  <cols>
    <col min="1" max="1" width="13.5546875" style="43" customWidth="1"/>
    <col min="2" max="2" width="11.5546875" style="43" customWidth="1"/>
    <col min="3" max="3" width="9.109375" style="43" bestFit="1" customWidth="1"/>
    <col min="4" max="4" width="12.33203125" style="43" customWidth="1"/>
    <col min="5" max="5" width="10.5546875" style="43" bestFit="1" customWidth="1"/>
    <col min="6" max="6" width="8.88671875" style="195"/>
    <col min="7" max="16384" width="8.88671875" style="43"/>
  </cols>
  <sheetData>
    <row r="1" spans="1:21" ht="15" thickBot="1" x14ac:dyDescent="0.35">
      <c r="A1" s="172" t="s">
        <v>32</v>
      </c>
      <c r="B1" s="173" t="s">
        <v>6</v>
      </c>
      <c r="C1" s="174" t="s">
        <v>7</v>
      </c>
      <c r="D1" s="175" t="s">
        <v>13</v>
      </c>
      <c r="F1" s="279" t="s">
        <v>55</v>
      </c>
      <c r="G1" s="294"/>
      <c r="H1" s="294"/>
      <c r="I1" s="294"/>
      <c r="J1" s="294"/>
      <c r="K1" s="294"/>
      <c r="L1" s="254"/>
      <c r="M1" s="294"/>
      <c r="N1" s="294"/>
      <c r="O1" s="294"/>
      <c r="P1" s="294"/>
      <c r="Q1" s="294"/>
      <c r="R1" s="294"/>
      <c r="S1" s="294"/>
      <c r="T1" s="294"/>
    </row>
    <row r="2" spans="1:21" ht="15" thickBot="1" x14ac:dyDescent="0.35">
      <c r="A2" s="161" t="s">
        <v>1</v>
      </c>
      <c r="B2" s="152"/>
      <c r="C2" s="153">
        <v>10</v>
      </c>
      <c r="D2" s="157">
        <f>B2/C2</f>
        <v>0</v>
      </c>
      <c r="E2" s="44"/>
      <c r="F2" s="277">
        <f>SUM(F7:F35)</f>
        <v>0</v>
      </c>
      <c r="G2" s="294"/>
      <c r="H2" s="294"/>
      <c r="I2" s="294"/>
      <c r="J2" s="294"/>
      <c r="K2" s="254"/>
      <c r="L2" s="254"/>
      <c r="M2" s="254"/>
      <c r="N2" s="254"/>
      <c r="O2" s="254"/>
      <c r="P2" s="254"/>
      <c r="Q2" s="254"/>
      <c r="R2" s="254"/>
      <c r="S2" s="254"/>
      <c r="T2" s="294"/>
    </row>
    <row r="3" spans="1:21" x14ac:dyDescent="0.3">
      <c r="A3" s="162" t="s">
        <v>2</v>
      </c>
      <c r="B3" s="164"/>
      <c r="C3" s="165">
        <v>10</v>
      </c>
      <c r="D3" s="166">
        <f t="shared" ref="D3:D5" si="0">B3/C3</f>
        <v>0</v>
      </c>
      <c r="G3" s="294"/>
      <c r="H3" s="294"/>
      <c r="I3" s="294"/>
      <c r="J3" s="294"/>
      <c r="K3" s="254"/>
      <c r="L3" s="254"/>
      <c r="M3" s="138" t="s">
        <v>15</v>
      </c>
      <c r="N3" s="138" t="s">
        <v>44</v>
      </c>
      <c r="O3" s="138" t="s">
        <v>36</v>
      </c>
      <c r="P3" s="138" t="s">
        <v>37</v>
      </c>
      <c r="Q3" s="138" t="s">
        <v>45</v>
      </c>
      <c r="R3" s="138" t="s">
        <v>41</v>
      </c>
      <c r="S3" s="254"/>
      <c r="T3" s="294"/>
    </row>
    <row r="4" spans="1:21" x14ac:dyDescent="0.3">
      <c r="A4" s="162" t="s">
        <v>33</v>
      </c>
      <c r="B4" s="155"/>
      <c r="C4" s="156">
        <v>28</v>
      </c>
      <c r="D4" s="157">
        <f t="shared" si="0"/>
        <v>0</v>
      </c>
      <c r="G4" s="294"/>
      <c r="H4" s="294"/>
      <c r="I4" s="294"/>
      <c r="J4" s="294"/>
      <c r="K4" s="254"/>
      <c r="L4" s="254"/>
      <c r="M4" s="138">
        <v>1</v>
      </c>
      <c r="N4" s="138">
        <v>1</v>
      </c>
      <c r="O4" s="138">
        <v>1</v>
      </c>
      <c r="P4" s="138">
        <v>1</v>
      </c>
      <c r="Q4" s="138">
        <v>1</v>
      </c>
      <c r="R4" s="138">
        <v>1</v>
      </c>
      <c r="S4" s="254"/>
      <c r="T4" s="294"/>
    </row>
    <row r="5" spans="1:21" ht="15" thickBot="1" x14ac:dyDescent="0.35">
      <c r="A5" s="162" t="s">
        <v>34</v>
      </c>
      <c r="B5" s="164"/>
      <c r="C5" s="165">
        <v>28</v>
      </c>
      <c r="D5" s="166">
        <f t="shared" si="0"/>
        <v>0</v>
      </c>
      <c r="G5" s="294"/>
      <c r="H5" s="294"/>
      <c r="I5" s="294"/>
      <c r="J5" s="294"/>
      <c r="K5" s="254"/>
      <c r="L5" s="254"/>
      <c r="M5" s="138">
        <v>2</v>
      </c>
      <c r="N5" s="138">
        <f>IF($B$7 &gt;= 50, 1, 0)</f>
        <v>0</v>
      </c>
      <c r="O5" s="138">
        <f>IF($B$14 &gt;= 50, 1, 0)</f>
        <v>0</v>
      </c>
      <c r="P5" s="138">
        <f>IF($B$24 &gt;= 50, 1, 0)</f>
        <v>0</v>
      </c>
      <c r="Q5" s="138">
        <f>IF($B$30 &gt;= 50, 1,)</f>
        <v>0</v>
      </c>
      <c r="R5" s="138">
        <f>IF($B$35 &gt;= 20, 1,)</f>
        <v>0</v>
      </c>
      <c r="S5" s="254"/>
      <c r="T5" s="294"/>
    </row>
    <row r="6" spans="1:21" x14ac:dyDescent="0.3">
      <c r="A6" s="162" t="s">
        <v>35</v>
      </c>
      <c r="B6" s="155"/>
      <c r="C6" s="156">
        <v>24</v>
      </c>
      <c r="D6" s="158">
        <f>B6/C6</f>
        <v>0</v>
      </c>
      <c r="E6" s="194" t="s">
        <v>14</v>
      </c>
      <c r="F6" s="280" t="s">
        <v>50</v>
      </c>
      <c r="G6" s="294"/>
      <c r="H6" s="294"/>
      <c r="I6" s="294"/>
      <c r="J6" s="294"/>
      <c r="K6" s="254"/>
      <c r="L6" s="254"/>
      <c r="M6" s="138">
        <v>3</v>
      </c>
      <c r="N6" s="138">
        <f>IF($B$7 &gt;= 60, 1, 0)</f>
        <v>0</v>
      </c>
      <c r="O6" s="138">
        <f>IF($B$14 &gt;= 65, 1, 0)</f>
        <v>0</v>
      </c>
      <c r="P6" s="138">
        <f>IF($B$24 &gt;= 62, 1, )</f>
        <v>0</v>
      </c>
      <c r="Q6" s="138">
        <f>IF($B$30 &gt;= 58, 1, )</f>
        <v>0</v>
      </c>
      <c r="R6" s="138">
        <f>IF($B$35 &gt;= 24, 1,)</f>
        <v>0</v>
      </c>
      <c r="S6" s="254"/>
      <c r="T6" s="294"/>
    </row>
    <row r="7" spans="1:21" ht="15" thickBot="1" x14ac:dyDescent="0.35">
      <c r="A7" s="163" t="s">
        <v>8</v>
      </c>
      <c r="B7" s="167">
        <f>SUM(B2:B6)</f>
        <v>0</v>
      </c>
      <c r="C7" s="168">
        <v>100</v>
      </c>
      <c r="D7" s="169">
        <f>B7/C7</f>
        <v>0</v>
      </c>
      <c r="E7" s="171">
        <f>N9</f>
        <v>1</v>
      </c>
      <c r="F7" s="276">
        <f>IF($E$7 &gt;1, 6, 0)</f>
        <v>0</v>
      </c>
      <c r="G7" s="294"/>
      <c r="H7" s="294"/>
      <c r="I7" s="294"/>
      <c r="J7" s="294"/>
      <c r="K7" s="254"/>
      <c r="L7" s="254"/>
      <c r="M7" s="138">
        <v>4</v>
      </c>
      <c r="N7" s="138">
        <f>IF($B$7 &gt;= 70, 1, 0)</f>
        <v>0</v>
      </c>
      <c r="O7" s="138">
        <f>IF($B$14 &gt;= 80, 1, 0)</f>
        <v>0</v>
      </c>
      <c r="P7" s="138">
        <f>IF($B$24 &gt;= 74, 1, 0)</f>
        <v>0</v>
      </c>
      <c r="Q7" s="138">
        <f>IF($B$30 &gt;= 72, 1, )</f>
        <v>0</v>
      </c>
      <c r="R7" s="138">
        <f>IF($B$35 &gt;= 30, 1,)</f>
        <v>0</v>
      </c>
      <c r="S7" s="254"/>
      <c r="T7" s="294"/>
    </row>
    <row r="8" spans="1:21" ht="15" thickBot="1" x14ac:dyDescent="0.35">
      <c r="F8" s="88"/>
      <c r="G8" s="294"/>
      <c r="H8" s="294"/>
      <c r="I8" s="294"/>
      <c r="J8" s="294"/>
      <c r="K8" s="254"/>
      <c r="L8" s="254"/>
      <c r="M8" s="138">
        <v>5</v>
      </c>
      <c r="N8" s="138">
        <f>IF($B$7 &gt;= 85, 1, 0)</f>
        <v>0</v>
      </c>
      <c r="O8" s="138">
        <f>IF($B$14 &gt;= 90, 1, 0)</f>
        <v>0</v>
      </c>
      <c r="P8" s="138">
        <f>IF($B$24 &gt;= 86, 1, 0)</f>
        <v>0</v>
      </c>
      <c r="Q8" s="138">
        <f>IF($B$30 &gt;= 86, 1, 0)</f>
        <v>0</v>
      </c>
      <c r="R8" s="138">
        <f>IF($B$35 &gt;= 36, 1,)</f>
        <v>0</v>
      </c>
      <c r="S8" s="254"/>
      <c r="T8" s="294"/>
    </row>
    <row r="9" spans="1:21" ht="15" thickBot="1" x14ac:dyDescent="0.35">
      <c r="A9" s="179" t="s">
        <v>36</v>
      </c>
      <c r="B9" s="180" t="s">
        <v>6</v>
      </c>
      <c r="C9" s="181" t="s">
        <v>7</v>
      </c>
      <c r="D9" s="182" t="s">
        <v>13</v>
      </c>
      <c r="F9" s="88"/>
      <c r="G9" s="294"/>
      <c r="H9" s="294"/>
      <c r="I9" s="294"/>
      <c r="J9" s="294"/>
      <c r="K9" s="254"/>
      <c r="L9" s="254"/>
      <c r="M9" s="138" t="s">
        <v>17</v>
      </c>
      <c r="N9" s="138">
        <f>SUM(N4:N8)</f>
        <v>1</v>
      </c>
      <c r="O9" s="138">
        <f t="shared" ref="O9:Q9" si="1">SUM(O4:O8)</f>
        <v>1</v>
      </c>
      <c r="P9" s="138">
        <f t="shared" si="1"/>
        <v>1</v>
      </c>
      <c r="Q9" s="138">
        <f t="shared" si="1"/>
        <v>1</v>
      </c>
      <c r="R9" s="138">
        <f>SUM(R4:R8)</f>
        <v>1</v>
      </c>
      <c r="S9" s="254"/>
      <c r="T9" s="294"/>
    </row>
    <row r="10" spans="1:21" x14ac:dyDescent="0.3">
      <c r="A10" s="176" t="s">
        <v>1</v>
      </c>
      <c r="B10" s="183"/>
      <c r="C10" s="184">
        <v>10</v>
      </c>
      <c r="D10" s="185">
        <f>B10/C10</f>
        <v>0</v>
      </c>
      <c r="F10" s="88"/>
      <c r="G10" s="294"/>
      <c r="H10" s="294"/>
      <c r="I10" s="294"/>
      <c r="J10" s="294"/>
      <c r="K10" s="254"/>
      <c r="L10" s="254"/>
      <c r="M10" s="254"/>
      <c r="N10" s="254"/>
      <c r="O10" s="254"/>
      <c r="P10" s="254"/>
      <c r="Q10" s="254"/>
      <c r="R10" s="254"/>
      <c r="S10" s="254"/>
      <c r="T10" s="294"/>
    </row>
    <row r="11" spans="1:21" x14ac:dyDescent="0.3">
      <c r="A11" s="176" t="s">
        <v>3</v>
      </c>
      <c r="B11" s="145"/>
      <c r="C11" s="146">
        <v>10</v>
      </c>
      <c r="D11" s="147">
        <f>B11/C11</f>
        <v>0</v>
      </c>
      <c r="F11" s="88"/>
      <c r="G11" s="294"/>
      <c r="H11" s="294"/>
      <c r="I11" s="294"/>
      <c r="J11" s="294"/>
      <c r="K11" s="294"/>
      <c r="L11" s="254"/>
      <c r="M11" s="294"/>
      <c r="N11" s="294"/>
      <c r="O11" s="294"/>
      <c r="P11" s="294"/>
      <c r="Q11" s="294"/>
      <c r="R11" s="294"/>
      <c r="S11" s="294"/>
      <c r="T11" s="294"/>
    </row>
    <row r="12" spans="1:21" ht="15" thickBot="1" x14ac:dyDescent="0.35">
      <c r="A12" s="177" t="s">
        <v>4</v>
      </c>
      <c r="B12" s="26"/>
      <c r="C12" s="27">
        <v>40</v>
      </c>
      <c r="D12" s="150">
        <f t="shared" ref="D12:D14" si="2">B12/C12</f>
        <v>0</v>
      </c>
      <c r="F12" s="88"/>
      <c r="G12" s="294"/>
      <c r="H12" s="294"/>
      <c r="I12" s="294"/>
      <c r="J12" s="294"/>
      <c r="K12" s="294"/>
      <c r="L12" s="254"/>
      <c r="M12" s="294"/>
      <c r="N12" s="294"/>
      <c r="O12" s="294"/>
      <c r="P12" s="294"/>
      <c r="Q12" s="294"/>
      <c r="R12" s="294"/>
      <c r="S12" s="294"/>
      <c r="T12" s="294"/>
    </row>
    <row r="13" spans="1:21" x14ac:dyDescent="0.3">
      <c r="A13" s="177" t="s">
        <v>5</v>
      </c>
      <c r="B13" s="295"/>
      <c r="C13" s="32">
        <v>40</v>
      </c>
      <c r="D13" s="76">
        <f t="shared" si="2"/>
        <v>0</v>
      </c>
      <c r="E13" s="81" t="s">
        <v>14</v>
      </c>
      <c r="F13" s="280" t="s">
        <v>50</v>
      </c>
      <c r="G13" s="294"/>
      <c r="H13" s="294"/>
      <c r="I13" s="294"/>
      <c r="J13" s="294"/>
      <c r="K13" s="294"/>
      <c r="L13" s="294"/>
      <c r="M13" s="294"/>
      <c r="N13" s="294"/>
      <c r="O13" s="294"/>
      <c r="P13" s="294"/>
      <c r="Q13" s="294"/>
      <c r="R13" s="294"/>
      <c r="S13" s="294"/>
      <c r="T13" s="294"/>
    </row>
    <row r="14" spans="1:21" ht="15" thickBot="1" x14ac:dyDescent="0.35">
      <c r="A14" s="178" t="s">
        <v>8</v>
      </c>
      <c r="B14" s="29">
        <f>SUM(B10:B13)</f>
        <v>0</v>
      </c>
      <c r="C14" s="30">
        <v>100</v>
      </c>
      <c r="D14" s="151">
        <f t="shared" si="2"/>
        <v>0</v>
      </c>
      <c r="E14" s="85">
        <f>O9</f>
        <v>1</v>
      </c>
      <c r="F14" s="276">
        <f>IF($E$14 &gt;1, 8, 0)</f>
        <v>0</v>
      </c>
      <c r="G14" s="294"/>
      <c r="H14" s="294"/>
      <c r="I14" s="294"/>
      <c r="J14" s="294"/>
      <c r="K14" s="294"/>
      <c r="L14" s="294"/>
      <c r="M14" s="294"/>
      <c r="N14" s="294"/>
      <c r="O14" s="294"/>
      <c r="P14" s="294"/>
      <c r="Q14" s="294"/>
      <c r="R14" s="294"/>
      <c r="S14" s="294"/>
      <c r="T14" s="294"/>
    </row>
    <row r="15" spans="1:21" ht="15" thickBot="1" x14ac:dyDescent="0.35">
      <c r="F15" s="88"/>
      <c r="G15" s="294"/>
      <c r="H15" s="294"/>
      <c r="I15" s="294"/>
      <c r="J15" s="294"/>
      <c r="K15" s="294"/>
      <c r="L15" s="294"/>
      <c r="M15" s="294"/>
      <c r="N15" s="294"/>
      <c r="O15" s="294"/>
      <c r="P15" s="294"/>
      <c r="Q15" s="294"/>
      <c r="R15" s="294"/>
      <c r="S15" s="294"/>
      <c r="T15" s="294"/>
    </row>
    <row r="16" spans="1:21" ht="15" thickBot="1" x14ac:dyDescent="0.35">
      <c r="A16" s="4" t="s">
        <v>42</v>
      </c>
      <c r="B16" s="5" t="s">
        <v>6</v>
      </c>
      <c r="C16" s="6" t="s">
        <v>7</v>
      </c>
      <c r="D16" s="7" t="s">
        <v>13</v>
      </c>
      <c r="F16" s="88"/>
      <c r="G16" s="294"/>
      <c r="H16" s="294"/>
      <c r="I16" s="294"/>
      <c r="J16" s="294"/>
      <c r="K16" s="294"/>
      <c r="L16" s="294"/>
      <c r="M16" s="294"/>
      <c r="N16" s="294"/>
      <c r="O16" s="294"/>
      <c r="P16" s="294"/>
      <c r="Q16" s="294"/>
      <c r="R16" s="294"/>
      <c r="S16" s="294"/>
      <c r="T16" s="294"/>
      <c r="U16" s="294"/>
    </row>
    <row r="17" spans="1:25" x14ac:dyDescent="0.3">
      <c r="A17" s="1" t="s">
        <v>38</v>
      </c>
      <c r="B17" s="45"/>
      <c r="C17" s="46">
        <v>6</v>
      </c>
      <c r="D17" s="47">
        <f>B17/C17</f>
        <v>0</v>
      </c>
      <c r="F17" s="88"/>
      <c r="G17" s="294"/>
      <c r="H17" s="294"/>
      <c r="I17" s="294"/>
      <c r="J17" s="294"/>
      <c r="K17" s="294"/>
      <c r="L17" s="294"/>
      <c r="M17" s="294"/>
      <c r="N17" s="294"/>
      <c r="O17" s="294"/>
      <c r="P17" s="294"/>
      <c r="Q17" s="294"/>
      <c r="R17" s="294"/>
      <c r="S17" s="294"/>
      <c r="T17" s="294"/>
      <c r="U17" s="294"/>
    </row>
    <row r="18" spans="1:25" x14ac:dyDescent="0.3">
      <c r="A18" s="2" t="s">
        <v>39</v>
      </c>
      <c r="B18" s="50"/>
      <c r="C18" s="51">
        <v>5</v>
      </c>
      <c r="D18" s="52">
        <f t="shared" ref="D18:D24" si="3">B18/C18</f>
        <v>0</v>
      </c>
      <c r="F18" s="88"/>
      <c r="G18" s="294"/>
      <c r="H18" s="294"/>
      <c r="I18" s="294"/>
      <c r="K18" s="294"/>
      <c r="L18" s="294"/>
      <c r="M18" s="294"/>
      <c r="N18" s="294"/>
      <c r="O18" s="294"/>
      <c r="P18" s="294"/>
      <c r="Q18" s="294"/>
      <c r="R18" s="294"/>
      <c r="S18" s="294"/>
      <c r="T18" s="294"/>
      <c r="U18" s="294"/>
    </row>
    <row r="19" spans="1:25" x14ac:dyDescent="0.3">
      <c r="A19" s="2" t="s">
        <v>3</v>
      </c>
      <c r="B19" s="48"/>
      <c r="C19" s="49">
        <v>9</v>
      </c>
      <c r="D19" s="148">
        <f t="shared" si="3"/>
        <v>0</v>
      </c>
      <c r="F19" s="88"/>
      <c r="G19" s="294"/>
      <c r="H19" s="294"/>
      <c r="I19" s="294"/>
      <c r="J19" s="294"/>
      <c r="K19" s="294"/>
      <c r="L19" s="294"/>
      <c r="M19" s="294"/>
      <c r="N19" s="294"/>
      <c r="O19" s="294"/>
      <c r="P19" s="294"/>
      <c r="Q19" s="294"/>
      <c r="R19" s="294"/>
      <c r="S19" s="294"/>
      <c r="T19" s="294"/>
      <c r="U19" s="294"/>
    </row>
    <row r="20" spans="1:25" ht="15" thickBot="1" x14ac:dyDescent="0.35">
      <c r="A20" s="2" t="s">
        <v>40</v>
      </c>
      <c r="B20" s="50"/>
      <c r="C20" s="51">
        <v>4</v>
      </c>
      <c r="D20" s="52">
        <f t="shared" si="3"/>
        <v>0</v>
      </c>
      <c r="E20" s="273"/>
      <c r="F20" s="88"/>
      <c r="G20" s="294"/>
      <c r="H20" s="294"/>
      <c r="I20" s="294"/>
      <c r="J20" s="294"/>
      <c r="K20" s="294"/>
      <c r="L20" s="294"/>
      <c r="M20" s="294"/>
      <c r="N20" s="294"/>
      <c r="O20" s="294"/>
      <c r="P20" s="294"/>
      <c r="Q20" s="294"/>
      <c r="R20" s="294"/>
      <c r="S20" s="294"/>
      <c r="T20" s="294"/>
      <c r="U20" s="294"/>
      <c r="V20" s="294"/>
      <c r="W20" s="294"/>
      <c r="X20" s="294"/>
      <c r="Y20" s="294"/>
    </row>
    <row r="21" spans="1:25" x14ac:dyDescent="0.3">
      <c r="A21" s="2" t="s">
        <v>33</v>
      </c>
      <c r="B21" s="48"/>
      <c r="C21" s="49">
        <v>26</v>
      </c>
      <c r="D21" s="74">
        <f t="shared" si="3"/>
        <v>0</v>
      </c>
      <c r="E21" s="587">
        <f>SUM(B21:B22)/52</f>
        <v>0</v>
      </c>
      <c r="F21" s="88"/>
      <c r="G21" s="589"/>
      <c r="H21" s="294"/>
      <c r="I21" s="294"/>
      <c r="J21" s="294"/>
      <c r="K21" s="294"/>
      <c r="L21" s="294"/>
      <c r="M21" s="294"/>
      <c r="N21" s="294"/>
      <c r="O21" s="294"/>
      <c r="P21" s="294"/>
      <c r="Q21" s="294"/>
      <c r="R21" s="294"/>
      <c r="S21" s="294"/>
      <c r="T21" s="294"/>
      <c r="U21" s="294"/>
      <c r="V21" s="294"/>
      <c r="W21" s="294"/>
      <c r="X21" s="294"/>
      <c r="Y21" s="294"/>
    </row>
    <row r="22" spans="1:25" ht="15" thickBot="1" x14ac:dyDescent="0.35">
      <c r="A22" s="2" t="s">
        <v>34</v>
      </c>
      <c r="B22" s="297"/>
      <c r="C22" s="51">
        <v>26</v>
      </c>
      <c r="D22" s="251">
        <f t="shared" si="3"/>
        <v>0</v>
      </c>
      <c r="E22" s="588"/>
      <c r="F22" s="88"/>
      <c r="G22" s="589"/>
      <c r="H22" s="294"/>
      <c r="I22" s="294"/>
      <c r="J22" s="294"/>
      <c r="K22" s="294"/>
      <c r="L22" s="294"/>
      <c r="M22" s="294"/>
      <c r="N22" s="294"/>
      <c r="O22" s="294"/>
      <c r="P22" s="294"/>
      <c r="Q22" s="294"/>
      <c r="R22" s="294"/>
      <c r="S22" s="294"/>
      <c r="T22" s="294"/>
      <c r="U22" s="294"/>
      <c r="V22" s="294"/>
      <c r="W22" s="294"/>
      <c r="X22" s="294"/>
      <c r="Y22" s="294"/>
    </row>
    <row r="23" spans="1:25" x14ac:dyDescent="0.3">
      <c r="A23" s="2" t="s">
        <v>35</v>
      </c>
      <c r="B23" s="298"/>
      <c r="C23" s="49">
        <v>24</v>
      </c>
      <c r="D23" s="148">
        <f>B23/C23</f>
        <v>0</v>
      </c>
      <c r="E23" s="252" t="s">
        <v>14</v>
      </c>
      <c r="F23" s="280" t="s">
        <v>50</v>
      </c>
      <c r="G23" s="294"/>
      <c r="H23" s="294"/>
      <c r="I23" s="294"/>
      <c r="J23" s="294"/>
      <c r="K23" s="294"/>
      <c r="L23" s="294"/>
      <c r="M23" s="294"/>
      <c r="N23" s="294"/>
      <c r="O23" s="294"/>
      <c r="P23" s="294"/>
      <c r="Q23" s="294"/>
      <c r="R23" s="294"/>
      <c r="S23" s="294"/>
      <c r="T23" s="294"/>
      <c r="U23" s="294"/>
      <c r="V23" s="294"/>
      <c r="W23" s="294"/>
      <c r="X23" s="294"/>
      <c r="Y23" s="294"/>
    </row>
    <row r="24" spans="1:25" ht="15" thickBot="1" x14ac:dyDescent="0.35">
      <c r="A24" s="3" t="s">
        <v>8</v>
      </c>
      <c r="B24" s="53">
        <f>SUM(B17:B23)</f>
        <v>0</v>
      </c>
      <c r="C24" s="54">
        <v>100</v>
      </c>
      <c r="D24" s="149">
        <f t="shared" si="3"/>
        <v>0</v>
      </c>
      <c r="E24" s="86">
        <f>P9</f>
        <v>1</v>
      </c>
      <c r="F24" s="276">
        <f>IF($E$24 &gt;1, 7, 0)</f>
        <v>0</v>
      </c>
      <c r="G24" s="294"/>
      <c r="H24" s="294"/>
      <c r="I24" s="294"/>
      <c r="J24" s="294"/>
      <c r="K24" s="294"/>
      <c r="L24" s="294"/>
      <c r="M24" s="294"/>
      <c r="N24" s="294"/>
      <c r="O24" s="294"/>
      <c r="P24" s="294"/>
      <c r="Q24" s="294"/>
      <c r="R24" s="294"/>
      <c r="S24" s="294"/>
      <c r="T24" s="294"/>
      <c r="U24" s="294"/>
      <c r="V24" s="294"/>
      <c r="W24" s="294"/>
      <c r="X24" s="294"/>
      <c r="Y24" s="294"/>
    </row>
    <row r="25" spans="1:25" ht="15" thickBot="1" x14ac:dyDescent="0.35">
      <c r="F25" s="88"/>
      <c r="G25" s="294"/>
      <c r="H25" s="294"/>
      <c r="I25" s="294"/>
      <c r="J25" s="294"/>
      <c r="K25" s="294"/>
      <c r="L25" s="294"/>
      <c r="M25" s="294"/>
      <c r="N25" s="294"/>
      <c r="O25" s="294"/>
      <c r="P25" s="294"/>
      <c r="Q25" s="294"/>
      <c r="R25" s="294"/>
      <c r="S25" s="294"/>
      <c r="T25" s="294"/>
      <c r="U25" s="294"/>
      <c r="V25" s="294"/>
      <c r="W25" s="294"/>
      <c r="X25" s="294"/>
      <c r="Y25" s="294"/>
    </row>
    <row r="26" spans="1:25" ht="15" thickBot="1" x14ac:dyDescent="0.35">
      <c r="A26" s="189" t="s">
        <v>43</v>
      </c>
      <c r="B26" s="190" t="s">
        <v>6</v>
      </c>
      <c r="C26" s="191" t="s">
        <v>7</v>
      </c>
      <c r="D26" s="192" t="s">
        <v>13</v>
      </c>
      <c r="F26" s="88"/>
      <c r="G26" s="294"/>
      <c r="H26" s="294"/>
      <c r="I26" s="294"/>
      <c r="J26" s="294"/>
      <c r="K26" s="294"/>
      <c r="L26" s="294"/>
      <c r="M26" s="294"/>
      <c r="N26" s="294"/>
      <c r="O26" s="294"/>
      <c r="P26" s="294"/>
      <c r="Q26" s="294"/>
      <c r="R26" s="294"/>
      <c r="S26" s="294"/>
      <c r="T26" s="294"/>
      <c r="U26" s="294"/>
      <c r="V26" s="294"/>
      <c r="W26" s="294"/>
      <c r="X26" s="294"/>
      <c r="Y26" s="294"/>
    </row>
    <row r="27" spans="1:25" x14ac:dyDescent="0.3">
      <c r="A27" s="186" t="s">
        <v>40</v>
      </c>
      <c r="B27" s="196"/>
      <c r="C27" s="197">
        <v>5</v>
      </c>
      <c r="D27" s="198">
        <f>B27/C27</f>
        <v>0</v>
      </c>
      <c r="E27" s="195"/>
      <c r="F27" s="88"/>
      <c r="G27" s="294"/>
      <c r="H27" s="294"/>
      <c r="I27" s="294"/>
      <c r="J27" s="294"/>
      <c r="K27" s="294"/>
      <c r="L27" s="294"/>
      <c r="M27" s="294"/>
      <c r="N27" s="294"/>
      <c r="O27" s="294"/>
      <c r="P27" s="294"/>
      <c r="Q27" s="294"/>
      <c r="R27" s="294"/>
      <c r="S27" s="294"/>
      <c r="T27" s="294"/>
      <c r="U27" s="294"/>
      <c r="V27" s="294"/>
      <c r="W27" s="294"/>
      <c r="X27" s="294"/>
      <c r="Y27" s="294"/>
    </row>
    <row r="28" spans="1:25" ht="15" thickBot="1" x14ac:dyDescent="0.35">
      <c r="A28" s="187" t="s">
        <v>4</v>
      </c>
      <c r="B28" s="199"/>
      <c r="C28" s="200">
        <v>50</v>
      </c>
      <c r="D28" s="201">
        <f t="shared" ref="D28:D30" si="4">B28/C28</f>
        <v>0</v>
      </c>
      <c r="E28" s="195"/>
      <c r="F28" s="88"/>
      <c r="G28" s="294"/>
      <c r="H28" s="294"/>
      <c r="I28" s="294"/>
      <c r="J28" s="294"/>
      <c r="K28" s="294"/>
      <c r="L28" s="294"/>
      <c r="M28" s="294"/>
      <c r="N28" s="294"/>
      <c r="O28" s="294"/>
      <c r="P28" s="294"/>
      <c r="Q28" s="294"/>
      <c r="R28" s="294"/>
      <c r="S28" s="294"/>
      <c r="T28" s="294"/>
      <c r="U28" s="294"/>
      <c r="V28" s="294"/>
      <c r="W28" s="294"/>
      <c r="X28" s="294"/>
      <c r="Y28" s="294"/>
    </row>
    <row r="29" spans="1:25" x14ac:dyDescent="0.3">
      <c r="A29" s="187" t="s">
        <v>5</v>
      </c>
      <c r="B29" s="296"/>
      <c r="C29" s="202">
        <v>50</v>
      </c>
      <c r="D29" s="203">
        <f t="shared" si="4"/>
        <v>0</v>
      </c>
      <c r="E29" s="193" t="s">
        <v>14</v>
      </c>
      <c r="F29" s="280" t="s">
        <v>50</v>
      </c>
      <c r="G29" s="294"/>
      <c r="H29" s="294"/>
      <c r="I29" s="294"/>
      <c r="J29" s="294"/>
      <c r="K29" s="294"/>
      <c r="L29" s="294"/>
      <c r="M29" s="294"/>
      <c r="N29" s="294"/>
      <c r="O29" s="294"/>
      <c r="P29" s="294"/>
      <c r="Q29" s="294"/>
      <c r="R29" s="294"/>
      <c r="S29" s="294"/>
      <c r="T29" s="294"/>
      <c r="U29" s="294"/>
      <c r="V29" s="294"/>
      <c r="W29" s="294"/>
      <c r="X29" s="294"/>
      <c r="Y29" s="294"/>
    </row>
    <row r="30" spans="1:25" ht="15" thickBot="1" x14ac:dyDescent="0.35">
      <c r="A30" s="188" t="s">
        <v>8</v>
      </c>
      <c r="B30" s="204">
        <f>SUM(B27:B29)</f>
        <v>0</v>
      </c>
      <c r="C30" s="205">
        <v>100</v>
      </c>
      <c r="D30" s="207">
        <f t="shared" si="4"/>
        <v>0</v>
      </c>
      <c r="E30" s="206">
        <f>Q9</f>
        <v>1</v>
      </c>
      <c r="F30" s="276">
        <f>IF($E$30 &gt;1, 7, 0)</f>
        <v>0</v>
      </c>
      <c r="G30" s="294"/>
      <c r="H30" s="294"/>
      <c r="I30" s="294"/>
      <c r="J30" s="294"/>
      <c r="K30" s="294"/>
      <c r="L30" s="294"/>
      <c r="M30" s="294"/>
      <c r="N30" s="294"/>
      <c r="O30" s="294"/>
      <c r="P30" s="294"/>
      <c r="Q30" s="294"/>
      <c r="R30" s="294"/>
      <c r="S30" s="294"/>
      <c r="T30" s="294"/>
      <c r="U30" s="294"/>
      <c r="V30" s="294"/>
      <c r="W30" s="294"/>
      <c r="X30" s="294"/>
      <c r="Y30" s="294"/>
    </row>
    <row r="31" spans="1:25" x14ac:dyDescent="0.3">
      <c r="F31" s="88"/>
      <c r="G31" s="294"/>
      <c r="H31" s="294"/>
      <c r="I31" s="294"/>
      <c r="J31" s="294"/>
      <c r="K31" s="294"/>
      <c r="L31" s="294"/>
      <c r="M31" s="294"/>
      <c r="N31" s="294"/>
      <c r="O31" s="294"/>
      <c r="P31" s="294"/>
      <c r="Q31" s="294"/>
      <c r="R31" s="294"/>
      <c r="S31" s="294"/>
      <c r="T31" s="294"/>
      <c r="U31" s="294"/>
      <c r="V31" s="294"/>
      <c r="W31" s="294"/>
      <c r="X31" s="294"/>
      <c r="Y31" s="294"/>
    </row>
    <row r="32" spans="1:25" ht="15" thickBot="1" x14ac:dyDescent="0.35">
      <c r="F32" s="88"/>
      <c r="I32" s="294"/>
      <c r="J32" s="294"/>
      <c r="K32" s="294"/>
      <c r="L32" s="294"/>
      <c r="M32" s="294"/>
      <c r="N32" s="294"/>
      <c r="O32" s="294"/>
      <c r="P32" s="294"/>
      <c r="Q32" s="294"/>
      <c r="R32" s="294"/>
      <c r="S32" s="294"/>
      <c r="T32" s="294"/>
      <c r="U32" s="294"/>
      <c r="V32" s="294"/>
      <c r="W32" s="294"/>
      <c r="X32" s="294"/>
      <c r="Y32" s="294"/>
    </row>
    <row r="33" spans="1:25" ht="15" thickBot="1" x14ac:dyDescent="0.35">
      <c r="A33" s="222" t="s">
        <v>41</v>
      </c>
      <c r="B33" s="223" t="s">
        <v>6</v>
      </c>
      <c r="C33" s="224" t="s">
        <v>7</v>
      </c>
      <c r="D33" s="225" t="s">
        <v>13</v>
      </c>
      <c r="F33" s="88"/>
      <c r="I33" s="294"/>
      <c r="J33" s="294"/>
      <c r="K33" s="294"/>
      <c r="L33" s="294"/>
      <c r="M33" s="294"/>
      <c r="N33" s="294"/>
      <c r="O33" s="294"/>
      <c r="P33" s="294"/>
      <c r="Q33" s="294"/>
      <c r="R33" s="294"/>
      <c r="S33" s="294"/>
      <c r="T33" s="294"/>
      <c r="U33" s="294"/>
      <c r="V33" s="294"/>
      <c r="W33" s="294"/>
      <c r="X33" s="294"/>
      <c r="Y33" s="294"/>
    </row>
    <row r="34" spans="1:25" x14ac:dyDescent="0.3">
      <c r="A34" s="226" t="s">
        <v>5</v>
      </c>
      <c r="B34" s="228"/>
      <c r="C34" s="229">
        <v>40</v>
      </c>
      <c r="D34" s="230">
        <f>B34/C34</f>
        <v>0</v>
      </c>
      <c r="E34" s="231" t="s">
        <v>14</v>
      </c>
      <c r="F34" s="280" t="s">
        <v>50</v>
      </c>
      <c r="I34" s="294"/>
      <c r="J34" s="294"/>
      <c r="K34" s="294"/>
      <c r="L34" s="294"/>
      <c r="M34" s="294"/>
      <c r="N34" s="294"/>
      <c r="O34" s="294"/>
      <c r="P34" s="294"/>
      <c r="Q34" s="294"/>
      <c r="R34" s="294"/>
      <c r="S34" s="294"/>
      <c r="T34" s="294"/>
      <c r="U34" s="294"/>
      <c r="V34" s="294"/>
      <c r="W34" s="294"/>
      <c r="X34" s="294"/>
      <c r="Y34" s="294"/>
    </row>
    <row r="35" spans="1:25" ht="15" thickBot="1" x14ac:dyDescent="0.35">
      <c r="A35" s="227" t="s">
        <v>8</v>
      </c>
      <c r="B35" s="232">
        <f>B34</f>
        <v>0</v>
      </c>
      <c r="C35" s="233">
        <v>50</v>
      </c>
      <c r="D35" s="234">
        <f>B35/C35</f>
        <v>0</v>
      </c>
      <c r="E35" s="235">
        <f>R9</f>
        <v>1</v>
      </c>
      <c r="F35" s="276">
        <f>IF($E$35 &gt;1, 2, 0)</f>
        <v>0</v>
      </c>
      <c r="I35" s="294"/>
      <c r="J35" s="294"/>
      <c r="K35" s="294"/>
      <c r="L35" s="294"/>
      <c r="M35" s="294"/>
      <c r="N35" s="294"/>
      <c r="O35" s="294"/>
      <c r="P35" s="294"/>
      <c r="Q35" s="294"/>
      <c r="R35" s="294"/>
      <c r="S35" s="294"/>
      <c r="T35" s="294"/>
      <c r="U35" s="294"/>
      <c r="V35" s="294"/>
      <c r="W35" s="294"/>
      <c r="X35" s="294"/>
      <c r="Y35" s="294"/>
    </row>
    <row r="36" spans="1:25" x14ac:dyDescent="0.3">
      <c r="I36" s="294"/>
      <c r="J36" s="294"/>
      <c r="K36" s="294"/>
      <c r="L36" s="294"/>
      <c r="M36" s="294"/>
      <c r="N36" s="294"/>
      <c r="O36" s="294"/>
      <c r="P36" s="294"/>
      <c r="Q36" s="294"/>
      <c r="R36" s="294"/>
      <c r="S36" s="294"/>
      <c r="T36" s="294"/>
      <c r="U36" s="294"/>
      <c r="V36" s="294"/>
      <c r="W36" s="294"/>
      <c r="X36" s="294"/>
      <c r="Y36" s="294"/>
    </row>
    <row r="37" spans="1:25" x14ac:dyDescent="0.3">
      <c r="I37" s="294"/>
      <c r="J37" s="294"/>
      <c r="K37" s="294"/>
      <c r="L37" s="294"/>
      <c r="M37" s="294"/>
      <c r="N37" s="294"/>
      <c r="O37" s="294"/>
      <c r="P37" s="294"/>
      <c r="Q37" s="294"/>
      <c r="R37" s="294"/>
      <c r="S37" s="294"/>
      <c r="T37" s="294"/>
      <c r="U37" s="294"/>
      <c r="V37" s="294"/>
      <c r="W37" s="294"/>
      <c r="X37" s="294"/>
      <c r="Y37" s="294"/>
    </row>
    <row r="38" spans="1:25" x14ac:dyDescent="0.3">
      <c r="I38" s="294"/>
      <c r="J38" s="294"/>
      <c r="K38" s="294"/>
      <c r="L38" s="294"/>
      <c r="M38" s="294"/>
      <c r="N38" s="294"/>
      <c r="O38" s="294"/>
      <c r="P38" s="294"/>
      <c r="Q38" s="294"/>
      <c r="R38" s="294"/>
      <c r="S38" s="294"/>
      <c r="T38" s="294"/>
      <c r="U38" s="294"/>
      <c r="V38" s="294"/>
      <c r="W38" s="294"/>
      <c r="X38" s="294"/>
      <c r="Y38" s="294"/>
    </row>
    <row r="39" spans="1:25" x14ac:dyDescent="0.3">
      <c r="I39" s="294"/>
      <c r="J39" s="294"/>
      <c r="K39" s="294"/>
      <c r="L39" s="294"/>
      <c r="M39" s="294"/>
      <c r="N39" s="294"/>
      <c r="O39" s="294"/>
      <c r="P39" s="294"/>
      <c r="Q39" s="294"/>
      <c r="R39" s="294"/>
      <c r="S39" s="294"/>
      <c r="T39" s="294"/>
      <c r="U39" s="294"/>
    </row>
  </sheetData>
  <mergeCells count="2">
    <mergeCell ref="E21:E22"/>
    <mergeCell ref="G21:G22"/>
  </mergeCells>
  <conditionalFormatting sqref="D2">
    <cfRule type="iconSet" priority="3">
      <iconSet iconSet="3Symbols2">
        <cfvo type="percent" val="0"/>
        <cfvo type="num" val="0.5"/>
        <cfvo type="num" val="0.5"/>
      </iconSet>
    </cfRule>
  </conditionalFormatting>
  <conditionalFormatting sqref="D2:D35">
    <cfRule type="dataBar" priority="15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{EEF1AEBF-34A8-439D-BF23-CA91530FCC6D}</x14:id>
        </ext>
      </extLst>
    </cfRule>
  </conditionalFormatting>
  <conditionalFormatting sqref="D6">
    <cfRule type="iconSet" priority="6">
      <iconSet iconSet="3Symbols2">
        <cfvo type="percent" val="0"/>
        <cfvo type="num" val="0.33"/>
        <cfvo type="num" val="0.33"/>
      </iconSet>
    </cfRule>
  </conditionalFormatting>
  <conditionalFormatting sqref="D7">
    <cfRule type="iconSet" priority="5">
      <iconSet iconSet="3Symbols2">
        <cfvo type="percent" val="0"/>
        <cfvo type="num" val="0.5"/>
        <cfvo type="num" val="0.5"/>
      </iconSet>
    </cfRule>
  </conditionalFormatting>
  <conditionalFormatting sqref="D12:D13">
    <cfRule type="iconSet" priority="17">
      <iconSet iconSet="3Symbols2">
        <cfvo type="percent" val="0"/>
        <cfvo type="num" val="0.25"/>
        <cfvo type="num" val="0.25"/>
      </iconSet>
    </cfRule>
  </conditionalFormatting>
  <conditionalFormatting sqref="D14">
    <cfRule type="iconSet" priority="1">
      <iconSet iconSet="3Symbols2">
        <cfvo type="percent" val="0"/>
        <cfvo type="num" val="0.5"/>
        <cfvo type="num" val="0.5"/>
      </iconSet>
    </cfRule>
  </conditionalFormatting>
  <conditionalFormatting sqref="D23">
    <cfRule type="iconSet" priority="11">
      <iconSet iconSet="3Symbols2">
        <cfvo type="percent" val="0"/>
        <cfvo type="num" val="0.33"/>
        <cfvo type="num" val="0.33"/>
      </iconSet>
    </cfRule>
  </conditionalFormatting>
  <conditionalFormatting sqref="D24">
    <cfRule type="iconSet" priority="14">
      <iconSet iconSet="3Symbols2">
        <cfvo type="percent" val="0"/>
        <cfvo type="num" val="0.5"/>
        <cfvo type="num" val="0.5"/>
      </iconSet>
    </cfRule>
  </conditionalFormatting>
  <conditionalFormatting sqref="D30">
    <cfRule type="iconSet" priority="10">
      <iconSet iconSet="3Symbols2">
        <cfvo type="percent" val="0"/>
        <cfvo type="num" val="0.5"/>
        <cfvo type="num" val="0.5"/>
      </iconSet>
    </cfRule>
  </conditionalFormatting>
  <conditionalFormatting sqref="D35">
    <cfRule type="iconSet" priority="13">
      <iconSet iconSet="3Symbols2">
        <cfvo type="percent" val="0"/>
        <cfvo type="num" val="0.5"/>
        <cfvo type="num" val="0.5"/>
      </iconSet>
    </cfRule>
  </conditionalFormatting>
  <conditionalFormatting sqref="E21:E22">
    <cfRule type="iconSet" priority="2">
      <iconSet iconSet="3Symbols2">
        <cfvo type="percent" val="0"/>
        <cfvo type="num" val="0.34599999999999997"/>
        <cfvo type="num" val="0.34599999999999997"/>
      </iconSe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F1AEBF-34A8-439D-BF23-CA91530FCC6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B0F0"/>
              <x14:negativeFillColor rgb="FFFF0000"/>
              <x14:negativeBorderColor rgb="FFFF0000"/>
              <x14:axisColor rgb="FF000000"/>
            </x14:dataBar>
          </x14:cfRule>
          <xm:sqref>D2:D35</xm:sqref>
        </x14:conditionalFormatting>
        <x14:conditionalFormatting xmlns:xm="http://schemas.microsoft.com/office/excel/2006/main">
          <x14:cfRule type="iconSet" priority="16" id="{0AD91399-3209-483E-B706-8D9A04F2B296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E35 E7 E14 E24 E30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F6038-55AB-4B0D-A728-14CD33811049}">
  <sheetPr>
    <tabColor theme="0" tint="-4.9989318521683403E-2"/>
  </sheetPr>
  <dimension ref="A1:W35"/>
  <sheetViews>
    <sheetView topLeftCell="A10" zoomScale="120" zoomScaleNormal="120" workbookViewId="0">
      <selection activeCell="B21" sqref="B21"/>
    </sheetView>
  </sheetViews>
  <sheetFormatPr defaultColWidth="8.88671875" defaultRowHeight="14.4" x14ac:dyDescent="0.3"/>
  <cols>
    <col min="1" max="1" width="10.109375" style="43" customWidth="1"/>
    <col min="2" max="2" width="10.77734375" style="43" customWidth="1"/>
    <col min="3" max="3" width="9.109375" style="43" customWidth="1"/>
    <col min="4" max="4" width="13.88671875" style="43" customWidth="1"/>
    <col min="5" max="16384" width="8.88671875" style="43"/>
  </cols>
  <sheetData>
    <row r="1" spans="1:23" ht="15" thickBot="1" x14ac:dyDescent="0.35">
      <c r="A1" s="172" t="s">
        <v>32</v>
      </c>
      <c r="B1" s="173" t="s">
        <v>6</v>
      </c>
      <c r="C1" s="174" t="s">
        <v>7</v>
      </c>
      <c r="D1" s="175" t="s">
        <v>13</v>
      </c>
      <c r="F1" s="279" t="s">
        <v>55</v>
      </c>
      <c r="H1" s="195"/>
      <c r="I1" s="195"/>
      <c r="J1" s="254"/>
      <c r="K1" s="254"/>
      <c r="L1" s="254"/>
      <c r="M1" s="254"/>
      <c r="N1" s="254"/>
      <c r="O1" s="254"/>
      <c r="P1" s="254"/>
      <c r="Q1" s="254"/>
      <c r="R1" s="195"/>
      <c r="S1" s="195"/>
      <c r="T1" s="195"/>
      <c r="U1" s="195"/>
      <c r="V1" s="195"/>
      <c r="W1" s="195"/>
    </row>
    <row r="2" spans="1:23" ht="15" thickBot="1" x14ac:dyDescent="0.35">
      <c r="A2" s="161" t="s">
        <v>1</v>
      </c>
      <c r="B2" s="152">
        <f>'SEM2'!B2</f>
        <v>0</v>
      </c>
      <c r="C2" s="153">
        <v>10</v>
      </c>
      <c r="D2" s="154">
        <f>B2/C2</f>
        <v>0</v>
      </c>
      <c r="F2" s="277">
        <f>SUM(F6:F23)</f>
        <v>0</v>
      </c>
      <c r="H2" s="195"/>
      <c r="I2" s="195"/>
      <c r="J2" s="254"/>
      <c r="K2" s="254"/>
      <c r="L2" s="138" t="s">
        <v>15</v>
      </c>
      <c r="M2" s="138" t="s">
        <v>44</v>
      </c>
      <c r="N2" s="138" t="s">
        <v>36</v>
      </c>
      <c r="O2" s="138" t="s">
        <v>37</v>
      </c>
      <c r="P2" s="138" t="s">
        <v>45</v>
      </c>
      <c r="Q2" s="138" t="s">
        <v>41</v>
      </c>
      <c r="R2" s="195"/>
      <c r="S2" s="195"/>
      <c r="T2" s="195"/>
      <c r="U2" s="195"/>
      <c r="V2" s="195"/>
      <c r="W2" s="195"/>
    </row>
    <row r="3" spans="1:23" x14ac:dyDescent="0.3">
      <c r="A3" s="161" t="s">
        <v>39</v>
      </c>
      <c r="B3" s="164">
        <f>'SEM2'!B3</f>
        <v>0</v>
      </c>
      <c r="C3" s="165">
        <v>10</v>
      </c>
      <c r="D3" s="257">
        <f>B3/C3</f>
        <v>0</v>
      </c>
      <c r="F3" s="195"/>
      <c r="H3" s="195"/>
      <c r="I3" s="195"/>
      <c r="J3" s="294"/>
      <c r="K3" s="294"/>
      <c r="L3" s="138">
        <v>1</v>
      </c>
      <c r="M3" s="138">
        <v>1</v>
      </c>
      <c r="N3" s="138">
        <v>1</v>
      </c>
      <c r="O3" s="138">
        <v>1</v>
      </c>
      <c r="P3" s="138">
        <v>1</v>
      </c>
      <c r="Q3" s="138">
        <v>1</v>
      </c>
      <c r="R3" s="294"/>
      <c r="S3" s="195"/>
      <c r="T3" s="195"/>
      <c r="U3" s="195"/>
      <c r="V3" s="195"/>
      <c r="W3" s="195"/>
    </row>
    <row r="4" spans="1:23" ht="15" thickBot="1" x14ac:dyDescent="0.35">
      <c r="A4" s="161" t="s">
        <v>48</v>
      </c>
      <c r="B4" s="155"/>
      <c r="C4" s="156">
        <v>56</v>
      </c>
      <c r="D4" s="256">
        <f>B4/C4</f>
        <v>0</v>
      </c>
      <c r="F4" s="195"/>
      <c r="H4" s="195"/>
      <c r="I4" s="195"/>
      <c r="J4" s="294"/>
      <c r="K4" s="294"/>
      <c r="L4" s="138">
        <v>2</v>
      </c>
      <c r="M4" s="138">
        <f>IF($B$6 &gt;= 50, 1, 0)</f>
        <v>0</v>
      </c>
      <c r="N4" s="138">
        <f>IF($B$9 &gt;= 50, 1, 0)</f>
        <v>0</v>
      </c>
      <c r="O4" s="138">
        <f>IF($B$18 &gt;= 50, 1, 0)</f>
        <v>0</v>
      </c>
      <c r="P4" s="138">
        <f>IF($B$21 &gt;= 50, 1,)</f>
        <v>0</v>
      </c>
      <c r="Q4" s="138">
        <f>IF($B$24 &gt;= 25.5, 1,)</f>
        <v>0</v>
      </c>
      <c r="R4" s="294"/>
      <c r="S4" s="195"/>
      <c r="T4" s="195"/>
      <c r="U4" s="195"/>
      <c r="V4" s="195"/>
      <c r="W4" s="195"/>
    </row>
    <row r="5" spans="1:23" x14ac:dyDescent="0.3">
      <c r="A5" s="162" t="s">
        <v>49</v>
      </c>
      <c r="B5" s="255"/>
      <c r="C5" s="165">
        <v>24</v>
      </c>
      <c r="D5" s="210">
        <f t="shared" ref="D5" si="0">B5/C5</f>
        <v>0</v>
      </c>
      <c r="E5" s="209" t="s">
        <v>23</v>
      </c>
      <c r="F5" s="280" t="s">
        <v>50</v>
      </c>
      <c r="H5" s="195"/>
      <c r="I5" s="195"/>
      <c r="J5" s="294"/>
      <c r="K5" s="294"/>
      <c r="L5" s="138">
        <v>3</v>
      </c>
      <c r="M5" s="138">
        <f>IF($B$6 &gt;= 60, 1, 0)</f>
        <v>0</v>
      </c>
      <c r="N5" s="138">
        <f>IF($B$9 &gt;= 65, 1, 0)</f>
        <v>0</v>
      </c>
      <c r="O5" s="138">
        <f>IF($B$18 &gt;= 62, 1, )</f>
        <v>0</v>
      </c>
      <c r="P5" s="138">
        <f>IF($B$21 &gt;= 58, 1, )</f>
        <v>0</v>
      </c>
      <c r="Q5" s="138">
        <f>IF($B$24 &gt;= 30.5, 1,)</f>
        <v>0</v>
      </c>
      <c r="R5" s="294"/>
      <c r="S5" s="195"/>
      <c r="T5" s="195"/>
      <c r="U5" s="195"/>
      <c r="V5" s="195"/>
      <c r="W5" s="195"/>
    </row>
    <row r="6" spans="1:23" ht="15" thickBot="1" x14ac:dyDescent="0.35">
      <c r="A6" s="163" t="s">
        <v>21</v>
      </c>
      <c r="B6" s="159">
        <f>SUM(B2:B5)</f>
        <v>0</v>
      </c>
      <c r="C6" s="160">
        <v>100</v>
      </c>
      <c r="D6" s="211">
        <f>B6/C6</f>
        <v>0</v>
      </c>
      <c r="E6" s="170">
        <f>M8</f>
        <v>1</v>
      </c>
      <c r="F6" s="276">
        <f>IF($E$6 &gt;1, 6, 0)</f>
        <v>0</v>
      </c>
      <c r="H6" s="195"/>
      <c r="I6" s="195"/>
      <c r="J6" s="294"/>
      <c r="K6" s="294"/>
      <c r="L6" s="138">
        <v>4</v>
      </c>
      <c r="M6" s="138">
        <f>IF($B$6 &gt;= 70, 1, 0)</f>
        <v>0</v>
      </c>
      <c r="N6" s="138">
        <f>IF($B$9 &gt;= 80, 1, 0)</f>
        <v>0</v>
      </c>
      <c r="O6" s="138">
        <f>IF($B$18 &gt;= 74, 1, 0)</f>
        <v>0</v>
      </c>
      <c r="P6" s="138">
        <f>IF($B$21 &gt;= 72, 1, )</f>
        <v>0</v>
      </c>
      <c r="Q6" s="138">
        <f>IF($B$24 &gt;= 38.5, 1,)</f>
        <v>0</v>
      </c>
      <c r="R6" s="294"/>
      <c r="S6" s="195"/>
      <c r="T6" s="195"/>
      <c r="U6" s="195"/>
      <c r="V6" s="195"/>
      <c r="W6" s="195"/>
    </row>
    <row r="7" spans="1:23" ht="15" thickBot="1" x14ac:dyDescent="0.35">
      <c r="A7" s="90"/>
      <c r="B7" s="90"/>
      <c r="C7" s="90"/>
      <c r="D7" s="90"/>
      <c r="H7" s="195"/>
      <c r="I7" s="195"/>
      <c r="J7" s="294"/>
      <c r="K7" s="294"/>
      <c r="L7" s="138">
        <v>5</v>
      </c>
      <c r="M7" s="138">
        <f>IF($B$6 &gt;= 85, 1, 0)</f>
        <v>0</v>
      </c>
      <c r="N7" s="138">
        <f>IF($B$9 &gt;= 90, 1, 0)</f>
        <v>0</v>
      </c>
      <c r="O7" s="138">
        <f>IF($B$18 &gt;= 86, 1, 0)</f>
        <v>0</v>
      </c>
      <c r="P7" s="138">
        <f>IF($B$21 &gt;= 86, 1, 0)</f>
        <v>0</v>
      </c>
      <c r="Q7" s="138">
        <f>IF($B$24 &gt;= 45.5, 1,)</f>
        <v>0</v>
      </c>
      <c r="R7" s="294"/>
      <c r="S7" s="195"/>
      <c r="T7" s="195"/>
      <c r="U7" s="195"/>
      <c r="V7" s="195"/>
      <c r="W7" s="195"/>
    </row>
    <row r="8" spans="1:23" ht="15" thickBot="1" x14ac:dyDescent="0.35">
      <c r="A8" s="39" t="s">
        <v>36</v>
      </c>
      <c r="B8" s="40" t="s">
        <v>6</v>
      </c>
      <c r="C8" s="41" t="s">
        <v>7</v>
      </c>
      <c r="D8" s="42" t="s">
        <v>13</v>
      </c>
      <c r="E8" s="107" t="s">
        <v>23</v>
      </c>
      <c r="F8" s="280" t="s">
        <v>50</v>
      </c>
      <c r="H8" s="195"/>
      <c r="I8" s="195"/>
      <c r="J8" s="294"/>
      <c r="K8" s="294"/>
      <c r="L8" s="138" t="s">
        <v>17</v>
      </c>
      <c r="M8" s="138">
        <f>SUM(M3:M7)</f>
        <v>1</v>
      </c>
      <c r="N8" s="138">
        <f t="shared" ref="N8:P8" si="1">SUM(N3:N7)</f>
        <v>1</v>
      </c>
      <c r="O8" s="138">
        <f t="shared" si="1"/>
        <v>1</v>
      </c>
      <c r="P8" s="138">
        <f t="shared" si="1"/>
        <v>1</v>
      </c>
      <c r="Q8" s="138">
        <f>SUM(Q3:Q7)</f>
        <v>1</v>
      </c>
      <c r="R8" s="294"/>
      <c r="S8" s="195"/>
      <c r="T8" s="195"/>
      <c r="U8" s="195"/>
      <c r="V8" s="195"/>
      <c r="W8" s="195"/>
    </row>
    <row r="9" spans="1:23" ht="15" thickBot="1" x14ac:dyDescent="0.35">
      <c r="A9" s="38" t="s">
        <v>18</v>
      </c>
      <c r="B9" s="258"/>
      <c r="C9" s="259">
        <v>100</v>
      </c>
      <c r="D9" s="261">
        <f>B9/C9</f>
        <v>0</v>
      </c>
      <c r="E9" s="260">
        <f>N8</f>
        <v>1</v>
      </c>
      <c r="F9" s="276">
        <f>IF($E$9 &gt;1, 8, 0)</f>
        <v>0</v>
      </c>
      <c r="H9" s="195"/>
      <c r="I9" s="195"/>
      <c r="J9" s="294"/>
      <c r="K9" s="294"/>
      <c r="L9" s="254"/>
      <c r="M9" s="254"/>
      <c r="N9" s="254"/>
      <c r="O9" s="254"/>
      <c r="P9" s="254"/>
      <c r="Q9" s="254"/>
      <c r="R9" s="294"/>
      <c r="S9" s="195"/>
      <c r="T9" s="195"/>
      <c r="U9" s="195"/>
      <c r="V9" s="195"/>
      <c r="W9" s="195"/>
    </row>
    <row r="10" spans="1:23" ht="15" thickBot="1" x14ac:dyDescent="0.35">
      <c r="A10" s="90"/>
      <c r="B10" s="90"/>
      <c r="C10" s="90"/>
      <c r="D10" s="90"/>
      <c r="F10" s="88"/>
      <c r="H10" s="195"/>
      <c r="I10" s="195"/>
      <c r="J10" s="294"/>
      <c r="K10" s="294"/>
      <c r="L10" s="294"/>
      <c r="M10" s="294"/>
      <c r="N10" s="294"/>
      <c r="O10" s="294"/>
      <c r="P10" s="294"/>
      <c r="Q10" s="294"/>
      <c r="R10" s="294"/>
      <c r="S10" s="195"/>
      <c r="T10" s="195"/>
      <c r="U10" s="195"/>
      <c r="V10" s="195"/>
      <c r="W10" s="195"/>
    </row>
    <row r="11" spans="1:23" ht="15" thickBot="1" x14ac:dyDescent="0.35">
      <c r="A11" s="4" t="s">
        <v>37</v>
      </c>
      <c r="B11" s="5" t="s">
        <v>6</v>
      </c>
      <c r="C11" s="6" t="s">
        <v>20</v>
      </c>
      <c r="D11" s="7" t="s">
        <v>13</v>
      </c>
      <c r="F11" s="88"/>
      <c r="H11" s="195"/>
      <c r="I11" s="195"/>
      <c r="J11" s="294"/>
      <c r="K11" s="294"/>
      <c r="L11" s="294"/>
      <c r="M11" s="294"/>
      <c r="N11" s="294"/>
      <c r="O11" s="294"/>
      <c r="P11" s="294"/>
      <c r="Q11" s="294"/>
      <c r="R11" s="294"/>
      <c r="S11" s="195"/>
      <c r="T11" s="195"/>
      <c r="U11" s="195"/>
      <c r="V11" s="195"/>
      <c r="W11" s="195"/>
    </row>
    <row r="12" spans="1:23" ht="15" thickBot="1" x14ac:dyDescent="0.35">
      <c r="A12" s="265" t="s">
        <v>1</v>
      </c>
      <c r="B12" s="246">
        <f>'SEM2'!B17</f>
        <v>0</v>
      </c>
      <c r="C12" s="244">
        <v>6</v>
      </c>
      <c r="D12" s="266">
        <f>B12/C12</f>
        <v>0</v>
      </c>
      <c r="F12" s="88"/>
      <c r="H12" s="195"/>
      <c r="I12" s="195"/>
      <c r="J12" s="294"/>
      <c r="K12" s="294"/>
      <c r="L12" s="299"/>
      <c r="M12" s="299"/>
      <c r="N12" s="299"/>
      <c r="O12" s="299"/>
      <c r="P12" s="299"/>
      <c r="Q12" s="301"/>
      <c r="R12" s="294"/>
      <c r="S12" s="195"/>
      <c r="T12" s="195"/>
      <c r="U12" s="195"/>
      <c r="V12" s="195"/>
      <c r="W12" s="195"/>
    </row>
    <row r="13" spans="1:23" ht="15" thickBot="1" x14ac:dyDescent="0.35">
      <c r="A13" s="265" t="s">
        <v>39</v>
      </c>
      <c r="B13" s="272">
        <f>'SEM2'!B18</f>
        <v>0</v>
      </c>
      <c r="C13" s="269">
        <v>5</v>
      </c>
      <c r="D13" s="270">
        <f>B13/C13</f>
        <v>0</v>
      </c>
      <c r="H13" s="195"/>
      <c r="I13" s="195"/>
      <c r="J13" s="294"/>
      <c r="K13" s="294"/>
      <c r="L13" s="299"/>
      <c r="M13" s="299"/>
      <c r="N13" s="299"/>
      <c r="O13" s="299"/>
      <c r="P13" s="299"/>
      <c r="Q13" s="301"/>
      <c r="R13" s="294"/>
      <c r="S13" s="195"/>
      <c r="T13" s="195"/>
      <c r="U13" s="195"/>
      <c r="V13" s="195"/>
      <c r="W13" s="195"/>
    </row>
    <row r="14" spans="1:23" ht="15" thickBot="1" x14ac:dyDescent="0.35">
      <c r="A14" s="265" t="s">
        <v>3</v>
      </c>
      <c r="B14" s="262">
        <f>'SEM2'!B19</f>
        <v>0</v>
      </c>
      <c r="C14" s="268">
        <v>9</v>
      </c>
      <c r="D14" s="267">
        <f>B14/C14</f>
        <v>0</v>
      </c>
      <c r="H14" s="195"/>
      <c r="I14" s="195"/>
      <c r="J14" s="294"/>
      <c r="K14" s="294"/>
      <c r="L14" s="299"/>
      <c r="M14" s="299"/>
      <c r="N14" s="299"/>
      <c r="O14" s="299"/>
      <c r="P14" s="299"/>
      <c r="Q14" s="301"/>
      <c r="R14" s="294"/>
      <c r="S14" s="195"/>
      <c r="T14" s="195"/>
      <c r="U14" s="195"/>
      <c r="V14" s="195"/>
      <c r="W14" s="195"/>
    </row>
    <row r="15" spans="1:23" ht="15" thickBot="1" x14ac:dyDescent="0.35">
      <c r="A15" s="265" t="s">
        <v>40</v>
      </c>
      <c r="B15" s="272">
        <f>'SEM2'!B20</f>
        <v>0</v>
      </c>
      <c r="C15" s="269">
        <v>4</v>
      </c>
      <c r="D15" s="271">
        <f>B15/C15</f>
        <v>0</v>
      </c>
      <c r="F15" s="88"/>
      <c r="H15" s="195"/>
      <c r="I15" s="195"/>
      <c r="J15" s="294"/>
      <c r="K15" s="294"/>
      <c r="L15" s="299"/>
      <c r="M15" s="299"/>
      <c r="N15" s="299"/>
      <c r="O15" s="299"/>
      <c r="P15" s="299"/>
      <c r="Q15" s="301"/>
      <c r="R15" s="294"/>
      <c r="S15" s="195"/>
      <c r="T15" s="195"/>
      <c r="U15" s="195"/>
      <c r="V15" s="195"/>
      <c r="W15" s="195"/>
    </row>
    <row r="16" spans="1:23" ht="15" thickBot="1" x14ac:dyDescent="0.35">
      <c r="A16" s="240" t="s">
        <v>48</v>
      </c>
      <c r="B16" s="262"/>
      <c r="C16" s="263">
        <v>52</v>
      </c>
      <c r="D16" s="264">
        <f t="shared" ref="D16" si="2">B16/C16</f>
        <v>0</v>
      </c>
      <c r="F16" s="88"/>
      <c r="H16" s="195"/>
      <c r="I16" s="195"/>
      <c r="J16" s="294"/>
      <c r="K16" s="294"/>
      <c r="L16" s="299"/>
      <c r="M16" s="299"/>
      <c r="N16" s="299"/>
      <c r="O16" s="299"/>
      <c r="P16" s="299"/>
      <c r="Q16" s="301"/>
      <c r="R16" s="294"/>
      <c r="S16" s="195"/>
      <c r="T16" s="195"/>
      <c r="U16" s="195"/>
      <c r="V16" s="195"/>
      <c r="W16" s="195"/>
    </row>
    <row r="17" spans="1:23" ht="15" thickBot="1" x14ac:dyDescent="0.35">
      <c r="A17" s="95" t="s">
        <v>49</v>
      </c>
      <c r="B17" s="592"/>
      <c r="C17" s="51">
        <v>24</v>
      </c>
      <c r="D17" s="243">
        <f t="shared" ref="D17" si="3">B17/C17</f>
        <v>0</v>
      </c>
      <c r="E17" s="82" t="s">
        <v>23</v>
      </c>
      <c r="F17" s="280" t="s">
        <v>50</v>
      </c>
      <c r="H17" s="195"/>
      <c r="I17" s="195"/>
      <c r="J17" s="195"/>
      <c r="K17" s="195"/>
      <c r="L17" s="275"/>
      <c r="M17" s="275"/>
      <c r="N17" s="275"/>
      <c r="O17" s="275"/>
      <c r="P17" s="275"/>
      <c r="Q17" s="208"/>
      <c r="R17" s="195"/>
      <c r="S17" s="195"/>
      <c r="T17" s="195"/>
      <c r="U17" s="195"/>
      <c r="V17" s="195"/>
      <c r="W17" s="195"/>
    </row>
    <row r="18" spans="1:23" ht="15" thickBot="1" x14ac:dyDescent="0.35">
      <c r="A18" s="241" t="s">
        <v>21</v>
      </c>
      <c r="B18" s="247">
        <f>SUM(B12:B17)</f>
        <v>0</v>
      </c>
      <c r="C18" s="245">
        <v>100</v>
      </c>
      <c r="D18" s="242">
        <f>B18/C18</f>
        <v>0</v>
      </c>
      <c r="E18" s="109">
        <f>O8</f>
        <v>1</v>
      </c>
      <c r="F18" s="276">
        <f>IF($E$18 &gt;1, 7, 0)</f>
        <v>0</v>
      </c>
      <c r="H18" s="195"/>
      <c r="I18" s="195"/>
      <c r="J18" s="195"/>
      <c r="K18" s="195"/>
      <c r="L18" s="275"/>
      <c r="M18" s="275"/>
      <c r="N18" s="275"/>
      <c r="O18" s="275"/>
      <c r="P18" s="275"/>
      <c r="Q18" s="208"/>
      <c r="R18" s="195"/>
      <c r="S18" s="195"/>
      <c r="T18" s="195"/>
      <c r="U18" s="195"/>
      <c r="V18" s="195"/>
      <c r="W18" s="195"/>
    </row>
    <row r="19" spans="1:23" ht="15" thickBot="1" x14ac:dyDescent="0.35">
      <c r="A19" s="90"/>
      <c r="B19" s="90"/>
      <c r="C19" s="90"/>
      <c r="D19" s="90"/>
      <c r="F19" s="88"/>
      <c r="H19" s="195"/>
      <c r="I19" s="195"/>
      <c r="J19" s="195"/>
      <c r="K19" s="195"/>
      <c r="L19" s="195"/>
      <c r="M19" s="195"/>
      <c r="N19" s="195"/>
      <c r="O19" s="195"/>
      <c r="P19" s="195"/>
      <c r="Q19" s="195"/>
      <c r="R19" s="195"/>
      <c r="S19" s="195"/>
      <c r="T19" s="195"/>
      <c r="U19" s="195"/>
      <c r="V19" s="195"/>
      <c r="W19" s="195"/>
    </row>
    <row r="20" spans="1:23" ht="15" thickBot="1" x14ac:dyDescent="0.35">
      <c r="A20" s="212" t="s">
        <v>46</v>
      </c>
      <c r="B20" s="213" t="s">
        <v>6</v>
      </c>
      <c r="C20" s="214" t="s">
        <v>7</v>
      </c>
      <c r="D20" s="215" t="s">
        <v>13</v>
      </c>
      <c r="E20" s="216" t="s">
        <v>23</v>
      </c>
      <c r="F20" s="280" t="s">
        <v>50</v>
      </c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5"/>
      <c r="V20" s="195"/>
      <c r="W20" s="195"/>
    </row>
    <row r="21" spans="1:23" ht="15" thickBot="1" x14ac:dyDescent="0.35">
      <c r="A21" s="217" t="s">
        <v>18</v>
      </c>
      <c r="B21" s="218"/>
      <c r="C21" s="219">
        <v>100</v>
      </c>
      <c r="D21" s="220">
        <f>B21/C21</f>
        <v>0</v>
      </c>
      <c r="E21" s="221">
        <f>P8</f>
        <v>1</v>
      </c>
      <c r="F21" s="276">
        <f>IF($E$21 &gt;1, 6, 0)</f>
        <v>0</v>
      </c>
      <c r="H21" s="195"/>
      <c r="I21" s="195"/>
      <c r="J21" s="195"/>
      <c r="K21" s="195"/>
      <c r="L21" s="195"/>
      <c r="M21" s="195"/>
      <c r="N21" s="195"/>
      <c r="O21" s="195"/>
      <c r="P21" s="195"/>
      <c r="Q21" s="195"/>
      <c r="R21" s="195"/>
      <c r="S21" s="195"/>
      <c r="T21" s="195"/>
      <c r="U21" s="195"/>
      <c r="V21" s="195"/>
      <c r="W21" s="195"/>
    </row>
    <row r="22" spans="1:23" ht="15" thickBot="1" x14ac:dyDescent="0.35">
      <c r="F22" s="88"/>
      <c r="H22" s="195"/>
      <c r="I22" s="195"/>
      <c r="J22" s="195"/>
      <c r="K22" s="195"/>
      <c r="L22" s="195"/>
      <c r="M22" s="195"/>
      <c r="N22" s="195"/>
      <c r="O22" s="195"/>
      <c r="P22" s="195"/>
      <c r="Q22" s="195"/>
      <c r="R22" s="195"/>
      <c r="S22" s="195"/>
      <c r="T22" s="195"/>
      <c r="U22" s="195"/>
      <c r="V22" s="195"/>
      <c r="W22" s="195"/>
    </row>
    <row r="23" spans="1:23" ht="15" thickBot="1" x14ac:dyDescent="0.35">
      <c r="A23" s="222" t="s">
        <v>47</v>
      </c>
      <c r="B23" s="249" t="s">
        <v>6</v>
      </c>
      <c r="C23" s="250" t="s">
        <v>7</v>
      </c>
      <c r="D23" s="248" t="s">
        <v>13</v>
      </c>
      <c r="E23" s="222" t="s">
        <v>23</v>
      </c>
      <c r="F23" s="280" t="s">
        <v>50</v>
      </c>
      <c r="H23" s="195"/>
      <c r="I23" s="195"/>
      <c r="J23" s="195"/>
      <c r="K23" s="195"/>
      <c r="L23" s="195"/>
      <c r="M23" s="195"/>
      <c r="N23" s="195"/>
      <c r="O23" s="195"/>
      <c r="P23" s="195"/>
      <c r="Q23" s="195"/>
      <c r="R23" s="195"/>
      <c r="S23" s="195"/>
      <c r="T23" s="195"/>
      <c r="U23" s="195"/>
      <c r="V23" s="195"/>
      <c r="W23" s="195"/>
    </row>
    <row r="24" spans="1:23" ht="15" thickBot="1" x14ac:dyDescent="0.35">
      <c r="A24" s="274" t="s">
        <v>18</v>
      </c>
      <c r="B24" s="236"/>
      <c r="C24" s="237">
        <v>100</v>
      </c>
      <c r="D24" s="238">
        <f t="shared" ref="D24" si="4">B24/C24</f>
        <v>0</v>
      </c>
      <c r="E24" s="239">
        <f>Q8</f>
        <v>1</v>
      </c>
      <c r="F24" s="276">
        <f>IF($E$24 &gt;1, 37, 0)</f>
        <v>0</v>
      </c>
      <c r="H24" s="195"/>
      <c r="I24" s="195"/>
      <c r="J24" s="195"/>
      <c r="K24" s="195"/>
      <c r="L24" s="195"/>
      <c r="M24" s="195"/>
      <c r="N24" s="195"/>
      <c r="O24" s="195"/>
      <c r="P24" s="195"/>
      <c r="Q24" s="195"/>
      <c r="R24" s="195"/>
      <c r="S24" s="195"/>
      <c r="T24" s="195"/>
      <c r="U24" s="195"/>
      <c r="V24" s="195"/>
      <c r="W24" s="195"/>
    </row>
    <row r="25" spans="1:23" x14ac:dyDescent="0.3">
      <c r="A25" s="278"/>
      <c r="B25" s="195"/>
      <c r="C25" s="195"/>
      <c r="D25" s="195"/>
      <c r="E25" s="195"/>
      <c r="F25" s="88"/>
      <c r="G25" s="195"/>
      <c r="H25" s="195"/>
      <c r="I25" s="195"/>
      <c r="J25" s="195"/>
      <c r="K25" s="195"/>
      <c r="L25" s="195"/>
      <c r="M25" s="195"/>
      <c r="N25" s="195"/>
      <c r="O25" s="195"/>
      <c r="P25" s="195"/>
      <c r="Q25" s="195"/>
      <c r="R25" s="195"/>
      <c r="S25" s="195"/>
      <c r="T25" s="195"/>
      <c r="U25" s="195"/>
      <c r="V25" s="195"/>
      <c r="W25" s="195"/>
    </row>
    <row r="26" spans="1:23" x14ac:dyDescent="0.3">
      <c r="F26" s="88"/>
      <c r="H26" s="195"/>
      <c r="I26" s="195"/>
      <c r="J26" s="195"/>
      <c r="K26" s="195"/>
      <c r="L26" s="195"/>
      <c r="M26" s="195"/>
      <c r="N26" s="195"/>
      <c r="O26" s="195"/>
      <c r="P26" s="195"/>
      <c r="Q26" s="195"/>
      <c r="R26" s="195"/>
      <c r="S26" s="195"/>
      <c r="T26" s="195"/>
      <c r="U26" s="195"/>
      <c r="V26" s="195"/>
      <c r="W26" s="195"/>
    </row>
    <row r="27" spans="1:23" x14ac:dyDescent="0.3">
      <c r="F27" s="88"/>
      <c r="H27" s="195"/>
      <c r="I27" s="195"/>
      <c r="J27" s="195"/>
      <c r="K27" s="195"/>
      <c r="L27" s="195"/>
      <c r="M27" s="195"/>
      <c r="N27" s="195"/>
      <c r="O27" s="195"/>
      <c r="P27" s="195"/>
      <c r="Q27" s="195"/>
      <c r="R27" s="195"/>
      <c r="S27" s="195"/>
      <c r="T27" s="195"/>
      <c r="U27" s="195"/>
      <c r="V27" s="195"/>
      <c r="W27" s="195"/>
    </row>
    <row r="28" spans="1:23" x14ac:dyDescent="0.3">
      <c r="F28" s="88"/>
      <c r="I28" s="195"/>
      <c r="J28" s="195"/>
      <c r="K28" s="195"/>
      <c r="L28" s="195"/>
      <c r="M28" s="195"/>
      <c r="N28" s="195"/>
      <c r="O28" s="195"/>
      <c r="P28" s="195"/>
      <c r="Q28" s="195"/>
      <c r="R28" s="195"/>
      <c r="S28" s="195"/>
      <c r="T28" s="195"/>
      <c r="U28" s="195"/>
    </row>
    <row r="29" spans="1:23" x14ac:dyDescent="0.3">
      <c r="I29" s="195"/>
      <c r="J29" s="195"/>
      <c r="K29" s="195"/>
      <c r="L29" s="195"/>
      <c r="M29" s="195"/>
      <c r="N29" s="195"/>
      <c r="O29" s="195"/>
      <c r="P29" s="195"/>
      <c r="Q29" s="195"/>
      <c r="R29" s="195"/>
      <c r="S29" s="195"/>
      <c r="T29" s="195"/>
      <c r="U29" s="195"/>
    </row>
    <row r="30" spans="1:23" x14ac:dyDescent="0.3">
      <c r="I30" s="195"/>
      <c r="J30" s="195"/>
      <c r="K30" s="195"/>
      <c r="L30" s="195"/>
      <c r="M30" s="195"/>
      <c r="N30" s="195"/>
      <c r="O30" s="195"/>
      <c r="P30" s="195"/>
      <c r="Q30" s="195"/>
      <c r="R30" s="195"/>
      <c r="S30" s="195"/>
      <c r="T30" s="195"/>
      <c r="U30" s="195"/>
    </row>
    <row r="31" spans="1:23" x14ac:dyDescent="0.3">
      <c r="F31" s="88"/>
      <c r="I31" s="195"/>
      <c r="J31" s="195"/>
      <c r="K31" s="195"/>
      <c r="L31" s="195"/>
      <c r="M31" s="195"/>
      <c r="N31" s="195"/>
      <c r="O31" s="195"/>
      <c r="P31" s="195"/>
      <c r="Q31" s="195"/>
      <c r="R31" s="195"/>
      <c r="S31" s="195"/>
      <c r="T31" s="195"/>
      <c r="U31" s="195"/>
    </row>
    <row r="32" spans="1:23" x14ac:dyDescent="0.3">
      <c r="F32" s="88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</row>
    <row r="33" spans="6:21" x14ac:dyDescent="0.3">
      <c r="F33" s="88"/>
      <c r="I33" s="195"/>
      <c r="J33" s="195"/>
      <c r="K33" s="195"/>
      <c r="L33" s="195"/>
      <c r="M33" s="195"/>
      <c r="N33" s="195"/>
      <c r="O33" s="195"/>
      <c r="P33" s="195"/>
      <c r="Q33" s="195"/>
      <c r="R33" s="195"/>
      <c r="S33" s="195"/>
      <c r="T33" s="195"/>
      <c r="U33" s="195"/>
    </row>
    <row r="34" spans="6:21" x14ac:dyDescent="0.3">
      <c r="F34" s="88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</row>
    <row r="35" spans="6:21" x14ac:dyDescent="0.3">
      <c r="F35" s="88"/>
      <c r="I35" s="195"/>
      <c r="J35" s="195"/>
      <c r="K35" s="195"/>
      <c r="L35" s="195"/>
      <c r="M35" s="195"/>
      <c r="N35" s="195"/>
      <c r="O35" s="195"/>
      <c r="P35" s="195"/>
      <c r="Q35" s="195"/>
      <c r="R35" s="195"/>
      <c r="S35" s="195"/>
      <c r="T35" s="195"/>
      <c r="U35" s="195"/>
    </row>
  </sheetData>
  <conditionalFormatting sqref="D2">
    <cfRule type="iconSet" priority="10">
      <iconSet iconSet="3Symbols2">
        <cfvo type="percent" val="0"/>
        <cfvo type="num" val="0.05"/>
        <cfvo type="num" val="0.05"/>
      </iconSet>
    </cfRule>
  </conditionalFormatting>
  <conditionalFormatting sqref="D2:D24">
    <cfRule type="dataBar" priority="1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{AD881D0A-C5B6-4073-8975-86106FAA753E}</x14:id>
        </ext>
      </extLst>
    </cfRule>
  </conditionalFormatting>
  <conditionalFormatting sqref="D5">
    <cfRule type="iconSet" priority="23">
      <iconSet iconSet="3Symbols2">
        <cfvo type="percent" val="0"/>
        <cfvo type="num" val="0.33"/>
        <cfvo type="num" val="0.33"/>
      </iconSet>
    </cfRule>
  </conditionalFormatting>
  <conditionalFormatting sqref="D6">
    <cfRule type="iconSet" priority="9">
      <iconSet iconSet="3Symbols2">
        <cfvo type="percent" val="0"/>
        <cfvo type="num" val="0.5"/>
        <cfvo type="num" val="0.5"/>
      </iconSet>
    </cfRule>
  </conditionalFormatting>
  <conditionalFormatting sqref="D9">
    <cfRule type="iconSet" priority="8">
      <iconSet iconSet="3Symbols2">
        <cfvo type="percent" val="0"/>
        <cfvo type="num" val="0.5"/>
        <cfvo type="num" val="0.5"/>
      </iconSet>
    </cfRule>
  </conditionalFormatting>
  <conditionalFormatting sqref="D16">
    <cfRule type="iconSet" priority="7">
      <iconSet iconSet="3Symbols2">
        <cfvo type="percent" val="0"/>
        <cfvo type="num" val="0.34599999999999997"/>
        <cfvo type="num" val="0.34599999999999997"/>
      </iconSet>
    </cfRule>
  </conditionalFormatting>
  <conditionalFormatting sqref="D17">
    <cfRule type="iconSet" priority="6">
      <iconSet iconSet="3Symbols2">
        <cfvo type="percent" val="0"/>
        <cfvo type="num" val="0.33"/>
        <cfvo type="num" val="0.33"/>
      </iconSet>
    </cfRule>
  </conditionalFormatting>
  <conditionalFormatting sqref="D24">
    <cfRule type="iconSet" priority="29">
      <iconSet iconSet="3Symbols2">
        <cfvo type="percent" val="0"/>
        <cfvo type="num" val="0.255"/>
        <cfvo type="num" val="0.255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881D0A-C5B6-4073-8975-86106FAA753E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D2:D24</xm:sqref>
        </x14:conditionalFormatting>
        <x14:conditionalFormatting xmlns:xm="http://schemas.microsoft.com/office/excel/2006/main">
          <x14:cfRule type="iconSet" priority="25" id="{05BB4F28-4A0E-4EE5-8383-DA6B67924B5A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E9 E6 E18 E21 E24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EC7EC-69A2-435A-9F22-6649C8815B29}">
  <sheetPr>
    <tabColor rgb="FF00E6AA"/>
  </sheetPr>
  <dimension ref="A1:S45"/>
  <sheetViews>
    <sheetView zoomScale="110" workbookViewId="0">
      <selection activeCell="F39" sqref="F39"/>
    </sheetView>
  </sheetViews>
  <sheetFormatPr defaultRowHeight="14.4" x14ac:dyDescent="0.3"/>
  <cols>
    <col min="1" max="1" width="13.6640625" style="307" customWidth="1"/>
    <col min="2" max="2" width="12.33203125" style="338" bestFit="1" customWidth="1"/>
    <col min="3" max="3" width="8.88671875" style="338"/>
    <col min="4" max="4" width="15.77734375" style="338" customWidth="1"/>
    <col min="5" max="5" width="10.21875" style="300" bestFit="1" customWidth="1"/>
    <col min="6" max="16384" width="8.88671875" style="300"/>
  </cols>
  <sheetData>
    <row r="1" spans="1:19" ht="15" thickBot="1" x14ac:dyDescent="0.35">
      <c r="A1" s="402" t="s">
        <v>59</v>
      </c>
      <c r="B1" s="403" t="s">
        <v>61</v>
      </c>
      <c r="C1" s="404" t="s">
        <v>60</v>
      </c>
      <c r="D1" s="409" t="s">
        <v>13</v>
      </c>
      <c r="F1" s="279" t="s">
        <v>55</v>
      </c>
      <c r="I1" s="316" t="s">
        <v>15</v>
      </c>
      <c r="J1" s="316" t="s">
        <v>65</v>
      </c>
      <c r="K1" s="316" t="s">
        <v>62</v>
      </c>
      <c r="L1" s="316" t="s">
        <v>63</v>
      </c>
      <c r="M1" s="316" t="s">
        <v>45</v>
      </c>
      <c r="N1" s="316" t="s">
        <v>64</v>
      </c>
      <c r="O1" s="316" t="s">
        <v>66</v>
      </c>
      <c r="P1" s="522"/>
      <c r="Q1" s="522"/>
      <c r="R1" s="522"/>
      <c r="S1" s="522"/>
    </row>
    <row r="2" spans="1:19" ht="15" thickBot="1" x14ac:dyDescent="0.35">
      <c r="A2" s="304" t="s">
        <v>38</v>
      </c>
      <c r="B2" s="390"/>
      <c r="C2" s="408">
        <v>12</v>
      </c>
      <c r="D2" s="391">
        <f>B2/C2</f>
        <v>0</v>
      </c>
      <c r="E2" s="429"/>
      <c r="F2" s="277">
        <f>SUM(F5:F45)</f>
        <v>0</v>
      </c>
      <c r="I2" s="316">
        <v>1</v>
      </c>
      <c r="J2" s="316">
        <v>1</v>
      </c>
      <c r="K2" s="316">
        <v>1</v>
      </c>
      <c r="L2" s="316">
        <v>1</v>
      </c>
      <c r="M2" s="316">
        <v>1</v>
      </c>
      <c r="N2" s="316">
        <v>1</v>
      </c>
      <c r="O2" s="316">
        <v>1</v>
      </c>
      <c r="P2" s="522"/>
      <c r="Q2" s="522"/>
      <c r="R2" s="522"/>
      <c r="S2" s="522"/>
    </row>
    <row r="3" spans="1:19" ht="15" thickBot="1" x14ac:dyDescent="0.35">
      <c r="A3" s="305" t="s">
        <v>4</v>
      </c>
      <c r="B3" s="395"/>
      <c r="C3" s="396">
        <v>44</v>
      </c>
      <c r="D3" s="397">
        <f>B3/C3</f>
        <v>0</v>
      </c>
      <c r="F3" s="314"/>
      <c r="I3" s="316">
        <v>2</v>
      </c>
      <c r="J3" s="316">
        <f>IF($B5 &gt;= 50, 1, 0)</f>
        <v>0</v>
      </c>
      <c r="K3" s="316">
        <f>IF($B$14 &gt;= 50, 1, 0)</f>
        <v>0</v>
      </c>
      <c r="L3" s="316">
        <f>IF($B$22 &gt;= 50, 1, 0)</f>
        <v>0</v>
      </c>
      <c r="M3" s="316">
        <f>IF($B$29 &gt;= 45, 1,)</f>
        <v>0</v>
      </c>
      <c r="N3" s="316">
        <f>IF($B$37 &gt;= 50, 1,)</f>
        <v>0</v>
      </c>
      <c r="O3" s="316">
        <f>IF($B$45 &gt;= 50, 1,)</f>
        <v>0</v>
      </c>
      <c r="P3" s="522"/>
      <c r="Q3" s="522"/>
      <c r="R3" s="522"/>
      <c r="S3" s="522"/>
    </row>
    <row r="4" spans="1:19" ht="15" thickBot="1" x14ac:dyDescent="0.35">
      <c r="A4" s="305" t="s">
        <v>5</v>
      </c>
      <c r="B4" s="392"/>
      <c r="C4" s="393">
        <v>44</v>
      </c>
      <c r="D4" s="394">
        <f>B4/C4</f>
        <v>0</v>
      </c>
      <c r="E4" s="406" t="s">
        <v>23</v>
      </c>
      <c r="F4" s="280" t="s">
        <v>50</v>
      </c>
      <c r="I4" s="316">
        <v>3</v>
      </c>
      <c r="J4" s="316">
        <f>IF($B$5 &gt;= 62, 1, 0)</f>
        <v>0</v>
      </c>
      <c r="K4" s="316">
        <f>IF($B$14 &gt;= 62, 1, 0)</f>
        <v>0</v>
      </c>
      <c r="L4" s="316">
        <f>IF($B$22 &gt;= 60, 1, )</f>
        <v>0</v>
      </c>
      <c r="M4" s="316">
        <f>IF($B$29 &gt;= 55, 1, )</f>
        <v>0</v>
      </c>
      <c r="N4" s="316">
        <f>IF($B$37 &gt;= 63, 1,)</f>
        <v>0</v>
      </c>
      <c r="O4" s="316">
        <f>IF($B$45 &gt;= 60, 1,)</f>
        <v>0</v>
      </c>
      <c r="P4" s="522"/>
      <c r="Q4" s="522"/>
      <c r="R4" s="522"/>
      <c r="S4" s="522"/>
    </row>
    <row r="5" spans="1:19" ht="15" thickBot="1" x14ac:dyDescent="0.35">
      <c r="A5" s="306" t="s">
        <v>8</v>
      </c>
      <c r="B5" s="398">
        <f>SUM(B2:B4)</f>
        <v>0</v>
      </c>
      <c r="C5" s="399">
        <v>100</v>
      </c>
      <c r="D5" s="400">
        <f>B5/C5</f>
        <v>0</v>
      </c>
      <c r="E5" s="401">
        <f>J7</f>
        <v>1</v>
      </c>
      <c r="F5" s="276">
        <f>IF($E$5 &gt;1, 6, 0)</f>
        <v>0</v>
      </c>
      <c r="I5" s="316">
        <v>4</v>
      </c>
      <c r="J5" s="316">
        <f>IF($B$5 &gt;= 75, 1, 0)</f>
        <v>0</v>
      </c>
      <c r="K5" s="316">
        <f>IF($B$14 &gt;= 75, 1, 0)</f>
        <v>0</v>
      </c>
      <c r="L5" s="316">
        <f>IF($B$22 &gt;= 70, 1, 0)</f>
        <v>0</v>
      </c>
      <c r="M5" s="316">
        <f>IF($B$29 &gt;= 70, 1, )</f>
        <v>0</v>
      </c>
      <c r="N5" s="316">
        <f>IF($B$37 &gt;= 76, 1,)</f>
        <v>0</v>
      </c>
      <c r="O5" s="316">
        <f>IF($B$45 &gt;= 72, 1,)</f>
        <v>0</v>
      </c>
      <c r="P5" s="522"/>
      <c r="Q5" s="522"/>
      <c r="R5" s="522"/>
      <c r="S5" s="522"/>
    </row>
    <row r="6" spans="1:19" x14ac:dyDescent="0.3">
      <c r="I6" s="316">
        <v>5</v>
      </c>
      <c r="J6" s="316">
        <f>IF($B$5 &gt;= 87, 1, 0)</f>
        <v>0</v>
      </c>
      <c r="K6" s="316">
        <f>IF($B$14 &gt;= 90, 1, 0)</f>
        <v>0</v>
      </c>
      <c r="L6" s="316">
        <f>IF($B$22 &gt;= 85, 1, 0)</f>
        <v>0</v>
      </c>
      <c r="M6" s="316">
        <f>IF($B$29 &gt;= 85, 1, 0)</f>
        <v>0</v>
      </c>
      <c r="N6" s="316">
        <f>IF($B$37 &gt;= 89, 1,)</f>
        <v>0</v>
      </c>
      <c r="O6" s="316">
        <f>IF($B$45 &gt;= 85, 1,)</f>
        <v>0</v>
      </c>
      <c r="P6" s="522"/>
      <c r="Q6" s="522"/>
      <c r="R6" s="522"/>
      <c r="S6" s="522"/>
    </row>
    <row r="7" spans="1:19" ht="15" thickBot="1" x14ac:dyDescent="0.35">
      <c r="I7" s="316" t="s">
        <v>17</v>
      </c>
      <c r="J7" s="316">
        <f>SUM(J2:J6)</f>
        <v>1</v>
      </c>
      <c r="K7" s="316">
        <f t="shared" ref="K7:M7" si="0">SUM(K2:K6)</f>
        <v>1</v>
      </c>
      <c r="L7" s="316">
        <f t="shared" si="0"/>
        <v>1</v>
      </c>
      <c r="M7" s="316">
        <f t="shared" si="0"/>
        <v>1</v>
      </c>
      <c r="N7" s="316">
        <f>SUM(N2:N6)</f>
        <v>1</v>
      </c>
      <c r="O7" s="316">
        <f>SUM(O2:O6)</f>
        <v>1</v>
      </c>
      <c r="P7" s="522"/>
      <c r="Q7" s="522"/>
      <c r="R7" s="522"/>
      <c r="S7" s="522"/>
    </row>
    <row r="8" spans="1:19" ht="15" thickBot="1" x14ac:dyDescent="0.35">
      <c r="A8" s="308" t="s">
        <v>58</v>
      </c>
      <c r="B8" s="339" t="s">
        <v>61</v>
      </c>
      <c r="C8" s="339" t="s">
        <v>60</v>
      </c>
      <c r="D8" s="339" t="s">
        <v>13</v>
      </c>
      <c r="I8" s="522"/>
      <c r="J8" s="522"/>
      <c r="K8" s="522"/>
      <c r="L8" s="522"/>
      <c r="M8" s="522"/>
      <c r="N8" s="522"/>
      <c r="O8" s="522"/>
      <c r="P8" s="522"/>
      <c r="Q8" s="522"/>
      <c r="R8" s="522"/>
      <c r="S8" s="522"/>
    </row>
    <row r="9" spans="1:19" x14ac:dyDescent="0.3">
      <c r="A9" s="309" t="s">
        <v>38</v>
      </c>
      <c r="B9" s="562"/>
      <c r="C9" s="563">
        <v>15</v>
      </c>
      <c r="D9" s="573">
        <f>B9/C9</f>
        <v>0</v>
      </c>
      <c r="F9" s="313"/>
      <c r="I9" s="522"/>
      <c r="J9" s="522"/>
      <c r="K9" s="522"/>
      <c r="L9" s="522"/>
      <c r="M9" s="522"/>
      <c r="N9" s="522"/>
      <c r="O9" s="522"/>
      <c r="P9" s="522"/>
      <c r="Q9" s="522"/>
      <c r="R9" s="522"/>
      <c r="S9" s="522"/>
    </row>
    <row r="10" spans="1:19" x14ac:dyDescent="0.3">
      <c r="A10" s="310" t="s">
        <v>39</v>
      </c>
      <c r="B10" s="564"/>
      <c r="C10" s="565">
        <v>8</v>
      </c>
      <c r="D10" s="574">
        <f t="shared" ref="D10:D12" si="1">B10/C10</f>
        <v>0</v>
      </c>
      <c r="F10" s="313"/>
      <c r="I10" s="522"/>
      <c r="J10" s="522"/>
      <c r="K10" s="522"/>
      <c r="L10" s="522"/>
      <c r="M10" s="522"/>
      <c r="N10" s="522"/>
      <c r="O10" s="522"/>
      <c r="P10" s="522"/>
      <c r="Q10" s="522"/>
      <c r="R10" s="522"/>
      <c r="S10" s="522"/>
    </row>
    <row r="11" spans="1:19" x14ac:dyDescent="0.3">
      <c r="A11" s="310" t="s">
        <v>67</v>
      </c>
      <c r="B11" s="567"/>
      <c r="C11" s="568">
        <v>2</v>
      </c>
      <c r="D11" s="569">
        <f t="shared" si="1"/>
        <v>0</v>
      </c>
      <c r="F11" s="313"/>
      <c r="I11" s="522"/>
      <c r="J11" s="522"/>
      <c r="K11" s="522"/>
      <c r="L11" s="522"/>
      <c r="M11" s="522"/>
      <c r="N11" s="522"/>
      <c r="O11" s="522"/>
      <c r="P11" s="522"/>
      <c r="Q11" s="522"/>
      <c r="R11" s="522"/>
      <c r="S11" s="522"/>
    </row>
    <row r="12" spans="1:19" ht="15" thickBot="1" x14ac:dyDescent="0.35">
      <c r="A12" s="310" t="s">
        <v>4</v>
      </c>
      <c r="B12" s="564"/>
      <c r="C12" s="565">
        <v>35</v>
      </c>
      <c r="D12" s="566">
        <f t="shared" si="1"/>
        <v>0</v>
      </c>
      <c r="E12" s="303">
        <f>(B13+B12)/(C12+C13)</f>
        <v>0</v>
      </c>
      <c r="I12" s="522"/>
      <c r="J12" s="522"/>
      <c r="K12" s="522"/>
      <c r="L12" s="522"/>
      <c r="M12" s="522"/>
      <c r="N12" s="522"/>
      <c r="O12" s="522"/>
      <c r="P12" s="522"/>
      <c r="Q12" s="522"/>
      <c r="R12" s="522"/>
      <c r="S12" s="522"/>
    </row>
    <row r="13" spans="1:19" ht="15" thickBot="1" x14ac:dyDescent="0.35">
      <c r="A13" s="310" t="s">
        <v>5</v>
      </c>
      <c r="B13" s="567"/>
      <c r="C13" s="568">
        <v>40</v>
      </c>
      <c r="D13" s="570">
        <f>B13/C13</f>
        <v>0</v>
      </c>
      <c r="E13" s="405" t="s">
        <v>23</v>
      </c>
      <c r="F13" s="280" t="s">
        <v>50</v>
      </c>
      <c r="I13" s="522"/>
      <c r="J13" s="522"/>
      <c r="K13" s="522"/>
      <c r="L13" s="522"/>
      <c r="M13" s="522"/>
      <c r="N13" s="522"/>
      <c r="O13" s="522"/>
      <c r="P13" s="522"/>
      <c r="Q13" s="522"/>
      <c r="R13" s="522"/>
      <c r="S13" s="522"/>
    </row>
    <row r="14" spans="1:19" ht="15" thickBot="1" x14ac:dyDescent="0.35">
      <c r="A14" s="311" t="s">
        <v>8</v>
      </c>
      <c r="B14" s="571">
        <f>SUM(B9:B13)</f>
        <v>0</v>
      </c>
      <c r="C14" s="571">
        <f>SUM(C9:C13)</f>
        <v>100</v>
      </c>
      <c r="D14" s="572">
        <f>B14/C14</f>
        <v>0</v>
      </c>
      <c r="E14" s="575">
        <f>K7</f>
        <v>1</v>
      </c>
      <c r="F14" s="276">
        <f>IF($E$14 &gt;1, 5, 0)</f>
        <v>0</v>
      </c>
      <c r="I14" s="522"/>
      <c r="J14" s="522"/>
      <c r="K14" s="522"/>
      <c r="L14" s="522"/>
      <c r="M14" s="522"/>
      <c r="N14" s="522"/>
      <c r="O14" s="522"/>
      <c r="P14" s="522"/>
      <c r="Q14" s="522"/>
      <c r="R14" s="522"/>
      <c r="S14" s="522"/>
    </row>
    <row r="15" spans="1:19" x14ac:dyDescent="0.3">
      <c r="I15" s="522"/>
      <c r="J15" s="522"/>
      <c r="K15" s="522"/>
      <c r="L15" s="522"/>
      <c r="M15" s="522"/>
      <c r="N15" s="522"/>
      <c r="O15" s="522"/>
      <c r="P15" s="522"/>
      <c r="Q15" s="522"/>
      <c r="R15" s="522"/>
      <c r="S15" s="522"/>
    </row>
    <row r="16" spans="1:19" ht="15" thickBot="1" x14ac:dyDescent="0.35"/>
    <row r="17" spans="1:6" ht="15" thickBot="1" x14ac:dyDescent="0.35">
      <c r="A17" s="319" t="s">
        <v>32</v>
      </c>
      <c r="B17" s="320" t="s">
        <v>6</v>
      </c>
      <c r="C17" s="321" t="s">
        <v>60</v>
      </c>
      <c r="D17" s="322" t="s">
        <v>13</v>
      </c>
      <c r="F17" s="313"/>
    </row>
    <row r="18" spans="1:6" x14ac:dyDescent="0.3">
      <c r="A18" s="323" t="s">
        <v>1</v>
      </c>
      <c r="B18" s="324"/>
      <c r="C18" s="325">
        <v>10</v>
      </c>
      <c r="D18" s="326">
        <f>B18/C18</f>
        <v>0</v>
      </c>
      <c r="E18" s="327" t="s">
        <v>80</v>
      </c>
      <c r="F18" s="313"/>
    </row>
    <row r="19" spans="1:6" x14ac:dyDescent="0.3">
      <c r="A19" s="328" t="s">
        <v>39</v>
      </c>
      <c r="B19" s="329"/>
      <c r="C19" s="317">
        <v>10</v>
      </c>
      <c r="D19" s="330">
        <f t="shared" ref="D19:D20" si="2">B19/C19</f>
        <v>0</v>
      </c>
      <c r="F19" s="313"/>
    </row>
    <row r="20" spans="1:6" ht="15" thickBot="1" x14ac:dyDescent="0.35">
      <c r="A20" s="328" t="s">
        <v>4</v>
      </c>
      <c r="B20" s="331"/>
      <c r="C20" s="318">
        <v>40</v>
      </c>
      <c r="D20" s="326">
        <f t="shared" si="2"/>
        <v>0</v>
      </c>
      <c r="F20" s="313"/>
    </row>
    <row r="21" spans="1:6" x14ac:dyDescent="0.3">
      <c r="A21" s="328" t="s">
        <v>5</v>
      </c>
      <c r="B21" s="329"/>
      <c r="C21" s="317">
        <v>40</v>
      </c>
      <c r="D21" s="330">
        <f>B21/C21</f>
        <v>0</v>
      </c>
      <c r="E21" s="332" t="s">
        <v>14</v>
      </c>
      <c r="F21" s="280" t="s">
        <v>50</v>
      </c>
    </row>
    <row r="22" spans="1:6" ht="15" thickBot="1" x14ac:dyDescent="0.35">
      <c r="A22" s="333" t="s">
        <v>8</v>
      </c>
      <c r="B22" s="334">
        <f>SUM(B18:B21)</f>
        <v>0</v>
      </c>
      <c r="C22" s="335">
        <v>100</v>
      </c>
      <c r="D22" s="336">
        <f>B22/C22</f>
        <v>0</v>
      </c>
      <c r="E22" s="337">
        <f>L7</f>
        <v>1</v>
      </c>
      <c r="F22" s="276">
        <f>IF($E$22 &gt;1, 6, 0)</f>
        <v>0</v>
      </c>
    </row>
    <row r="23" spans="1:6" x14ac:dyDescent="0.3">
      <c r="F23" s="313"/>
    </row>
    <row r="24" spans="1:6" ht="15" thickBot="1" x14ac:dyDescent="0.35"/>
    <row r="25" spans="1:6" ht="15" thickBot="1" x14ac:dyDescent="0.35">
      <c r="A25" s="189" t="s">
        <v>68</v>
      </c>
      <c r="B25" s="190" t="s">
        <v>6</v>
      </c>
      <c r="C25" s="191" t="s">
        <v>7</v>
      </c>
      <c r="D25" s="192" t="s">
        <v>13</v>
      </c>
      <c r="F25" s="313"/>
    </row>
    <row r="26" spans="1:6" x14ac:dyDescent="0.3">
      <c r="A26" s="186" t="s">
        <v>39</v>
      </c>
      <c r="B26" s="196"/>
      <c r="C26" s="197">
        <v>5</v>
      </c>
      <c r="D26" s="198">
        <f>B26/C26</f>
        <v>0</v>
      </c>
      <c r="E26" s="314"/>
    </row>
    <row r="27" spans="1:6" ht="15" thickBot="1" x14ac:dyDescent="0.35">
      <c r="A27" s="187" t="s">
        <v>4</v>
      </c>
      <c r="B27" s="199">
        <f>(0)*(5/4)</f>
        <v>0</v>
      </c>
      <c r="C27" s="200">
        <v>50</v>
      </c>
      <c r="D27" s="201">
        <f t="shared" ref="D27:D29" si="3">B27/C27</f>
        <v>0</v>
      </c>
      <c r="E27" s="314"/>
    </row>
    <row r="28" spans="1:6" x14ac:dyDescent="0.3">
      <c r="A28" s="187" t="s">
        <v>5</v>
      </c>
      <c r="B28" s="199">
        <f>(0)*(5/4)</f>
        <v>0</v>
      </c>
      <c r="C28" s="202">
        <v>50</v>
      </c>
      <c r="D28" s="203">
        <f t="shared" si="3"/>
        <v>0</v>
      </c>
      <c r="E28" s="193" t="s">
        <v>14</v>
      </c>
      <c r="F28" s="280" t="s">
        <v>50</v>
      </c>
    </row>
    <row r="29" spans="1:6" ht="15" thickBot="1" x14ac:dyDescent="0.35">
      <c r="A29" s="188" t="s">
        <v>8</v>
      </c>
      <c r="B29" s="204">
        <f>SUM(B26:B28)</f>
        <v>0</v>
      </c>
      <c r="C29" s="205">
        <v>100</v>
      </c>
      <c r="D29" s="207">
        <f t="shared" si="3"/>
        <v>0</v>
      </c>
      <c r="E29" s="206">
        <f>M7</f>
        <v>1</v>
      </c>
      <c r="F29" s="276">
        <f>IF($E$29 &gt;1, 7, 0)</f>
        <v>0</v>
      </c>
    </row>
    <row r="30" spans="1:6" x14ac:dyDescent="0.3">
      <c r="F30" s="313"/>
    </row>
    <row r="31" spans="1:6" ht="15" thickBot="1" x14ac:dyDescent="0.35"/>
    <row r="32" spans="1:6" ht="15" thickBot="1" x14ac:dyDescent="0.35">
      <c r="A32" s="356" t="s">
        <v>69</v>
      </c>
      <c r="B32" s="351" t="s">
        <v>61</v>
      </c>
      <c r="C32" s="349" t="s">
        <v>60</v>
      </c>
      <c r="D32" s="350" t="s">
        <v>13</v>
      </c>
      <c r="F32" s="313"/>
    </row>
    <row r="33" spans="1:6" ht="15" thickBot="1" x14ac:dyDescent="0.35">
      <c r="A33" s="357" t="s">
        <v>38</v>
      </c>
      <c r="B33" s="352"/>
      <c r="C33" s="348">
        <v>20</v>
      </c>
      <c r="D33" s="360">
        <f>B33/C33</f>
        <v>0</v>
      </c>
      <c r="E33" s="362"/>
    </row>
    <row r="34" spans="1:6" x14ac:dyDescent="0.3">
      <c r="A34" s="358" t="s">
        <v>4</v>
      </c>
      <c r="B34" s="353"/>
      <c r="C34" s="346">
        <v>10</v>
      </c>
      <c r="D34" s="17">
        <f t="shared" ref="D34:D37" si="4">B34/C34</f>
        <v>0</v>
      </c>
      <c r="E34" s="590">
        <f>(B34+B35)/(C34+C35)</f>
        <v>0</v>
      </c>
    </row>
    <row r="35" spans="1:6" ht="15" thickBot="1" x14ac:dyDescent="0.35">
      <c r="A35" s="358" t="s">
        <v>34</v>
      </c>
      <c r="B35" s="354"/>
      <c r="C35" s="345">
        <v>30</v>
      </c>
      <c r="D35" s="22">
        <f t="shared" si="4"/>
        <v>0</v>
      </c>
      <c r="E35" s="591"/>
      <c r="F35" s="313"/>
    </row>
    <row r="36" spans="1:6" x14ac:dyDescent="0.3">
      <c r="A36" s="358" t="s">
        <v>35</v>
      </c>
      <c r="B36" s="353"/>
      <c r="C36" s="346">
        <v>40</v>
      </c>
      <c r="D36" s="17">
        <f t="shared" si="4"/>
        <v>0</v>
      </c>
      <c r="E36" s="363" t="s">
        <v>23</v>
      </c>
      <c r="F36" s="280" t="s">
        <v>50</v>
      </c>
    </row>
    <row r="37" spans="1:6" ht="15" thickBot="1" x14ac:dyDescent="0.35">
      <c r="A37" s="359" t="s">
        <v>8</v>
      </c>
      <c r="B37" s="355">
        <f>SUM(B32:B36)</f>
        <v>0</v>
      </c>
      <c r="C37" s="347">
        <f>SUM(C33:C36)</f>
        <v>100</v>
      </c>
      <c r="D37" s="361">
        <f t="shared" si="4"/>
        <v>0</v>
      </c>
      <c r="E37" s="110">
        <f>N7</f>
        <v>1</v>
      </c>
      <c r="F37" s="276">
        <f>IF($E$37 &gt;1, 4, 0)</f>
        <v>0</v>
      </c>
    </row>
    <row r="39" spans="1:6" ht="15" thickBot="1" x14ac:dyDescent="0.35"/>
    <row r="40" spans="1:6" ht="15" thickBot="1" x14ac:dyDescent="0.35">
      <c r="A40" s="365" t="s">
        <v>70</v>
      </c>
      <c r="B40" s="368" t="s">
        <v>61</v>
      </c>
      <c r="C40" s="370" t="s">
        <v>60</v>
      </c>
      <c r="D40" s="369" t="s">
        <v>13</v>
      </c>
      <c r="E40" s="364"/>
    </row>
    <row r="41" spans="1:6" x14ac:dyDescent="0.3">
      <c r="A41" s="371" t="s">
        <v>39</v>
      </c>
      <c r="B41" s="378"/>
      <c r="C41" s="379">
        <v>20</v>
      </c>
      <c r="D41" s="380">
        <f>B41/C41</f>
        <v>0</v>
      </c>
      <c r="E41" s="364"/>
    </row>
    <row r="42" spans="1:6" x14ac:dyDescent="0.3">
      <c r="A42" s="373" t="s">
        <v>27</v>
      </c>
      <c r="B42" s="381"/>
      <c r="C42" s="382">
        <v>10</v>
      </c>
      <c r="D42" s="383">
        <f t="shared" ref="D42:D45" si="5">B42/C42</f>
        <v>0</v>
      </c>
      <c r="E42" s="364"/>
    </row>
    <row r="43" spans="1:6" ht="15" thickBot="1" x14ac:dyDescent="0.35">
      <c r="A43" s="374" t="s">
        <v>4</v>
      </c>
      <c r="B43" s="385"/>
      <c r="C43" s="386">
        <v>30</v>
      </c>
      <c r="D43" s="387">
        <f t="shared" si="5"/>
        <v>0</v>
      </c>
      <c r="E43" s="364"/>
    </row>
    <row r="44" spans="1:6" x14ac:dyDescent="0.3">
      <c r="A44" s="384" t="s">
        <v>5</v>
      </c>
      <c r="B44" s="382"/>
      <c r="C44" s="382">
        <v>40</v>
      </c>
      <c r="D44" s="389">
        <f t="shared" si="5"/>
        <v>0</v>
      </c>
      <c r="E44" s="407" t="s">
        <v>23</v>
      </c>
      <c r="F44" s="366" t="s">
        <v>50</v>
      </c>
    </row>
    <row r="45" spans="1:6" ht="15" thickBot="1" x14ac:dyDescent="0.35">
      <c r="A45" s="372" t="s">
        <v>8</v>
      </c>
      <c r="B45" s="375">
        <f>SUM(B41:B44)</f>
        <v>0</v>
      </c>
      <c r="C45" s="376">
        <f>SUM(C41:C44)</f>
        <v>100</v>
      </c>
      <c r="D45" s="377">
        <f t="shared" si="5"/>
        <v>0</v>
      </c>
      <c r="E45" s="388">
        <f>O7</f>
        <v>1</v>
      </c>
      <c r="F45" s="367">
        <f>IF($E$45 &gt;1, 2, 0)</f>
        <v>0</v>
      </c>
    </row>
  </sheetData>
  <mergeCells count="1">
    <mergeCell ref="E34:E35"/>
  </mergeCells>
  <conditionalFormatting sqref="D2">
    <cfRule type="iconSet" priority="35">
      <iconSet iconSet="3Symbols2">
        <cfvo type="percent" val="0"/>
        <cfvo type="num" val="0.08"/>
        <cfvo type="num" val="0.08"/>
      </iconSet>
    </cfRule>
  </conditionalFormatting>
  <conditionalFormatting sqref="D2:D55">
    <cfRule type="dataBar" priority="3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{1788B2A8-C74C-4840-88D4-3BD793EBA677}</x14:id>
        </ext>
      </extLst>
    </cfRule>
  </conditionalFormatting>
  <conditionalFormatting sqref="D4">
    <cfRule type="iconSet" priority="33">
      <iconSet iconSet="3Symbols2">
        <cfvo type="percent" val="0"/>
        <cfvo type="num" val="0.08"/>
        <cfvo type="num" val="0.08"/>
      </iconSet>
    </cfRule>
  </conditionalFormatting>
  <conditionalFormatting sqref="D5">
    <cfRule type="iconSet" priority="32">
      <iconSet iconSet="3Symbols2">
        <cfvo type="percent" val="0"/>
        <cfvo type="num" val="0.5"/>
        <cfvo type="num" val="0.5"/>
      </iconSet>
    </cfRule>
  </conditionalFormatting>
  <conditionalFormatting sqref="D9:D14">
    <cfRule type="dataBar" priority="3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{1ADF597E-A7E1-48ED-97E8-90DDF4E240B6}</x14:id>
        </ext>
      </extLst>
    </cfRule>
  </conditionalFormatting>
  <conditionalFormatting sqref="D14">
    <cfRule type="iconSet" priority="1">
      <iconSet iconSet="3Symbols2">
        <cfvo type="percent" val="0"/>
        <cfvo type="num" val="0.5"/>
        <cfvo type="num" val="0.5"/>
      </iconSet>
    </cfRule>
  </conditionalFormatting>
  <conditionalFormatting sqref="D18">
    <cfRule type="iconSet" priority="18">
      <iconSet iconSet="3Symbols2">
        <cfvo type="percent" val="0"/>
        <cfvo type="num" val="0.5"/>
        <cfvo type="num" val="0.5"/>
      </iconSet>
    </cfRule>
  </conditionalFormatting>
  <conditionalFormatting sqref="D18:D22">
    <cfRule type="dataBar" priority="21">
      <dataBar>
        <cfvo type="num" val="0"/>
        <cfvo type="num" val="1"/>
        <color theme="4" tint="0.39997558519241921"/>
      </dataBar>
      <extLst>
        <ext xmlns:x14="http://schemas.microsoft.com/office/spreadsheetml/2009/9/main" uri="{B025F937-C7B1-47D3-B67F-A62EFF666E3E}">
          <x14:id>{5638A298-55F0-49A3-932F-67AEDCDD16D8}</x14:id>
        </ext>
      </extLst>
    </cfRule>
  </conditionalFormatting>
  <conditionalFormatting sqref="D22">
    <cfRule type="iconSet" priority="16">
      <iconSet iconSet="3Symbols2">
        <cfvo type="percent" val="0"/>
        <cfvo type="num" val="0.5"/>
        <cfvo type="num" val="0.5"/>
      </iconSet>
    </cfRule>
  </conditionalFormatting>
  <conditionalFormatting sqref="D26">
    <cfRule type="iconSet" priority="10">
      <iconSet iconSet="3Symbols2">
        <cfvo type="percent" val="0"/>
        <cfvo type="num" val="0.5"/>
        <cfvo type="num" val="0.5"/>
      </iconSet>
    </cfRule>
  </conditionalFormatting>
  <conditionalFormatting sqref="D29">
    <cfRule type="iconSet" priority="11">
      <iconSet iconSet="3Symbols2">
        <cfvo type="percent" val="0"/>
        <cfvo type="num" val="0.5"/>
        <cfvo type="num" val="0.5"/>
      </iconSet>
    </cfRule>
  </conditionalFormatting>
  <conditionalFormatting sqref="D43">
    <cfRule type="iconSet" priority="3">
      <iconSet iconSet="3Symbols2">
        <cfvo type="percent" val="0"/>
        <cfvo type="num" val="0.33"/>
        <cfvo type="num" val="0.33"/>
      </iconSet>
    </cfRule>
  </conditionalFormatting>
  <conditionalFormatting sqref="D44">
    <cfRule type="iconSet" priority="2">
      <iconSet iconSet="3Symbols2">
        <cfvo type="percent" val="0"/>
        <cfvo type="num" val="0.375"/>
        <cfvo type="num" val="0.375"/>
      </iconSet>
    </cfRule>
  </conditionalFormatting>
  <conditionalFormatting sqref="E12">
    <cfRule type="iconSet" priority="28">
      <iconSet iconSet="3Symbols2">
        <cfvo type="percent" val="0"/>
        <cfvo type="num" val="0.5"/>
        <cfvo type="num" val="0.5"/>
      </iconSet>
    </cfRule>
    <cfRule type="dataBar" priority="29">
      <dataBar>
        <cfvo type="num" val="0"/>
        <cfvo type="num" val="1"/>
        <color rgb="FF0070C0"/>
      </dataBar>
      <extLst>
        <ext xmlns:x14="http://schemas.microsoft.com/office/spreadsheetml/2009/9/main" uri="{B025F937-C7B1-47D3-B67F-A62EFF666E3E}">
          <x14:id>{0BB36BCC-0A3E-42A6-90FB-24A92F0B2C1D}</x14:id>
        </ext>
      </extLst>
    </cfRule>
  </conditionalFormatting>
  <conditionalFormatting sqref="E34">
    <cfRule type="iconSet" priority="6">
      <iconSet iconSet="3Symbols2">
        <cfvo type="percent" val="0"/>
        <cfvo type="num" val="0.4"/>
        <cfvo type="num" val="0.4"/>
      </iconSet>
    </cfRule>
    <cfRule type="dataBar" priority="7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{65ED1405-31E2-493A-8153-DFFEF45C0C11}</x14:id>
        </ext>
      </extLs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88B2A8-C74C-4840-88D4-3BD793EBA677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D2:D55</xm:sqref>
        </x14:conditionalFormatting>
        <x14:conditionalFormatting xmlns:xm="http://schemas.microsoft.com/office/excel/2006/main">
          <x14:cfRule type="dataBar" id="{1ADF597E-A7E1-48ED-97E8-90DDF4E240B6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D9:D14</xm:sqref>
        </x14:conditionalFormatting>
        <x14:conditionalFormatting xmlns:xm="http://schemas.microsoft.com/office/excel/2006/main">
          <x14:cfRule type="dataBar" id="{5638A298-55F0-49A3-932F-67AEDCDD16D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2" tint="-0.249977111117893"/>
              <x14:negativeFillColor rgb="FFFF0000"/>
              <x14:negativeBorderColor rgb="FFFF0000"/>
              <x14:axisColor rgb="FF000000"/>
            </x14:dataBar>
          </x14:cfRule>
          <xm:sqref>D18:D22</xm:sqref>
        </x14:conditionalFormatting>
        <x14:conditionalFormatting xmlns:xm="http://schemas.microsoft.com/office/excel/2006/main">
          <x14:cfRule type="iconSet" priority="14" id="{E4302F6B-FA37-4D79-8EA5-A2638EB4613F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E5</xm:sqref>
        </x14:conditionalFormatting>
        <x14:conditionalFormatting xmlns:xm="http://schemas.microsoft.com/office/excel/2006/main">
          <x14:cfRule type="dataBar" id="{0BB36BCC-0A3E-42A6-90FB-24A92F0B2C1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iconSet" priority="15" id="{FEE2CD7A-7A94-44BA-9FC4-0D430F5E17D3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E14</xm:sqref>
        </x14:conditionalFormatting>
        <x14:conditionalFormatting xmlns:xm="http://schemas.microsoft.com/office/excel/2006/main">
          <x14:cfRule type="iconSet" priority="22" id="{DC91AC26-3AA6-433F-991D-E515F9678796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E22</xm:sqref>
        </x14:conditionalFormatting>
        <x14:conditionalFormatting xmlns:xm="http://schemas.microsoft.com/office/excel/2006/main">
          <x14:cfRule type="iconSet" priority="13" id="{D02B2908-21AE-4CCD-8C61-CB65E85FF4AF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E29</xm:sqref>
        </x14:conditionalFormatting>
        <x14:conditionalFormatting xmlns:xm="http://schemas.microsoft.com/office/excel/2006/main">
          <x14:cfRule type="dataBar" id="{65ED1405-31E2-493A-8153-DFFEF45C0C1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B0F0"/>
              <x14:negativeFillColor rgb="FFFF0000"/>
              <x14:negativeBorderColor rgb="FFFF0000"/>
              <x14:axisColor rgb="FF000000"/>
            </x14:dataBar>
          </x14:cfRule>
          <xm:sqref>E34</xm:sqref>
        </x14:conditionalFormatting>
        <x14:conditionalFormatting xmlns:xm="http://schemas.microsoft.com/office/excel/2006/main">
          <x14:cfRule type="iconSet" priority="9" id="{C94D841F-A1B9-4C45-9182-541BC1529A46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E37</xm:sqref>
        </x14:conditionalFormatting>
        <x14:conditionalFormatting xmlns:xm="http://schemas.microsoft.com/office/excel/2006/main">
          <x14:cfRule type="iconSet" priority="5" id="{44EF61D6-DCD2-4D1A-A685-984D954ABBD1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E45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6F101-D830-447D-ACF8-97283F3A8F2B}">
  <sheetPr>
    <tabColor rgb="FF002060"/>
  </sheetPr>
  <dimension ref="A1:Q41"/>
  <sheetViews>
    <sheetView topLeftCell="A31" zoomScale="112" workbookViewId="0">
      <selection activeCell="A23" sqref="A23"/>
    </sheetView>
  </sheetViews>
  <sheetFormatPr defaultRowHeight="14.4" x14ac:dyDescent="0.3"/>
  <cols>
    <col min="1" max="1" width="11.5546875" style="338" customWidth="1"/>
    <col min="2" max="2" width="13" style="300" customWidth="1"/>
    <col min="3" max="3" width="8.88671875" style="300"/>
    <col min="4" max="4" width="12.44140625" style="414" customWidth="1"/>
    <col min="5" max="9" width="8.88671875" style="300"/>
    <col min="10" max="10" width="15.44140625" style="300" bestFit="1" customWidth="1"/>
    <col min="11" max="16384" width="8.88671875" style="300"/>
  </cols>
  <sheetData>
    <row r="1" spans="1:17" ht="15" thickBot="1" x14ac:dyDescent="0.35">
      <c r="A1" s="478" t="s">
        <v>71</v>
      </c>
      <c r="B1" s="482" t="s">
        <v>61</v>
      </c>
      <c r="C1" s="483" t="s">
        <v>60</v>
      </c>
      <c r="D1" s="484" t="s">
        <v>13</v>
      </c>
      <c r="F1" s="279" t="s">
        <v>55</v>
      </c>
      <c r="J1" s="415" t="s">
        <v>73</v>
      </c>
      <c r="K1" s="415" t="s">
        <v>75</v>
      </c>
      <c r="L1" s="415" t="s">
        <v>74</v>
      </c>
      <c r="M1" s="552" t="s">
        <v>76</v>
      </c>
      <c r="N1" s="415" t="s">
        <v>77</v>
      </c>
      <c r="O1" s="415" t="s">
        <v>78</v>
      </c>
      <c r="P1" s="316" t="s">
        <v>66</v>
      </c>
    </row>
    <row r="2" spans="1:17" ht="15" thickBot="1" x14ac:dyDescent="0.35">
      <c r="A2" s="479" t="s">
        <v>72</v>
      </c>
      <c r="B2" s="416"/>
      <c r="C2" s="423">
        <v>10</v>
      </c>
      <c r="D2" s="433">
        <f>B2/C2</f>
        <v>0</v>
      </c>
      <c r="F2" s="277">
        <f>SUM(F5:F43)</f>
        <v>0</v>
      </c>
      <c r="J2" s="415">
        <v>1</v>
      </c>
      <c r="K2" s="316">
        <v>1</v>
      </c>
      <c r="L2" s="316">
        <v>1</v>
      </c>
      <c r="M2" s="316">
        <v>1</v>
      </c>
      <c r="N2" s="316">
        <v>1</v>
      </c>
      <c r="O2" s="316">
        <v>1</v>
      </c>
      <c r="P2" s="316">
        <v>1</v>
      </c>
      <c r="Q2" s="522"/>
    </row>
    <row r="3" spans="1:17" ht="15" thickBot="1" x14ac:dyDescent="0.35">
      <c r="A3" s="480" t="s">
        <v>4</v>
      </c>
      <c r="B3" s="417"/>
      <c r="C3" s="424">
        <v>50</v>
      </c>
      <c r="D3" s="420">
        <f t="shared" ref="D3:D5" si="0">B3/C3</f>
        <v>0</v>
      </c>
      <c r="F3" s="314"/>
      <c r="J3" s="415">
        <v>2</v>
      </c>
      <c r="K3" s="316">
        <f>IF($B5 &gt;= 45, 1, 0)</f>
        <v>0</v>
      </c>
      <c r="L3" s="316">
        <f>IF($B$12 &gt;= 50, 1, 0)</f>
        <v>0</v>
      </c>
      <c r="M3" s="316">
        <f>IF($B$19 &gt;= 50, 1, 0)</f>
        <v>0</v>
      </c>
      <c r="N3" s="316">
        <f>IF($B$27 &gt;= 45, 1,)</f>
        <v>0</v>
      </c>
      <c r="O3" s="316">
        <f>IF($B$33 &gt;= 40, 1,)</f>
        <v>0</v>
      </c>
      <c r="P3" s="316">
        <f>IF($B$41 &gt;= 50, 1,)</f>
        <v>0</v>
      </c>
      <c r="Q3" s="522"/>
    </row>
    <row r="4" spans="1:17" x14ac:dyDescent="0.3">
      <c r="A4" s="480" t="s">
        <v>5</v>
      </c>
      <c r="B4" s="418"/>
      <c r="C4" s="425">
        <v>40</v>
      </c>
      <c r="D4" s="421">
        <f t="shared" si="0"/>
        <v>0</v>
      </c>
      <c r="E4" s="427" t="s">
        <v>23</v>
      </c>
      <c r="F4" s="280" t="s">
        <v>50</v>
      </c>
      <c r="J4" s="415">
        <v>3</v>
      </c>
      <c r="K4" s="316">
        <f>IF($B$5 &gt;= 55, 1, 0)</f>
        <v>0</v>
      </c>
      <c r="L4" s="316">
        <f>IF($B$12 &gt;= 62.5, 1, 0)</f>
        <v>0</v>
      </c>
      <c r="M4" s="316">
        <f>IF($B$19 &gt;= 65, 1, 0)</f>
        <v>0</v>
      </c>
      <c r="N4" s="316">
        <f>IF($B$27 &gt;= 50, 1,)</f>
        <v>0</v>
      </c>
      <c r="O4" s="316">
        <f>IF($B$33 &gt;= 55, 1,)</f>
        <v>0</v>
      </c>
      <c r="P4" s="316">
        <f>IF($B$41 &gt;= 60, 1,)</f>
        <v>0</v>
      </c>
      <c r="Q4" s="522"/>
    </row>
    <row r="5" spans="1:17" ht="15" thickBot="1" x14ac:dyDescent="0.35">
      <c r="A5" s="481" t="s">
        <v>54</v>
      </c>
      <c r="B5" s="419">
        <f>SUM(B2:B4)</f>
        <v>0</v>
      </c>
      <c r="C5" s="426">
        <f>SUM(C2:C4)</f>
        <v>100</v>
      </c>
      <c r="D5" s="422">
        <f t="shared" si="0"/>
        <v>0</v>
      </c>
      <c r="E5" s="428">
        <f>K7</f>
        <v>1</v>
      </c>
      <c r="F5" s="276">
        <f>IF($E$5 &gt;1, 6, 0)</f>
        <v>0</v>
      </c>
      <c r="J5" s="415">
        <v>4</v>
      </c>
      <c r="K5" s="316">
        <f>IF($B$5 &gt;= 70, 1, 0)</f>
        <v>0</v>
      </c>
      <c r="L5" s="316">
        <f>IF($B$12 &gt;= 75, 1, 0)</f>
        <v>0</v>
      </c>
      <c r="M5" s="316">
        <f>IF($B$19 &gt;= 80, 1, 0)</f>
        <v>0</v>
      </c>
      <c r="N5" s="316">
        <f>IF($B$27 &gt;= 70, 1,)</f>
        <v>0</v>
      </c>
      <c r="O5" s="316">
        <f>IF($B$33 &gt;= 70, 1,)</f>
        <v>0</v>
      </c>
      <c r="P5" s="316">
        <f>IF($B$41 &gt;= 72, 1,)</f>
        <v>0</v>
      </c>
      <c r="Q5" s="522"/>
    </row>
    <row r="6" spans="1:17" x14ac:dyDescent="0.3">
      <c r="J6" s="415">
        <v>5</v>
      </c>
      <c r="K6" s="316">
        <f>IF($B$5 &gt;= 85, 1, 0)</f>
        <v>0</v>
      </c>
      <c r="L6" s="316">
        <f>IF($B$12 &gt;= 87.5, 1, 0)</f>
        <v>0</v>
      </c>
      <c r="M6" s="316">
        <f>IF($B$19 &gt;= 90, 1, 0)</f>
        <v>0</v>
      </c>
      <c r="N6" s="316">
        <f>IF($B$27 &gt;= 85, 1,)</f>
        <v>0</v>
      </c>
      <c r="O6" s="316">
        <f>IF($B$33 &gt;= 85, 1,)</f>
        <v>0</v>
      </c>
      <c r="P6" s="316">
        <f>IF($B$41 &gt;= 85, 1,)</f>
        <v>0</v>
      </c>
      <c r="Q6" s="522"/>
    </row>
    <row r="7" spans="1:17" ht="15" thickBot="1" x14ac:dyDescent="0.35">
      <c r="A7" s="435"/>
      <c r="J7" s="415" t="s">
        <v>17</v>
      </c>
      <c r="K7" s="316">
        <f t="shared" ref="K7:P7" si="1">SUM(K2:K6)</f>
        <v>1</v>
      </c>
      <c r="L7" s="316">
        <f t="shared" si="1"/>
        <v>1</v>
      </c>
      <c r="M7" s="316">
        <f t="shared" si="1"/>
        <v>1</v>
      </c>
      <c r="N7" s="316">
        <f t="shared" si="1"/>
        <v>1</v>
      </c>
      <c r="O7" s="316">
        <f t="shared" si="1"/>
        <v>1</v>
      </c>
      <c r="P7" s="316">
        <f t="shared" si="1"/>
        <v>1</v>
      </c>
      <c r="Q7" s="522"/>
    </row>
    <row r="8" spans="1:17" ht="15" thickBot="1" x14ac:dyDescent="0.35">
      <c r="A8" s="489" t="s">
        <v>74</v>
      </c>
      <c r="B8" s="493" t="s">
        <v>61</v>
      </c>
      <c r="C8" s="494" t="s">
        <v>60</v>
      </c>
      <c r="D8" s="495" t="s">
        <v>13</v>
      </c>
      <c r="J8" s="522"/>
      <c r="K8" s="522"/>
      <c r="L8" s="522"/>
      <c r="M8" s="522"/>
      <c r="N8" s="522"/>
      <c r="O8" s="522"/>
      <c r="P8" s="522"/>
      <c r="Q8" s="522"/>
    </row>
    <row r="9" spans="1:17" x14ac:dyDescent="0.3">
      <c r="A9" s="490" t="s">
        <v>38</v>
      </c>
      <c r="B9" s="450"/>
      <c r="C9" s="448">
        <v>15</v>
      </c>
      <c r="D9" s="485">
        <f>B9/C9</f>
        <v>0</v>
      </c>
      <c r="F9" s="313"/>
      <c r="J9" s="522"/>
      <c r="K9" s="522"/>
      <c r="L9" s="522"/>
      <c r="M9" s="522"/>
      <c r="N9" s="522"/>
      <c r="O9" s="522"/>
      <c r="P9" s="522"/>
      <c r="Q9" s="522"/>
    </row>
    <row r="10" spans="1:17" ht="15" thickBot="1" x14ac:dyDescent="0.35">
      <c r="A10" s="491" t="s">
        <v>4</v>
      </c>
      <c r="B10" s="451"/>
      <c r="C10" s="432">
        <v>40</v>
      </c>
      <c r="D10" s="488">
        <f t="shared" ref="D10:D11" si="2">B10/C10</f>
        <v>0</v>
      </c>
      <c r="E10" s="449"/>
      <c r="F10" s="313"/>
      <c r="J10" s="522"/>
      <c r="K10" s="522"/>
      <c r="L10" s="522"/>
      <c r="M10" s="522"/>
      <c r="N10" s="522"/>
      <c r="O10" s="522"/>
      <c r="P10" s="522"/>
      <c r="Q10" s="522"/>
    </row>
    <row r="11" spans="1:17" x14ac:dyDescent="0.3">
      <c r="A11" s="491" t="s">
        <v>5</v>
      </c>
      <c r="B11" s="452"/>
      <c r="C11" s="431">
        <v>45</v>
      </c>
      <c r="D11" s="486">
        <f t="shared" si="2"/>
        <v>0</v>
      </c>
      <c r="E11" s="496" t="s">
        <v>23</v>
      </c>
      <c r="F11" s="280" t="s">
        <v>50</v>
      </c>
      <c r="J11" s="522"/>
      <c r="K11" s="522"/>
      <c r="L11" s="522"/>
      <c r="M11" s="522"/>
      <c r="N11" s="522"/>
      <c r="O11" s="522"/>
      <c r="P11" s="522"/>
      <c r="Q11" s="522"/>
    </row>
    <row r="12" spans="1:17" ht="15" thickBot="1" x14ac:dyDescent="0.35">
      <c r="A12" s="492" t="s">
        <v>21</v>
      </c>
      <c r="B12" s="453">
        <f>SUM(B9:B11)</f>
        <v>0</v>
      </c>
      <c r="C12" s="453">
        <f>SUM(C9:C11)</f>
        <v>100</v>
      </c>
      <c r="D12" s="487">
        <f>B12/C12</f>
        <v>0</v>
      </c>
      <c r="E12" s="430">
        <f>L7</f>
        <v>1</v>
      </c>
      <c r="F12" s="276">
        <f>IF($E$12 &gt;1, 6, 0)</f>
        <v>0</v>
      </c>
      <c r="J12" s="522"/>
      <c r="K12" s="522"/>
      <c r="L12" s="522"/>
      <c r="M12" s="522"/>
      <c r="N12" s="522"/>
      <c r="O12" s="522"/>
      <c r="P12" s="522"/>
      <c r="Q12" s="522"/>
    </row>
    <row r="13" spans="1:17" x14ac:dyDescent="0.3">
      <c r="J13" s="522"/>
      <c r="K13" s="522"/>
      <c r="L13" s="522"/>
      <c r="M13" s="522"/>
      <c r="N13" s="522"/>
      <c r="O13" s="522"/>
      <c r="P13" s="522"/>
      <c r="Q13" s="522"/>
    </row>
    <row r="14" spans="1:17" ht="15" thickBot="1" x14ac:dyDescent="0.35">
      <c r="A14" s="435"/>
      <c r="B14" s="436"/>
      <c r="C14" s="436"/>
      <c r="D14" s="437"/>
      <c r="J14" s="522"/>
      <c r="K14" s="522"/>
      <c r="L14" s="522"/>
      <c r="M14" s="522"/>
      <c r="N14" s="522"/>
      <c r="O14" s="522"/>
      <c r="P14" s="522"/>
      <c r="Q14" s="522"/>
    </row>
    <row r="15" spans="1:17" ht="15" thickBot="1" x14ac:dyDescent="0.35">
      <c r="A15" s="497" t="s">
        <v>76</v>
      </c>
      <c r="B15" s="501" t="s">
        <v>61</v>
      </c>
      <c r="C15" s="502" t="s">
        <v>60</v>
      </c>
      <c r="D15" s="503" t="s">
        <v>13</v>
      </c>
      <c r="E15" s="307"/>
    </row>
    <row r="16" spans="1:17" x14ac:dyDescent="0.3">
      <c r="A16" s="498" t="s">
        <v>38</v>
      </c>
      <c r="B16" s="445"/>
      <c r="C16" s="446">
        <v>15</v>
      </c>
      <c r="D16" s="447">
        <f>B16/C16</f>
        <v>0</v>
      </c>
      <c r="E16" s="307"/>
    </row>
    <row r="17" spans="1:6" ht="15" thickBot="1" x14ac:dyDescent="0.35">
      <c r="A17" s="499" t="s">
        <v>4</v>
      </c>
      <c r="B17" s="443"/>
      <c r="C17" s="317">
        <v>40</v>
      </c>
      <c r="D17" s="439">
        <f t="shared" ref="D17:D19" si="3">B17/C17</f>
        <v>0</v>
      </c>
      <c r="E17" s="440"/>
      <c r="F17" s="313"/>
    </row>
    <row r="18" spans="1:6" x14ac:dyDescent="0.3">
      <c r="A18" s="499" t="s">
        <v>5</v>
      </c>
      <c r="B18" s="442"/>
      <c r="C18" s="318">
        <v>45</v>
      </c>
      <c r="D18" s="438">
        <f t="shared" si="3"/>
        <v>0</v>
      </c>
      <c r="E18" s="504" t="s">
        <v>23</v>
      </c>
      <c r="F18" s="280" t="s">
        <v>50</v>
      </c>
    </row>
    <row r="19" spans="1:6" ht="15" thickBot="1" x14ac:dyDescent="0.35">
      <c r="A19" s="500" t="s">
        <v>8</v>
      </c>
      <c r="B19" s="444">
        <f>SUM(B16:B18)</f>
        <v>0</v>
      </c>
      <c r="C19" s="237">
        <f>SUM(C16:C18)</f>
        <v>100</v>
      </c>
      <c r="D19" s="441">
        <f t="shared" si="3"/>
        <v>0</v>
      </c>
      <c r="E19" s="434">
        <f>M7</f>
        <v>1</v>
      </c>
      <c r="F19" s="276">
        <f>IF($E$19 &gt;1, 6, 0)</f>
        <v>0</v>
      </c>
    </row>
    <row r="20" spans="1:6" x14ac:dyDescent="0.3">
      <c r="F20" s="313"/>
    </row>
    <row r="22" spans="1:6" ht="15" thickBot="1" x14ac:dyDescent="0.35">
      <c r="A22" s="402" t="s">
        <v>79</v>
      </c>
      <c r="B22" s="403" t="s">
        <v>61</v>
      </c>
      <c r="C22" s="404" t="s">
        <v>60</v>
      </c>
      <c r="D22" s="409" t="s">
        <v>13</v>
      </c>
    </row>
    <row r="23" spans="1:6" x14ac:dyDescent="0.3">
      <c r="A23" s="304" t="s">
        <v>38</v>
      </c>
      <c r="B23" s="390"/>
      <c r="C23" s="408">
        <v>15</v>
      </c>
      <c r="D23" s="391">
        <f>B23/C23</f>
        <v>0</v>
      </c>
      <c r="E23" s="362"/>
      <c r="F23" s="313"/>
    </row>
    <row r="24" spans="1:6" x14ac:dyDescent="0.3">
      <c r="A24" s="304" t="s">
        <v>39</v>
      </c>
      <c r="B24" s="458"/>
      <c r="C24" s="459">
        <v>5</v>
      </c>
      <c r="D24" s="397">
        <f>B24/C24</f>
        <v>0</v>
      </c>
    </row>
    <row r="25" spans="1:6" ht="15" thickBot="1" x14ac:dyDescent="0.35">
      <c r="A25" s="305" t="s">
        <v>4</v>
      </c>
      <c r="B25" s="392"/>
      <c r="C25" s="393">
        <v>40</v>
      </c>
      <c r="D25" s="394">
        <f>B25/C25</f>
        <v>0</v>
      </c>
      <c r="F25" s="313"/>
    </row>
    <row r="26" spans="1:6" ht="15" thickBot="1" x14ac:dyDescent="0.35">
      <c r="A26" s="305" t="s">
        <v>5</v>
      </c>
      <c r="B26" s="395"/>
      <c r="C26" s="396">
        <v>40</v>
      </c>
      <c r="D26" s="397">
        <f>B26/C26</f>
        <v>0</v>
      </c>
      <c r="E26" s="406" t="s">
        <v>23</v>
      </c>
      <c r="F26" s="280" t="s">
        <v>50</v>
      </c>
    </row>
    <row r="27" spans="1:6" ht="15" thickBot="1" x14ac:dyDescent="0.35">
      <c r="A27" s="306" t="s">
        <v>8</v>
      </c>
      <c r="B27" s="454">
        <f>SUM(B23:B26)</f>
        <v>0</v>
      </c>
      <c r="C27" s="455">
        <v>100</v>
      </c>
      <c r="D27" s="456">
        <f>B27/C27</f>
        <v>0</v>
      </c>
      <c r="E27" s="457">
        <f>N7</f>
        <v>1</v>
      </c>
      <c r="F27" s="276">
        <f>IF($E$27 &gt;1, 6, 0)</f>
        <v>0</v>
      </c>
    </row>
    <row r="29" spans="1:6" ht="15" thickBot="1" x14ac:dyDescent="0.35"/>
    <row r="30" spans="1:6" ht="15" thickBot="1" x14ac:dyDescent="0.35">
      <c r="A30" s="471" t="s">
        <v>78</v>
      </c>
      <c r="B30" s="474" t="s">
        <v>61</v>
      </c>
      <c r="C30" s="475" t="s">
        <v>60</v>
      </c>
      <c r="D30" s="476" t="s">
        <v>13</v>
      </c>
      <c r="E30" s="315"/>
      <c r="F30" s="313"/>
    </row>
    <row r="31" spans="1:6" ht="15" thickBot="1" x14ac:dyDescent="0.35">
      <c r="A31" s="472" t="s">
        <v>4</v>
      </c>
      <c r="B31" s="464"/>
      <c r="C31" s="465">
        <v>50</v>
      </c>
      <c r="D31" s="466">
        <f>B31/C31</f>
        <v>0</v>
      </c>
      <c r="E31" s="460"/>
    </row>
    <row r="32" spans="1:6" x14ac:dyDescent="0.3">
      <c r="A32" s="472" t="s">
        <v>5</v>
      </c>
      <c r="B32" s="461"/>
      <c r="C32" s="462">
        <v>50</v>
      </c>
      <c r="D32" s="463">
        <f>B32/C32</f>
        <v>0</v>
      </c>
      <c r="E32" s="477" t="s">
        <v>23</v>
      </c>
      <c r="F32" s="280" t="s">
        <v>50</v>
      </c>
    </row>
    <row r="33" spans="1:6" ht="15" thickBot="1" x14ac:dyDescent="0.35">
      <c r="A33" s="473" t="s">
        <v>8</v>
      </c>
      <c r="B33" s="467">
        <f>SUM(B31:B32)</f>
        <v>0</v>
      </c>
      <c r="C33" s="468">
        <f>SUM(C31:C32)</f>
        <v>100</v>
      </c>
      <c r="D33" s="469">
        <f t="shared" ref="D33" si="4">B33/C33</f>
        <v>0</v>
      </c>
      <c r="E33" s="470">
        <f>O7</f>
        <v>1</v>
      </c>
      <c r="F33" s="276">
        <f>IF($E$33 &gt;1, 4, 0)</f>
        <v>0</v>
      </c>
    </row>
    <row r="35" spans="1:6" ht="15" thickBot="1" x14ac:dyDescent="0.35">
      <c r="F35" s="313"/>
    </row>
    <row r="36" spans="1:6" ht="15" thickBot="1" x14ac:dyDescent="0.35">
      <c r="A36" s="365" t="s">
        <v>70</v>
      </c>
      <c r="B36" s="368" t="s">
        <v>61</v>
      </c>
      <c r="C36" s="370" t="s">
        <v>60</v>
      </c>
      <c r="D36" s="369" t="s">
        <v>13</v>
      </c>
      <c r="E36" s="364"/>
    </row>
    <row r="37" spans="1:6" x14ac:dyDescent="0.3">
      <c r="A37" s="371" t="s">
        <v>39</v>
      </c>
      <c r="B37" s="378"/>
      <c r="C37" s="379">
        <v>20</v>
      </c>
      <c r="D37" s="380">
        <f>B37/C37</f>
        <v>0</v>
      </c>
      <c r="E37" s="364"/>
    </row>
    <row r="38" spans="1:6" x14ac:dyDescent="0.3">
      <c r="A38" s="373" t="s">
        <v>27</v>
      </c>
      <c r="B38" s="381"/>
      <c r="C38" s="382">
        <v>10</v>
      </c>
      <c r="D38" s="383">
        <f t="shared" ref="D38:D41" si="5">B38/C38</f>
        <v>0</v>
      </c>
      <c r="E38" s="364"/>
    </row>
    <row r="39" spans="1:6" ht="15" thickBot="1" x14ac:dyDescent="0.35">
      <c r="A39" s="374" t="s">
        <v>4</v>
      </c>
      <c r="B39" s="385"/>
      <c r="C39" s="386">
        <v>30</v>
      </c>
      <c r="D39" s="387">
        <f t="shared" si="5"/>
        <v>0</v>
      </c>
      <c r="E39" s="364"/>
    </row>
    <row r="40" spans="1:6" x14ac:dyDescent="0.3">
      <c r="A40" s="384" t="s">
        <v>5</v>
      </c>
      <c r="B40" s="382"/>
      <c r="C40" s="382">
        <v>40</v>
      </c>
      <c r="D40" s="389">
        <f t="shared" si="5"/>
        <v>0</v>
      </c>
      <c r="E40" s="407" t="s">
        <v>23</v>
      </c>
      <c r="F40" s="366" t="s">
        <v>50</v>
      </c>
    </row>
    <row r="41" spans="1:6" ht="15" thickBot="1" x14ac:dyDescent="0.35">
      <c r="A41" s="372" t="s">
        <v>8</v>
      </c>
      <c r="B41" s="375">
        <f>SUM(B37:B40)</f>
        <v>0</v>
      </c>
      <c r="C41" s="376">
        <f>SUM(C37:C40)</f>
        <v>100</v>
      </c>
      <c r="D41" s="377">
        <f t="shared" si="5"/>
        <v>0</v>
      </c>
      <c r="E41" s="388">
        <f>P7</f>
        <v>1</v>
      </c>
      <c r="F41" s="367">
        <f>IF($E$41 &gt;1, 2, 0)</f>
        <v>0</v>
      </c>
    </row>
  </sheetData>
  <conditionalFormatting sqref="D2:D5 D23:D27 D31:D33">
    <cfRule type="dataBar" priority="2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{2500E388-8E79-4A94-8BCD-41623916022A}</x14:id>
        </ext>
      </extLst>
    </cfRule>
  </conditionalFormatting>
  <conditionalFormatting sqref="D5">
    <cfRule type="iconSet" priority="24">
      <iconSet iconSet="3Symbols2">
        <cfvo type="percent" val="0"/>
        <cfvo type="num" val="0.45"/>
        <cfvo type="num" val="0.45"/>
      </iconSet>
    </cfRule>
  </conditionalFormatting>
  <conditionalFormatting sqref="D9:D12">
    <cfRule type="dataBar" priority="2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{BCFCDA0C-851E-4CDD-848B-36571DE961B9}</x14:id>
        </ext>
      </extLst>
    </cfRule>
  </conditionalFormatting>
  <conditionalFormatting sqref="D11">
    <cfRule type="iconSet" priority="2">
      <iconSet iconSet="3Symbols2">
        <cfvo type="percent" val="0"/>
        <cfvo type="num" val="0.4"/>
        <cfvo type="num" val="0.4"/>
      </iconSet>
    </cfRule>
  </conditionalFormatting>
  <conditionalFormatting sqref="D12">
    <cfRule type="iconSet" priority="1">
      <iconSet iconSet="3Symbols2">
        <cfvo type="percent" val="0"/>
        <cfvo type="num" val="0.5"/>
        <cfvo type="num" val="0.5"/>
      </iconSet>
    </cfRule>
  </conditionalFormatting>
  <conditionalFormatting sqref="D16">
    <cfRule type="iconSet" priority="18">
      <iconSet iconSet="3Symbols2">
        <cfvo type="percent" val="0"/>
        <cfvo type="num" val="0.2"/>
        <cfvo type="num" val="0.2"/>
      </iconSet>
    </cfRule>
  </conditionalFormatting>
  <conditionalFormatting sqref="D16:D19">
    <cfRule type="dataBar" priority="2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{09080579-47EE-4160-8D47-9271C88BF7CF}</x14:id>
        </ext>
      </extLst>
    </cfRule>
  </conditionalFormatting>
  <conditionalFormatting sqref="D19">
    <cfRule type="iconSet" priority="17">
      <iconSet iconSet="3Symbols2">
        <cfvo type="percent" val="0"/>
        <cfvo type="num" val="0.5"/>
        <cfvo type="num" val="0.5"/>
      </iconSet>
    </cfRule>
  </conditionalFormatting>
  <conditionalFormatting sqref="D27">
    <cfRule type="iconSet" priority="13">
      <iconSet iconSet="3Symbols2">
        <cfvo type="percent" val="0"/>
        <cfvo type="num" val="0.45"/>
        <cfvo type="num" val="0.45"/>
      </iconSet>
    </cfRule>
  </conditionalFormatting>
  <conditionalFormatting sqref="D31:D32">
    <cfRule type="iconSet" priority="7">
      <iconSet iconSet="3Symbols2">
        <cfvo type="percent" val="0"/>
        <cfvo type="num" val="0.1"/>
        <cfvo type="num" val="0.1"/>
      </iconSet>
    </cfRule>
  </conditionalFormatting>
  <conditionalFormatting sqref="D33">
    <cfRule type="iconSet" priority="8">
      <iconSet iconSet="3Symbols2">
        <cfvo type="percent" val="0"/>
        <cfvo type="num" val="0.5"/>
        <cfvo type="num" val="0.5"/>
      </iconSet>
    </cfRule>
  </conditionalFormatting>
  <conditionalFormatting sqref="D37:D41">
    <cfRule type="dataBar" priority="5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{CE878BD2-918E-4A8D-85C7-085745AC1481}</x14:id>
        </ext>
      </extLst>
    </cfRule>
  </conditionalFormatting>
  <conditionalFormatting sqref="D39">
    <cfRule type="iconSet" priority="4">
      <iconSet iconSet="3Symbols2">
        <cfvo type="percent" val="0"/>
        <cfvo type="num" val="0.33"/>
        <cfvo type="num" val="0.33"/>
      </iconSet>
    </cfRule>
  </conditionalFormatting>
  <conditionalFormatting sqref="D40">
    <cfRule type="iconSet" priority="3">
      <iconSet iconSet="3Symbols2">
        <cfvo type="percent" val="0"/>
        <cfvo type="num" val="0.375"/>
        <cfvo type="num" val="0.375"/>
      </iconSe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00E388-8E79-4A94-8BCD-41623916022A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D2:D5 D23:D27 D31:D33</xm:sqref>
        </x14:conditionalFormatting>
        <x14:conditionalFormatting xmlns:xm="http://schemas.microsoft.com/office/excel/2006/main">
          <x14:cfRule type="dataBar" id="{BCFCDA0C-851E-4CDD-848B-36571DE961B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D9:D12</xm:sqref>
        </x14:conditionalFormatting>
        <x14:conditionalFormatting xmlns:xm="http://schemas.microsoft.com/office/excel/2006/main">
          <x14:cfRule type="dataBar" id="{09080579-47EE-4160-8D47-9271C88BF7CF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D16:D19</xm:sqref>
        </x14:conditionalFormatting>
        <x14:conditionalFormatting xmlns:xm="http://schemas.microsoft.com/office/excel/2006/main">
          <x14:cfRule type="dataBar" id="{CE878BD2-918E-4A8D-85C7-085745AC148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B0F0"/>
              <x14:negativeFillColor rgb="FFFF0000"/>
              <x14:negativeBorderColor rgb="FFFF0000"/>
              <x14:axisColor rgb="FF000000"/>
            </x14:dataBar>
          </x14:cfRule>
          <xm:sqref>D37:D41</xm:sqref>
        </x14:conditionalFormatting>
        <x14:conditionalFormatting xmlns:xm="http://schemas.microsoft.com/office/excel/2006/main">
          <x14:cfRule type="iconSet" priority="27" id="{714A0C7B-8162-4D3C-B7CA-8AB2E04CE162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E5</xm:sqref>
        </x14:conditionalFormatting>
        <x14:conditionalFormatting xmlns:xm="http://schemas.microsoft.com/office/excel/2006/main">
          <x14:cfRule type="iconSet" priority="20" id="{BDDFCBAF-0C6C-4252-A0AD-0C90E084E811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E12</xm:sqref>
        </x14:conditionalFormatting>
        <x14:conditionalFormatting xmlns:xm="http://schemas.microsoft.com/office/excel/2006/main">
          <x14:cfRule type="iconSet" priority="19" id="{0AB63D4A-059B-4E82-88D1-80D90AA3407D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E19</xm:sqref>
        </x14:conditionalFormatting>
        <x14:conditionalFormatting xmlns:xm="http://schemas.microsoft.com/office/excel/2006/main">
          <x14:cfRule type="iconSet" priority="12" id="{7E28359C-6346-4C44-B911-930BA6E3C10B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E27</xm:sqref>
        </x14:conditionalFormatting>
        <x14:conditionalFormatting xmlns:xm="http://schemas.microsoft.com/office/excel/2006/main">
          <x14:cfRule type="iconSet" priority="10" id="{25059374-50F8-4BF6-89F6-FD8670E23659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E33</xm:sqref>
        </x14:conditionalFormatting>
        <x14:conditionalFormatting xmlns:xm="http://schemas.microsoft.com/office/excel/2006/main">
          <x14:cfRule type="iconSet" priority="6" id="{71E8C96B-5959-4D5B-826F-FE913C21C451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E41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657A-9D11-4684-9C5F-ACC9D1E0BB2B}">
  <sheetPr>
    <tabColor rgb="FFFFC000"/>
  </sheetPr>
  <dimension ref="A1:Y550"/>
  <sheetViews>
    <sheetView topLeftCell="A19" zoomScale="92" workbookViewId="0">
      <selection activeCell="B4" sqref="B4"/>
    </sheetView>
  </sheetViews>
  <sheetFormatPr defaultRowHeight="14.4" x14ac:dyDescent="0.3"/>
  <cols>
    <col min="1" max="1" width="13.109375" style="300" customWidth="1"/>
    <col min="2" max="2" width="11.21875" style="300" bestFit="1" customWidth="1"/>
    <col min="3" max="3" width="8.88671875" style="300"/>
    <col min="4" max="4" width="14.109375" style="300" customWidth="1"/>
    <col min="5" max="6" width="8.88671875" style="300"/>
    <col min="7" max="7" width="9.33203125" style="300" customWidth="1"/>
    <col min="8" max="8" width="8.88671875" style="300"/>
    <col min="9" max="9" width="14.21875" style="300" customWidth="1"/>
    <col min="10" max="10" width="11.21875" style="307" bestFit="1" customWidth="1"/>
    <col min="11" max="11" width="8.88671875" style="300"/>
    <col min="12" max="12" width="13.33203125" style="300" customWidth="1"/>
    <col min="13" max="13" width="8.88671875" style="300"/>
    <col min="14" max="14" width="10" style="300" customWidth="1"/>
    <col min="15" max="16384" width="8.88671875" style="300"/>
  </cols>
  <sheetData>
    <row r="1" spans="1:25" ht="15" thickBot="1" x14ac:dyDescent="0.35">
      <c r="A1" s="402" t="s">
        <v>59</v>
      </c>
      <c r="B1" s="403" t="s">
        <v>61</v>
      </c>
      <c r="C1" s="404" t="s">
        <v>60</v>
      </c>
      <c r="D1" s="409" t="s">
        <v>13</v>
      </c>
      <c r="F1" s="279" t="s">
        <v>55</v>
      </c>
      <c r="G1" s="520"/>
      <c r="I1" s="478" t="s">
        <v>71</v>
      </c>
      <c r="J1" s="505" t="s">
        <v>61</v>
      </c>
      <c r="K1" s="483" t="s">
        <v>60</v>
      </c>
      <c r="L1" s="484" t="s">
        <v>13</v>
      </c>
      <c r="N1" s="279" t="s">
        <v>55</v>
      </c>
      <c r="R1" s="415"/>
      <c r="S1" s="316" t="s">
        <v>15</v>
      </c>
      <c r="T1" s="316" t="s">
        <v>65</v>
      </c>
      <c r="U1" s="316" t="s">
        <v>62</v>
      </c>
      <c r="V1" s="316" t="s">
        <v>63</v>
      </c>
      <c r="W1" s="316" t="s">
        <v>45</v>
      </c>
      <c r="X1" s="316" t="s">
        <v>64</v>
      </c>
      <c r="Y1" s="316" t="s">
        <v>66</v>
      </c>
    </row>
    <row r="2" spans="1:25" ht="15" thickBot="1" x14ac:dyDescent="0.35">
      <c r="A2" s="304" t="s">
        <v>38</v>
      </c>
      <c r="B2" s="390">
        <f>SEM3_E!B2</f>
        <v>0</v>
      </c>
      <c r="C2" s="408">
        <v>12</v>
      </c>
      <c r="D2" s="391">
        <f>B2/C2</f>
        <v>0</v>
      </c>
      <c r="E2" s="429"/>
      <c r="F2" s="277">
        <f>SUM(F5:F40)</f>
        <v>0</v>
      </c>
      <c r="G2" s="520"/>
      <c r="I2" s="479" t="s">
        <v>72</v>
      </c>
      <c r="J2" s="558">
        <f>SEM3_R!B2</f>
        <v>0</v>
      </c>
      <c r="K2" s="423">
        <v>10</v>
      </c>
      <c r="L2" s="433">
        <f>J2/K2</f>
        <v>0</v>
      </c>
      <c r="N2" s="277">
        <f>SUM(N4:N42)</f>
        <v>0</v>
      </c>
      <c r="R2" s="415"/>
      <c r="S2" s="316">
        <v>1</v>
      </c>
      <c r="T2" s="316">
        <v>1</v>
      </c>
      <c r="U2" s="316">
        <v>1</v>
      </c>
      <c r="V2" s="316">
        <v>1</v>
      </c>
      <c r="W2" s="316">
        <v>1</v>
      </c>
      <c r="X2" s="316">
        <v>1</v>
      </c>
      <c r="Y2" s="316">
        <v>1</v>
      </c>
    </row>
    <row r="3" spans="1:25" ht="15" thickBot="1" x14ac:dyDescent="0.35">
      <c r="A3" s="305" t="s">
        <v>48</v>
      </c>
      <c r="B3" s="395"/>
      <c r="C3" s="396">
        <v>50</v>
      </c>
      <c r="D3" s="397">
        <f>B3/C3</f>
        <v>0</v>
      </c>
      <c r="F3" s="314"/>
      <c r="G3" s="520"/>
      <c r="I3" s="480" t="s">
        <v>48</v>
      </c>
      <c r="J3" s="506"/>
      <c r="K3" s="424">
        <v>40</v>
      </c>
      <c r="L3" s="420">
        <f>J3/K3</f>
        <v>0</v>
      </c>
      <c r="M3" s="427" t="s">
        <v>23</v>
      </c>
      <c r="N3" s="280" t="s">
        <v>50</v>
      </c>
      <c r="R3" s="415"/>
      <c r="S3" s="316">
        <v>2</v>
      </c>
      <c r="T3" s="316">
        <f>IF($B5 &gt;= 50, 1, 0)</f>
        <v>0</v>
      </c>
      <c r="U3" s="316">
        <f>IF($B$14 &gt;= 50, 1, 0)</f>
        <v>0</v>
      </c>
      <c r="V3" s="316">
        <f>IF($B$22 &gt;= 50, 1, 0)</f>
        <v>0</v>
      </c>
      <c r="W3" s="316">
        <f>IF($B$29 &gt;= 45, 1,)</f>
        <v>0</v>
      </c>
      <c r="X3" s="316">
        <f>IF($B$37 &gt;= 50, 1,)</f>
        <v>0</v>
      </c>
      <c r="Y3" s="316">
        <f>IF($B$45 &gt;= 50, 1,)</f>
        <v>0</v>
      </c>
    </row>
    <row r="4" spans="1:25" ht="15" thickBot="1" x14ac:dyDescent="0.35">
      <c r="A4" s="305" t="s">
        <v>49</v>
      </c>
      <c r="B4" s="392"/>
      <c r="C4" s="393">
        <v>38</v>
      </c>
      <c r="D4" s="394">
        <f>B4/C4</f>
        <v>0</v>
      </c>
      <c r="E4" s="406" t="s">
        <v>23</v>
      </c>
      <c r="F4" s="280" t="s">
        <v>50</v>
      </c>
      <c r="G4" s="520"/>
      <c r="I4" s="481" t="s">
        <v>54</v>
      </c>
      <c r="J4" s="554">
        <f>SUM(J2:J3)</f>
        <v>0</v>
      </c>
      <c r="K4" s="555">
        <f>SUM(K2:K3)</f>
        <v>50</v>
      </c>
      <c r="L4" s="556">
        <f>J4/K4</f>
        <v>0</v>
      </c>
      <c r="M4" s="557">
        <f>T7</f>
        <v>1</v>
      </c>
      <c r="N4" s="276">
        <f>IF($M$4 &gt;1, 6, 0)</f>
        <v>0</v>
      </c>
      <c r="R4" s="415"/>
      <c r="S4" s="316">
        <v>3</v>
      </c>
      <c r="T4" s="316">
        <f>IF($B$5 &gt;= 62, 1, 0)</f>
        <v>0</v>
      </c>
      <c r="U4" s="316">
        <f>IF($B$14 &gt;= 62, 1, 0)</f>
        <v>0</v>
      </c>
      <c r="V4" s="316">
        <f>IF($B$22 &gt;= 60, 1, )</f>
        <v>0</v>
      </c>
      <c r="W4" s="316">
        <f>IF($B$29 &gt;= 55, 1, )</f>
        <v>0</v>
      </c>
      <c r="X4" s="316">
        <f>IF($B$37 &gt;= 63, 1,)</f>
        <v>0</v>
      </c>
      <c r="Y4" s="316">
        <f>IF($B$45 &gt;= 60, 1,)</f>
        <v>0</v>
      </c>
    </row>
    <row r="5" spans="1:25" ht="15" thickBot="1" x14ac:dyDescent="0.35">
      <c r="A5" s="306" t="s">
        <v>8</v>
      </c>
      <c r="B5" s="398">
        <f>SUM(B2:B4)</f>
        <v>0</v>
      </c>
      <c r="C5" s="399">
        <v>100</v>
      </c>
      <c r="D5" s="400">
        <f>B5/C5</f>
        <v>0</v>
      </c>
      <c r="E5" s="401">
        <f>T7</f>
        <v>1</v>
      </c>
      <c r="F5" s="276">
        <f>IF($E$5 &gt;1, 6, 0)</f>
        <v>0</v>
      </c>
      <c r="G5" s="520"/>
      <c r="R5" s="415"/>
      <c r="S5" s="316">
        <v>4</v>
      </c>
      <c r="T5" s="316">
        <f>IF($B$5 &gt;= 75, 1, 0)</f>
        <v>0</v>
      </c>
      <c r="U5" s="316">
        <f>IF($B$14 &gt;= 75, 1, 0)</f>
        <v>0</v>
      </c>
      <c r="V5" s="316">
        <f>IF($B$22 &gt;= 70, 1, 0)</f>
        <v>0</v>
      </c>
      <c r="W5" s="316">
        <f>IF($B$29 &gt;= 70, 1, )</f>
        <v>0</v>
      </c>
      <c r="X5" s="316">
        <f>IF($B$37 &gt;= 76, 1,)</f>
        <v>0</v>
      </c>
      <c r="Y5" s="316">
        <f>IF($B$45 &gt;= 72, 1,)</f>
        <v>0</v>
      </c>
    </row>
    <row r="6" spans="1:25" ht="15" thickBot="1" x14ac:dyDescent="0.35">
      <c r="A6" s="307"/>
      <c r="B6" s="338"/>
      <c r="C6" s="338"/>
      <c r="D6" s="338"/>
      <c r="G6" s="520"/>
      <c r="I6" s="338"/>
      <c r="L6" s="414"/>
      <c r="R6" s="415"/>
      <c r="S6" s="316">
        <v>5</v>
      </c>
      <c r="T6" s="316">
        <f>IF($B$5 &gt;= 87, 1, 0)</f>
        <v>0</v>
      </c>
      <c r="U6" s="316">
        <f>IF($B$14 &gt;= 90, 1, 0)</f>
        <v>0</v>
      </c>
      <c r="V6" s="316">
        <f>IF($B$22 &gt;= 85, 1, 0)</f>
        <v>0</v>
      </c>
      <c r="W6" s="316">
        <f>IF($B$29 &gt;= 85, 1, 0)</f>
        <v>0</v>
      </c>
      <c r="X6" s="316">
        <f>IF($B$37 &gt;= 89, 1,)</f>
        <v>0</v>
      </c>
      <c r="Y6" s="316">
        <f>IF($B$45 &gt;= 85, 1,)</f>
        <v>0</v>
      </c>
    </row>
    <row r="7" spans="1:25" ht="15" thickBot="1" x14ac:dyDescent="0.35">
      <c r="A7" s="307"/>
      <c r="B7" s="338"/>
      <c r="C7" s="338"/>
      <c r="D7" s="338"/>
      <c r="G7" s="520"/>
      <c r="I7" s="524" t="s">
        <v>74</v>
      </c>
      <c r="J7" s="507" t="s">
        <v>61</v>
      </c>
      <c r="K7" s="494" t="s">
        <v>60</v>
      </c>
      <c r="L7" s="495" t="s">
        <v>13</v>
      </c>
      <c r="R7" s="415"/>
      <c r="S7" s="316" t="s">
        <v>17</v>
      </c>
      <c r="T7" s="316">
        <f>SUM(T2:T6)</f>
        <v>1</v>
      </c>
      <c r="U7" s="316">
        <f t="shared" ref="U7:W7" si="0">SUM(U2:U6)</f>
        <v>1</v>
      </c>
      <c r="V7" s="316">
        <f t="shared" si="0"/>
        <v>1</v>
      </c>
      <c r="W7" s="316">
        <f t="shared" si="0"/>
        <v>1</v>
      </c>
      <c r="X7" s="316">
        <f>SUM(X2:X6)</f>
        <v>1</v>
      </c>
      <c r="Y7" s="316">
        <f>SUM(Y2:Y6)</f>
        <v>1</v>
      </c>
    </row>
    <row r="8" spans="1:25" ht="15" thickBot="1" x14ac:dyDescent="0.35">
      <c r="A8" s="308" t="s">
        <v>58</v>
      </c>
      <c r="B8" s="339" t="s">
        <v>61</v>
      </c>
      <c r="C8" s="339" t="s">
        <v>60</v>
      </c>
      <c r="D8" s="339" t="s">
        <v>13</v>
      </c>
      <c r="G8" s="520"/>
      <c r="H8" s="528"/>
      <c r="I8" s="525" t="s">
        <v>38</v>
      </c>
      <c r="J8" s="516">
        <f>SEM3_R!B9</f>
        <v>0</v>
      </c>
      <c r="K8" s="448">
        <v>15</v>
      </c>
      <c r="L8" s="485">
        <f>J8/K8</f>
        <v>0</v>
      </c>
      <c r="N8" s="313"/>
      <c r="R8" s="415"/>
      <c r="S8" s="415"/>
      <c r="T8" s="415"/>
      <c r="U8" s="415"/>
      <c r="V8" s="415"/>
      <c r="W8" s="415"/>
      <c r="X8" s="415"/>
      <c r="Y8" s="415"/>
    </row>
    <row r="9" spans="1:25" ht="15" thickBot="1" x14ac:dyDescent="0.35">
      <c r="A9" s="309" t="s">
        <v>38</v>
      </c>
      <c r="B9" s="560">
        <f>SEM3_E!B9</f>
        <v>0</v>
      </c>
      <c r="C9" s="340">
        <v>15</v>
      </c>
      <c r="D9" s="302">
        <f>B9/C9</f>
        <v>0</v>
      </c>
      <c r="F9" s="313"/>
      <c r="G9" s="520"/>
      <c r="H9" s="528"/>
      <c r="I9" s="526" t="s">
        <v>4</v>
      </c>
      <c r="J9" s="517"/>
      <c r="K9" s="432">
        <v>40</v>
      </c>
      <c r="L9" s="488">
        <f t="shared" ref="L9:L10" si="1">J9/K9</f>
        <v>0</v>
      </c>
      <c r="M9" s="449"/>
      <c r="N9" s="313"/>
      <c r="R9" s="415"/>
      <c r="S9" s="415"/>
      <c r="T9" s="415"/>
      <c r="U9" s="415"/>
      <c r="V9" s="415"/>
      <c r="W9" s="415"/>
      <c r="X9" s="415"/>
      <c r="Y9" s="415"/>
    </row>
    <row r="10" spans="1:25" x14ac:dyDescent="0.3">
      <c r="A10" s="310" t="s">
        <v>39</v>
      </c>
      <c r="B10" s="561">
        <f>SEM3_E!B10</f>
        <v>0</v>
      </c>
      <c r="C10" s="341">
        <v>8</v>
      </c>
      <c r="D10" s="410">
        <f t="shared" ref="D10:D11" si="2">B10/C10</f>
        <v>0</v>
      </c>
      <c r="F10" s="313"/>
      <c r="G10" s="520"/>
      <c r="H10" s="528"/>
      <c r="I10" s="526" t="s">
        <v>5</v>
      </c>
      <c r="J10" s="518"/>
      <c r="K10" s="431">
        <v>45</v>
      </c>
      <c r="L10" s="486">
        <f t="shared" si="1"/>
        <v>0</v>
      </c>
      <c r="M10" s="496" t="s">
        <v>23</v>
      </c>
      <c r="N10" s="280" t="s">
        <v>50</v>
      </c>
      <c r="R10" s="415"/>
      <c r="S10" s="415"/>
      <c r="T10" s="415"/>
      <c r="U10" s="415"/>
      <c r="V10" s="415"/>
      <c r="W10" s="415"/>
      <c r="X10" s="415"/>
      <c r="Y10" s="415"/>
    </row>
    <row r="11" spans="1:25" ht="15" thickBot="1" x14ac:dyDescent="0.35">
      <c r="A11" s="310" t="s">
        <v>67</v>
      </c>
      <c r="B11" s="342">
        <f>SEM3_E!B11</f>
        <v>0</v>
      </c>
      <c r="C11" s="343">
        <v>2</v>
      </c>
      <c r="D11" s="411">
        <f t="shared" si="2"/>
        <v>0</v>
      </c>
      <c r="F11" s="313"/>
      <c r="G11" s="520"/>
      <c r="H11" s="528"/>
      <c r="I11" s="527" t="s">
        <v>21</v>
      </c>
      <c r="J11" s="519">
        <f>SUM(J8:J10)</f>
        <v>0</v>
      </c>
      <c r="K11" s="453">
        <f>SUM(K8:K10)</f>
        <v>100</v>
      </c>
      <c r="L11" s="487">
        <f>J11/K11</f>
        <v>0</v>
      </c>
      <c r="M11" s="430">
        <f>T7</f>
        <v>1</v>
      </c>
      <c r="N11" s="276">
        <f>IF(M11 &gt;1, 6, 0)</f>
        <v>0</v>
      </c>
      <c r="R11" s="415"/>
      <c r="S11" s="552" t="s">
        <v>73</v>
      </c>
      <c r="T11" s="552" t="s">
        <v>75</v>
      </c>
      <c r="U11" s="552" t="s">
        <v>74</v>
      </c>
      <c r="V11" s="552" t="s">
        <v>76</v>
      </c>
      <c r="W11" s="552" t="s">
        <v>77</v>
      </c>
      <c r="X11" s="552" t="s">
        <v>78</v>
      </c>
      <c r="Y11" s="316" t="s">
        <v>66</v>
      </c>
    </row>
    <row r="12" spans="1:25" ht="15" thickBot="1" x14ac:dyDescent="0.35">
      <c r="A12" s="310" t="s">
        <v>48</v>
      </c>
      <c r="B12" s="342"/>
      <c r="C12" s="343">
        <v>40</v>
      </c>
      <c r="D12" s="412">
        <f>B12/C12</f>
        <v>0</v>
      </c>
      <c r="E12" s="405" t="s">
        <v>23</v>
      </c>
      <c r="F12" s="280" t="s">
        <v>50</v>
      </c>
      <c r="G12" s="520"/>
      <c r="R12" s="415"/>
      <c r="S12" s="552">
        <v>1</v>
      </c>
      <c r="T12" s="316">
        <v>1</v>
      </c>
      <c r="U12" s="316">
        <v>1</v>
      </c>
      <c r="V12" s="316">
        <v>1</v>
      </c>
      <c r="W12" s="316">
        <v>1</v>
      </c>
      <c r="X12" s="316">
        <v>1</v>
      </c>
      <c r="Y12" s="316">
        <v>1</v>
      </c>
    </row>
    <row r="13" spans="1:25" ht="15" thickBot="1" x14ac:dyDescent="0.35">
      <c r="A13" s="311" t="s">
        <v>8</v>
      </c>
      <c r="B13" s="344">
        <f>SUM(B9:B12)</f>
        <v>0</v>
      </c>
      <c r="C13" s="344">
        <f>SUM(C9:C12)</f>
        <v>65</v>
      </c>
      <c r="D13" s="413">
        <f>B13/C13</f>
        <v>0</v>
      </c>
      <c r="E13" s="312">
        <f>U7</f>
        <v>1</v>
      </c>
      <c r="F13" s="276">
        <f>IF($E$13 &gt;1, 5, 0)</f>
        <v>0</v>
      </c>
      <c r="G13" s="520"/>
      <c r="I13" s="338"/>
      <c r="L13" s="414"/>
      <c r="R13" s="415"/>
      <c r="S13" s="552">
        <v>2</v>
      </c>
      <c r="T13" s="316">
        <f>IF($J4 &gt;= 45, 1, 0)</f>
        <v>0</v>
      </c>
      <c r="U13" s="316">
        <f>IF($J$11 &gt;= 50, 1, 0)</f>
        <v>0</v>
      </c>
      <c r="V13" s="316">
        <f>IF($J$17 &gt;= 50, 1, 0)</f>
        <v>0</v>
      </c>
      <c r="W13" s="316">
        <f>IF($J$24 &gt;= 45, 1,)</f>
        <v>0</v>
      </c>
      <c r="X13" s="316">
        <f>IF($J$29 &gt;= 40, 1,)</f>
        <v>0</v>
      </c>
      <c r="Y13" s="316">
        <f>IF($J$37 &gt;= 50, 1,)</f>
        <v>0</v>
      </c>
    </row>
    <row r="14" spans="1:25" ht="15" thickBot="1" x14ac:dyDescent="0.35">
      <c r="A14" s="307"/>
      <c r="B14" s="338"/>
      <c r="C14" s="338"/>
      <c r="D14" s="338"/>
      <c r="G14" s="520"/>
      <c r="H14" s="528"/>
      <c r="I14" s="529" t="s">
        <v>76</v>
      </c>
      <c r="J14" s="501" t="s">
        <v>61</v>
      </c>
      <c r="K14" s="502" t="s">
        <v>60</v>
      </c>
      <c r="L14" s="503" t="s">
        <v>13</v>
      </c>
      <c r="M14" s="307"/>
      <c r="R14" s="415"/>
      <c r="S14" s="552">
        <v>3</v>
      </c>
      <c r="T14" s="316">
        <f>IF($J$4 &gt;= 55, 1, 0)</f>
        <v>0</v>
      </c>
      <c r="U14" s="316">
        <f>IF($J$11 &gt;= 62.5, 1, 0)</f>
        <v>0</v>
      </c>
      <c r="V14" s="316">
        <f>IF($J$17 &gt;= 65, 1, 0)</f>
        <v>0</v>
      </c>
      <c r="W14" s="316">
        <f>IF($J$24 &gt;= 50, 1,)</f>
        <v>0</v>
      </c>
      <c r="X14" s="316">
        <f>IF($J$29 &gt;= 55, 1,)</f>
        <v>0</v>
      </c>
      <c r="Y14" s="316">
        <f>IF($J$37 &gt;= 60, 1,)</f>
        <v>0</v>
      </c>
    </row>
    <row r="15" spans="1:25" ht="15" thickBot="1" x14ac:dyDescent="0.35">
      <c r="A15" s="307"/>
      <c r="B15" s="338"/>
      <c r="C15" s="338"/>
      <c r="D15" s="338"/>
      <c r="G15" s="520"/>
      <c r="H15" s="528"/>
      <c r="I15" s="530" t="s">
        <v>38</v>
      </c>
      <c r="J15" s="445">
        <f>SEM3_R!B16</f>
        <v>0</v>
      </c>
      <c r="K15" s="446">
        <v>15</v>
      </c>
      <c r="L15" s="447">
        <f>J15/K15</f>
        <v>0</v>
      </c>
      <c r="M15" s="307"/>
      <c r="R15" s="415"/>
      <c r="S15" s="552">
        <v>4</v>
      </c>
      <c r="T15" s="316">
        <f>IF($J$4 &gt;= 70, 1, 0)</f>
        <v>0</v>
      </c>
      <c r="U15" s="316">
        <f>IF($J$11 &gt;= 75, 1, 0)</f>
        <v>0</v>
      </c>
      <c r="V15" s="316">
        <f>IF($B$5 &gt;= 80, 1, 0)</f>
        <v>0</v>
      </c>
      <c r="W15" s="316">
        <f>IF($J$24 &gt;= 70, 1,)</f>
        <v>0</v>
      </c>
      <c r="X15" s="316">
        <f>IF($J$29 &gt;= 70, 1,)</f>
        <v>0</v>
      </c>
      <c r="Y15" s="316">
        <f>IF($J$37 &gt;= 72, 1,)</f>
        <v>0</v>
      </c>
    </row>
    <row r="16" spans="1:25" ht="15" thickBot="1" x14ac:dyDescent="0.35">
      <c r="A16" s="319" t="s">
        <v>32</v>
      </c>
      <c r="B16" s="320" t="s">
        <v>6</v>
      </c>
      <c r="C16" s="321" t="s">
        <v>60</v>
      </c>
      <c r="D16" s="322" t="s">
        <v>13</v>
      </c>
      <c r="F16" s="313"/>
      <c r="G16" s="520"/>
      <c r="H16" s="528"/>
      <c r="I16" s="531" t="s">
        <v>48</v>
      </c>
      <c r="J16" s="442"/>
      <c r="K16" s="318">
        <v>45</v>
      </c>
      <c r="L16" s="438">
        <f>J16/K16</f>
        <v>0</v>
      </c>
      <c r="M16" s="504" t="s">
        <v>23</v>
      </c>
      <c r="N16" s="280" t="s">
        <v>50</v>
      </c>
      <c r="R16" s="415"/>
      <c r="S16" s="552">
        <v>5</v>
      </c>
      <c r="T16" s="316">
        <f>IF($J$4 &gt;= 85, 1, 0)</f>
        <v>0</v>
      </c>
      <c r="U16" s="316">
        <f>IF($J$11 &gt;= 87.5, 1, 0)</f>
        <v>0</v>
      </c>
      <c r="V16" s="316">
        <f>IF($J$17 &gt;= 90, 1, 0)</f>
        <v>0</v>
      </c>
      <c r="W16" s="316">
        <f>IF($J$24 &gt;= 85, 1,)</f>
        <v>0</v>
      </c>
      <c r="X16" s="316">
        <f>IF($J$29 &gt;= 85, 1,)</f>
        <v>0</v>
      </c>
      <c r="Y16" s="316">
        <f>IF($J$37 &gt;= 85, 1,)</f>
        <v>0</v>
      </c>
    </row>
    <row r="17" spans="1:25" ht="15" thickBot="1" x14ac:dyDescent="0.35">
      <c r="A17" s="323" t="s">
        <v>1</v>
      </c>
      <c r="B17" s="559">
        <f>SEM3_E!B18</f>
        <v>0</v>
      </c>
      <c r="C17" s="325">
        <v>10</v>
      </c>
      <c r="D17" s="326">
        <f>B17/C17</f>
        <v>0</v>
      </c>
      <c r="E17" s="327" t="s">
        <v>80</v>
      </c>
      <c r="F17" s="313"/>
      <c r="G17" s="520"/>
      <c r="H17" s="528"/>
      <c r="I17" s="532" t="s">
        <v>8</v>
      </c>
      <c r="J17" s="444">
        <f>SUM(J15:J16)</f>
        <v>0</v>
      </c>
      <c r="K17" s="237">
        <f>SUM(K15:K16)</f>
        <v>60</v>
      </c>
      <c r="L17" s="441">
        <f>J17/K17</f>
        <v>0</v>
      </c>
      <c r="M17" s="434">
        <f>U7</f>
        <v>1</v>
      </c>
      <c r="N17" s="276">
        <f>IF($E$18 &gt;1, 6, 0)</f>
        <v>0</v>
      </c>
      <c r="R17" s="415"/>
      <c r="S17" s="552" t="s">
        <v>17</v>
      </c>
      <c r="T17" s="316">
        <f t="shared" ref="T17:Y17" si="3">SUM(T12:T16)</f>
        <v>1</v>
      </c>
      <c r="U17" s="316">
        <f>SUM(U12:U16)</f>
        <v>1</v>
      </c>
      <c r="V17" s="316">
        <f t="shared" si="3"/>
        <v>1</v>
      </c>
      <c r="W17" s="316">
        <f t="shared" si="3"/>
        <v>1</v>
      </c>
      <c r="X17" s="316">
        <f t="shared" si="3"/>
        <v>1</v>
      </c>
      <c r="Y17" s="316">
        <f t="shared" si="3"/>
        <v>1</v>
      </c>
    </row>
    <row r="18" spans="1:25" ht="15" thickBot="1" x14ac:dyDescent="0.35">
      <c r="A18" s="328" t="s">
        <v>39</v>
      </c>
      <c r="B18" s="331">
        <f>SEM3_E!B19</f>
        <v>0</v>
      </c>
      <c r="C18" s="317">
        <v>10</v>
      </c>
      <c r="D18" s="330">
        <f t="shared" ref="D18" si="4">B18/C18</f>
        <v>0</v>
      </c>
      <c r="F18" s="313"/>
      <c r="G18" s="520"/>
      <c r="S18" s="522"/>
      <c r="T18" s="522"/>
      <c r="U18" s="522"/>
      <c r="V18" s="522"/>
      <c r="W18" s="522"/>
      <c r="X18" s="522"/>
      <c r="Y18" s="522"/>
    </row>
    <row r="19" spans="1:25" ht="15" thickBot="1" x14ac:dyDescent="0.35">
      <c r="A19" s="328" t="s">
        <v>48</v>
      </c>
      <c r="B19" s="329"/>
      <c r="C19" s="317">
        <v>40</v>
      </c>
      <c r="D19" s="330">
        <f>B19/C19</f>
        <v>0</v>
      </c>
      <c r="E19" s="332" t="s">
        <v>14</v>
      </c>
      <c r="F19" s="280" t="s">
        <v>50</v>
      </c>
      <c r="G19" s="520"/>
      <c r="I19" s="338"/>
      <c r="L19" s="414"/>
      <c r="N19" s="313"/>
      <c r="S19" s="522"/>
      <c r="T19" s="522"/>
      <c r="U19" s="522"/>
      <c r="V19" s="522"/>
      <c r="W19" s="522"/>
      <c r="X19" s="522"/>
      <c r="Y19" s="522"/>
    </row>
    <row r="20" spans="1:25" ht="15" thickBot="1" x14ac:dyDescent="0.35">
      <c r="A20" s="333" t="s">
        <v>8</v>
      </c>
      <c r="B20" s="334">
        <f>SUM(B17:B19)</f>
        <v>0</v>
      </c>
      <c r="C20" s="335">
        <v>100</v>
      </c>
      <c r="D20" s="336">
        <f>B20/C20</f>
        <v>0</v>
      </c>
      <c r="E20" s="337">
        <f>V7</f>
        <v>1</v>
      </c>
      <c r="F20" s="276">
        <f>IF($E$20 &gt;1, 6, 0)</f>
        <v>0</v>
      </c>
      <c r="G20" s="520"/>
      <c r="I20" s="533" t="s">
        <v>79</v>
      </c>
      <c r="J20" s="534" t="s">
        <v>61</v>
      </c>
      <c r="K20" s="535" t="s">
        <v>60</v>
      </c>
      <c r="L20" s="536" t="s">
        <v>13</v>
      </c>
    </row>
    <row r="21" spans="1:25" x14ac:dyDescent="0.3">
      <c r="G21" s="520"/>
      <c r="H21" s="528"/>
      <c r="I21" s="537" t="s">
        <v>38</v>
      </c>
      <c r="J21" s="508">
        <f>SEM3_R!B23</f>
        <v>0</v>
      </c>
      <c r="K21" s="408">
        <v>15</v>
      </c>
      <c r="L21" s="391">
        <f>J21/K21</f>
        <v>0</v>
      </c>
      <c r="M21" s="362"/>
      <c r="N21" s="313"/>
    </row>
    <row r="22" spans="1:25" ht="15" thickBot="1" x14ac:dyDescent="0.35">
      <c r="A22" s="307"/>
      <c r="B22" s="338"/>
      <c r="C22" s="338"/>
      <c r="D22" s="338"/>
      <c r="F22" s="313"/>
      <c r="G22" s="520"/>
      <c r="H22" s="528"/>
      <c r="I22" s="537" t="s">
        <v>39</v>
      </c>
      <c r="J22" s="508">
        <f>SEM3_R!B24</f>
        <v>0</v>
      </c>
      <c r="K22" s="459">
        <v>5</v>
      </c>
      <c r="L22" s="397">
        <f>J22/K22</f>
        <v>0</v>
      </c>
    </row>
    <row r="23" spans="1:25" ht="15" thickBot="1" x14ac:dyDescent="0.35">
      <c r="A23" s="189" t="s">
        <v>68</v>
      </c>
      <c r="B23" s="190" t="s">
        <v>6</v>
      </c>
      <c r="C23" s="191" t="s">
        <v>7</v>
      </c>
      <c r="D23" s="192" t="s">
        <v>13</v>
      </c>
      <c r="F23" s="313"/>
      <c r="G23" s="520"/>
      <c r="H23" s="528"/>
      <c r="I23" s="538" t="s">
        <v>48</v>
      </c>
      <c r="J23" s="509"/>
      <c r="K23" s="396">
        <v>40</v>
      </c>
      <c r="L23" s="397">
        <f>J23/K23</f>
        <v>0</v>
      </c>
      <c r="M23" s="406" t="s">
        <v>23</v>
      </c>
      <c r="N23" s="280" t="s">
        <v>50</v>
      </c>
    </row>
    <row r="24" spans="1:25" ht="15" thickBot="1" x14ac:dyDescent="0.35">
      <c r="A24" s="187" t="s">
        <v>48</v>
      </c>
      <c r="B24" s="296"/>
      <c r="C24" s="202">
        <v>100</v>
      </c>
      <c r="D24" s="203">
        <f>B24/C24</f>
        <v>0</v>
      </c>
      <c r="E24" s="193" t="s">
        <v>14</v>
      </c>
      <c r="F24" s="280" t="s">
        <v>50</v>
      </c>
      <c r="G24" s="520"/>
      <c r="H24" s="528"/>
      <c r="I24" s="539" t="s">
        <v>8</v>
      </c>
      <c r="J24" s="510">
        <f>SUM(J21:J23)</f>
        <v>0</v>
      </c>
      <c r="K24" s="455">
        <v>100</v>
      </c>
      <c r="L24" s="456">
        <f>J24/K24</f>
        <v>0</v>
      </c>
      <c r="M24" s="457">
        <f>V7</f>
        <v>1</v>
      </c>
      <c r="N24" s="276">
        <f>IF(M24 &gt;1, 6, 0)</f>
        <v>0</v>
      </c>
    </row>
    <row r="25" spans="1:25" ht="15" thickBot="1" x14ac:dyDescent="0.35">
      <c r="A25" s="188" t="s">
        <v>8</v>
      </c>
      <c r="B25" s="204">
        <f>B24</f>
        <v>0</v>
      </c>
      <c r="C25" s="205">
        <v>100</v>
      </c>
      <c r="D25" s="207">
        <f>B25/C25</f>
        <v>0</v>
      </c>
      <c r="E25" s="206">
        <f>W7</f>
        <v>1</v>
      </c>
      <c r="F25" s="276">
        <f>IF($E$25 &gt;1, 7, 0)</f>
        <v>0</v>
      </c>
      <c r="G25" s="520"/>
    </row>
    <row r="26" spans="1:25" ht="15" thickBot="1" x14ac:dyDescent="0.35">
      <c r="G26" s="520"/>
    </row>
    <row r="27" spans="1:25" ht="15" thickBot="1" x14ac:dyDescent="0.35">
      <c r="G27" s="520"/>
      <c r="H27" s="528"/>
      <c r="I27" s="540" t="s">
        <v>78</v>
      </c>
      <c r="J27" s="474" t="s">
        <v>61</v>
      </c>
      <c r="K27" s="475" t="s">
        <v>60</v>
      </c>
      <c r="L27" s="476" t="s">
        <v>13</v>
      </c>
      <c r="M27" s="315"/>
      <c r="N27" s="313"/>
    </row>
    <row r="28" spans="1:25" ht="15" thickBot="1" x14ac:dyDescent="0.35">
      <c r="A28" s="356" t="s">
        <v>69</v>
      </c>
      <c r="B28" s="351" t="s">
        <v>61</v>
      </c>
      <c r="C28" s="349" t="s">
        <v>60</v>
      </c>
      <c r="D28" s="350" t="s">
        <v>13</v>
      </c>
      <c r="F28" s="313"/>
      <c r="G28" s="520"/>
      <c r="H28" s="528"/>
      <c r="I28" s="541" t="s">
        <v>48</v>
      </c>
      <c r="J28" s="461"/>
      <c r="K28" s="462">
        <v>50</v>
      </c>
      <c r="L28" s="463">
        <f>J28/K28</f>
        <v>0</v>
      </c>
      <c r="M28" s="477" t="s">
        <v>23</v>
      </c>
      <c r="N28" s="280" t="s">
        <v>50</v>
      </c>
    </row>
    <row r="29" spans="1:25" ht="15" thickBot="1" x14ac:dyDescent="0.35">
      <c r="A29" s="357" t="s">
        <v>38</v>
      </c>
      <c r="B29" s="352">
        <f>SEM3_E!B33</f>
        <v>0</v>
      </c>
      <c r="C29" s="348">
        <v>20</v>
      </c>
      <c r="D29" s="360">
        <f>B29/C29</f>
        <v>0</v>
      </c>
      <c r="E29" s="362"/>
      <c r="G29" s="520"/>
      <c r="H29" s="528"/>
      <c r="I29" s="542" t="s">
        <v>8</v>
      </c>
      <c r="J29" s="467">
        <f>SUM(J28:J28)</f>
        <v>0</v>
      </c>
      <c r="K29" s="468">
        <f>SUM(K28:K28)</f>
        <v>50</v>
      </c>
      <c r="L29" s="469">
        <f t="shared" ref="L29" si="5">J29/K29</f>
        <v>0</v>
      </c>
      <c r="M29" s="470">
        <f>W7</f>
        <v>1</v>
      </c>
      <c r="N29" s="276">
        <f>IF($E$29 &gt;1, 4, 0)</f>
        <v>0</v>
      </c>
    </row>
    <row r="30" spans="1:25" ht="15" thickBot="1" x14ac:dyDescent="0.35">
      <c r="A30" s="358" t="s">
        <v>48</v>
      </c>
      <c r="B30" s="354"/>
      <c r="C30" s="345">
        <v>40</v>
      </c>
      <c r="D30" s="22">
        <f>B30/C30</f>
        <v>0</v>
      </c>
      <c r="E30" s="521"/>
      <c r="F30" s="313"/>
      <c r="G30" s="520"/>
      <c r="H30" s="543"/>
      <c r="I30" s="544"/>
    </row>
    <row r="31" spans="1:25" ht="15" thickBot="1" x14ac:dyDescent="0.35">
      <c r="A31" s="358" t="s">
        <v>49</v>
      </c>
      <c r="B31" s="353"/>
      <c r="C31" s="346">
        <v>40</v>
      </c>
      <c r="D31" s="17">
        <f>B31/C31</f>
        <v>0</v>
      </c>
      <c r="E31" s="523" t="s">
        <v>23</v>
      </c>
      <c r="F31" s="280" t="s">
        <v>50</v>
      </c>
      <c r="G31" s="520"/>
      <c r="H31" s="543"/>
    </row>
    <row r="32" spans="1:25" ht="15" thickBot="1" x14ac:dyDescent="0.35">
      <c r="A32" s="359" t="s">
        <v>8</v>
      </c>
      <c r="B32" s="355">
        <f>SUM(B28:B31)</f>
        <v>0</v>
      </c>
      <c r="C32" s="347">
        <f>SUM(C29:C31)</f>
        <v>100</v>
      </c>
      <c r="D32" s="361">
        <f>B32/C32</f>
        <v>0</v>
      </c>
      <c r="E32" s="110">
        <f>X7</f>
        <v>1</v>
      </c>
      <c r="F32" s="276">
        <f>IF($E$32 &gt;1, 4, 0)</f>
        <v>0</v>
      </c>
      <c r="G32" s="520"/>
      <c r="H32" s="543"/>
      <c r="I32" s="365" t="s">
        <v>70</v>
      </c>
      <c r="J32" s="511" t="s">
        <v>61</v>
      </c>
      <c r="K32" s="370" t="s">
        <v>60</v>
      </c>
      <c r="L32" s="369" t="s">
        <v>13</v>
      </c>
      <c r="M32" s="364"/>
    </row>
    <row r="33" spans="1:14" ht="15" thickBot="1" x14ac:dyDescent="0.35">
      <c r="G33" s="520"/>
      <c r="I33" s="371" t="s">
        <v>39</v>
      </c>
      <c r="J33" s="512">
        <f>SEM3_R!B37</f>
        <v>0</v>
      </c>
      <c r="K33" s="379">
        <v>20</v>
      </c>
      <c r="L33" s="380">
        <f>J33/K33</f>
        <v>0</v>
      </c>
      <c r="M33" s="364"/>
    </row>
    <row r="34" spans="1:14" ht="15" thickBot="1" x14ac:dyDescent="0.35">
      <c r="G34" s="520"/>
      <c r="I34" s="373" t="s">
        <v>27</v>
      </c>
      <c r="J34" s="512">
        <f>SEM3_R!B38</f>
        <v>0</v>
      </c>
      <c r="K34" s="382">
        <v>10</v>
      </c>
      <c r="L34" s="383">
        <f t="shared" ref="L34:L37" si="6">J34/K34</f>
        <v>0</v>
      </c>
      <c r="M34" s="364"/>
    </row>
    <row r="35" spans="1:14" ht="15" thickBot="1" x14ac:dyDescent="0.35">
      <c r="A35" s="365" t="s">
        <v>70</v>
      </c>
      <c r="B35" s="368" t="s">
        <v>61</v>
      </c>
      <c r="C35" s="370" t="s">
        <v>60</v>
      </c>
      <c r="D35" s="369" t="s">
        <v>13</v>
      </c>
      <c r="E35" s="364"/>
      <c r="G35" s="520"/>
      <c r="I35" s="374" t="s">
        <v>48</v>
      </c>
      <c r="J35" s="513"/>
      <c r="K35" s="386">
        <v>30</v>
      </c>
      <c r="L35" s="387">
        <f t="shared" si="6"/>
        <v>0</v>
      </c>
      <c r="M35" s="364"/>
    </row>
    <row r="36" spans="1:14" x14ac:dyDescent="0.3">
      <c r="A36" s="371" t="s">
        <v>39</v>
      </c>
      <c r="B36" s="553">
        <f>SEM3_E!B41</f>
        <v>0</v>
      </c>
      <c r="C36" s="379">
        <v>20</v>
      </c>
      <c r="D36" s="380">
        <f>B36/C36</f>
        <v>0</v>
      </c>
      <c r="E36" s="364"/>
      <c r="G36" s="520"/>
      <c r="I36" s="384" t="s">
        <v>49</v>
      </c>
      <c r="J36" s="514"/>
      <c r="K36" s="382">
        <v>40</v>
      </c>
      <c r="L36" s="389">
        <f t="shared" si="6"/>
        <v>0</v>
      </c>
      <c r="M36" s="407" t="s">
        <v>23</v>
      </c>
      <c r="N36" s="366" t="s">
        <v>50</v>
      </c>
    </row>
    <row r="37" spans="1:14" ht="15" thickBot="1" x14ac:dyDescent="0.35">
      <c r="A37" s="373" t="s">
        <v>27</v>
      </c>
      <c r="B37" s="381">
        <f>SEM3_E!B42</f>
        <v>0</v>
      </c>
      <c r="C37" s="382">
        <v>10</v>
      </c>
      <c r="D37" s="383">
        <f t="shared" ref="D37:D40" si="7">B37/C37</f>
        <v>0</v>
      </c>
      <c r="E37" s="364"/>
      <c r="G37" s="520"/>
      <c r="I37" s="372" t="s">
        <v>8</v>
      </c>
      <c r="J37" s="515">
        <f>SUM(J33:J36)</f>
        <v>0</v>
      </c>
      <c r="K37" s="376">
        <f>SUM(K33:K36)</f>
        <v>100</v>
      </c>
      <c r="L37" s="377">
        <f t="shared" si="6"/>
        <v>0</v>
      </c>
      <c r="M37" s="388">
        <f>X7</f>
        <v>1</v>
      </c>
      <c r="N37" s="367">
        <f>IF($E$36 &gt;1, 2, 0)</f>
        <v>0</v>
      </c>
    </row>
    <row r="38" spans="1:14" ht="15" thickBot="1" x14ac:dyDescent="0.35">
      <c r="A38" s="374" t="s">
        <v>48</v>
      </c>
      <c r="B38" s="385"/>
      <c r="C38" s="386">
        <v>30</v>
      </c>
      <c r="D38" s="387">
        <f t="shared" si="7"/>
        <v>0</v>
      </c>
      <c r="E38" s="364"/>
      <c r="G38" s="520"/>
    </row>
    <row r="39" spans="1:14" x14ac:dyDescent="0.3">
      <c r="A39" s="384" t="s">
        <v>49</v>
      </c>
      <c r="B39" s="382"/>
      <c r="C39" s="382">
        <v>40</v>
      </c>
      <c r="D39" s="389">
        <f t="shared" si="7"/>
        <v>0</v>
      </c>
      <c r="E39" s="407" t="s">
        <v>23</v>
      </c>
      <c r="F39" s="366" t="s">
        <v>50</v>
      </c>
      <c r="G39" s="520"/>
    </row>
    <row r="40" spans="1:14" ht="15" thickBot="1" x14ac:dyDescent="0.35">
      <c r="A40" s="372" t="s">
        <v>8</v>
      </c>
      <c r="B40" s="375">
        <f>SUM(B36:B39)</f>
        <v>0</v>
      </c>
      <c r="C40" s="376">
        <f>SUM(C36:C39)</f>
        <v>100</v>
      </c>
      <c r="D40" s="377">
        <f t="shared" si="7"/>
        <v>0</v>
      </c>
      <c r="E40" s="388">
        <f>Y7</f>
        <v>1</v>
      </c>
      <c r="F40" s="367">
        <f>IF($E$40 &gt;1, 2, 0)</f>
        <v>0</v>
      </c>
      <c r="G40" s="520"/>
    </row>
    <row r="41" spans="1:14" x14ac:dyDescent="0.3">
      <c r="G41" s="520"/>
    </row>
    <row r="42" spans="1:14" x14ac:dyDescent="0.3">
      <c r="G42" s="520"/>
    </row>
    <row r="43" spans="1:14" x14ac:dyDescent="0.3">
      <c r="G43" s="520"/>
    </row>
    <row r="44" spans="1:14" x14ac:dyDescent="0.3">
      <c r="G44" s="520"/>
    </row>
    <row r="45" spans="1:14" x14ac:dyDescent="0.3">
      <c r="G45" s="520"/>
    </row>
    <row r="46" spans="1:14" x14ac:dyDescent="0.3">
      <c r="G46" s="520"/>
    </row>
    <row r="47" spans="1:14" x14ac:dyDescent="0.3">
      <c r="G47" s="520"/>
    </row>
    <row r="48" spans="1:14" x14ac:dyDescent="0.3">
      <c r="G48" s="520"/>
    </row>
    <row r="49" spans="7:7" x14ac:dyDescent="0.3">
      <c r="G49" s="520"/>
    </row>
    <row r="50" spans="7:7" x14ac:dyDescent="0.3">
      <c r="G50" s="520"/>
    </row>
    <row r="51" spans="7:7" x14ac:dyDescent="0.3">
      <c r="G51" s="520"/>
    </row>
    <row r="52" spans="7:7" x14ac:dyDescent="0.3">
      <c r="G52" s="520"/>
    </row>
    <row r="53" spans="7:7" x14ac:dyDescent="0.3">
      <c r="G53" s="520"/>
    </row>
    <row r="54" spans="7:7" x14ac:dyDescent="0.3">
      <c r="G54" s="520"/>
    </row>
    <row r="55" spans="7:7" x14ac:dyDescent="0.3">
      <c r="G55" s="520"/>
    </row>
    <row r="56" spans="7:7" x14ac:dyDescent="0.3">
      <c r="G56" s="520"/>
    </row>
    <row r="57" spans="7:7" x14ac:dyDescent="0.3">
      <c r="G57" s="520"/>
    </row>
    <row r="58" spans="7:7" x14ac:dyDescent="0.3">
      <c r="G58" s="520"/>
    </row>
    <row r="59" spans="7:7" x14ac:dyDescent="0.3">
      <c r="G59" s="520"/>
    </row>
    <row r="60" spans="7:7" x14ac:dyDescent="0.3">
      <c r="G60" s="520"/>
    </row>
    <row r="61" spans="7:7" x14ac:dyDescent="0.3">
      <c r="G61" s="520"/>
    </row>
    <row r="62" spans="7:7" x14ac:dyDescent="0.3">
      <c r="G62" s="520"/>
    </row>
    <row r="63" spans="7:7" x14ac:dyDescent="0.3">
      <c r="G63" s="520"/>
    </row>
    <row r="64" spans="7:7" x14ac:dyDescent="0.3">
      <c r="G64" s="520"/>
    </row>
    <row r="65" spans="7:7" x14ac:dyDescent="0.3">
      <c r="G65" s="520"/>
    </row>
    <row r="66" spans="7:7" x14ac:dyDescent="0.3">
      <c r="G66" s="520"/>
    </row>
    <row r="67" spans="7:7" x14ac:dyDescent="0.3">
      <c r="G67" s="520"/>
    </row>
    <row r="68" spans="7:7" x14ac:dyDescent="0.3">
      <c r="G68" s="520"/>
    </row>
    <row r="69" spans="7:7" x14ac:dyDescent="0.3">
      <c r="G69" s="520"/>
    </row>
    <row r="70" spans="7:7" x14ac:dyDescent="0.3">
      <c r="G70" s="520"/>
    </row>
    <row r="71" spans="7:7" x14ac:dyDescent="0.3">
      <c r="G71" s="520"/>
    </row>
    <row r="72" spans="7:7" x14ac:dyDescent="0.3">
      <c r="G72" s="520"/>
    </row>
    <row r="73" spans="7:7" x14ac:dyDescent="0.3">
      <c r="G73" s="520"/>
    </row>
    <row r="74" spans="7:7" x14ac:dyDescent="0.3">
      <c r="G74" s="520"/>
    </row>
    <row r="75" spans="7:7" x14ac:dyDescent="0.3">
      <c r="G75" s="520"/>
    </row>
    <row r="76" spans="7:7" x14ac:dyDescent="0.3">
      <c r="G76" s="520"/>
    </row>
    <row r="77" spans="7:7" x14ac:dyDescent="0.3">
      <c r="G77" s="520"/>
    </row>
    <row r="78" spans="7:7" x14ac:dyDescent="0.3">
      <c r="G78" s="520"/>
    </row>
    <row r="79" spans="7:7" x14ac:dyDescent="0.3">
      <c r="G79" s="520"/>
    </row>
    <row r="80" spans="7:7" x14ac:dyDescent="0.3">
      <c r="G80" s="520"/>
    </row>
    <row r="81" spans="7:7" x14ac:dyDescent="0.3">
      <c r="G81" s="520"/>
    </row>
    <row r="82" spans="7:7" x14ac:dyDescent="0.3">
      <c r="G82" s="520"/>
    </row>
    <row r="83" spans="7:7" x14ac:dyDescent="0.3">
      <c r="G83" s="520"/>
    </row>
    <row r="84" spans="7:7" x14ac:dyDescent="0.3">
      <c r="G84" s="520"/>
    </row>
    <row r="85" spans="7:7" x14ac:dyDescent="0.3">
      <c r="G85" s="520"/>
    </row>
    <row r="86" spans="7:7" x14ac:dyDescent="0.3">
      <c r="G86" s="520"/>
    </row>
    <row r="87" spans="7:7" x14ac:dyDescent="0.3">
      <c r="G87" s="520"/>
    </row>
    <row r="88" spans="7:7" x14ac:dyDescent="0.3">
      <c r="G88" s="520"/>
    </row>
    <row r="89" spans="7:7" x14ac:dyDescent="0.3">
      <c r="G89" s="520"/>
    </row>
    <row r="90" spans="7:7" x14ac:dyDescent="0.3">
      <c r="G90" s="520"/>
    </row>
    <row r="91" spans="7:7" x14ac:dyDescent="0.3">
      <c r="G91" s="520"/>
    </row>
    <row r="92" spans="7:7" x14ac:dyDescent="0.3">
      <c r="G92" s="520"/>
    </row>
    <row r="93" spans="7:7" x14ac:dyDescent="0.3">
      <c r="G93" s="520"/>
    </row>
    <row r="94" spans="7:7" x14ac:dyDescent="0.3">
      <c r="G94" s="520"/>
    </row>
    <row r="95" spans="7:7" x14ac:dyDescent="0.3">
      <c r="G95" s="520"/>
    </row>
    <row r="96" spans="7:7" x14ac:dyDescent="0.3">
      <c r="G96" s="520"/>
    </row>
    <row r="97" spans="7:7" x14ac:dyDescent="0.3">
      <c r="G97" s="520"/>
    </row>
    <row r="98" spans="7:7" x14ac:dyDescent="0.3">
      <c r="G98" s="520"/>
    </row>
    <row r="99" spans="7:7" x14ac:dyDescent="0.3">
      <c r="G99" s="520"/>
    </row>
    <row r="100" spans="7:7" x14ac:dyDescent="0.3">
      <c r="G100" s="520"/>
    </row>
    <row r="101" spans="7:7" x14ac:dyDescent="0.3">
      <c r="G101" s="520"/>
    </row>
    <row r="102" spans="7:7" x14ac:dyDescent="0.3">
      <c r="G102" s="520"/>
    </row>
    <row r="103" spans="7:7" x14ac:dyDescent="0.3">
      <c r="G103" s="520"/>
    </row>
    <row r="104" spans="7:7" x14ac:dyDescent="0.3">
      <c r="G104" s="520"/>
    </row>
    <row r="105" spans="7:7" x14ac:dyDescent="0.3">
      <c r="G105" s="520"/>
    </row>
    <row r="106" spans="7:7" x14ac:dyDescent="0.3">
      <c r="G106" s="520"/>
    </row>
    <row r="107" spans="7:7" x14ac:dyDescent="0.3">
      <c r="G107" s="520"/>
    </row>
    <row r="108" spans="7:7" x14ac:dyDescent="0.3">
      <c r="G108" s="520"/>
    </row>
    <row r="109" spans="7:7" x14ac:dyDescent="0.3">
      <c r="G109" s="520"/>
    </row>
    <row r="110" spans="7:7" x14ac:dyDescent="0.3">
      <c r="G110" s="520"/>
    </row>
    <row r="111" spans="7:7" x14ac:dyDescent="0.3">
      <c r="G111" s="520"/>
    </row>
    <row r="112" spans="7:7" x14ac:dyDescent="0.3">
      <c r="G112" s="520"/>
    </row>
    <row r="113" spans="7:7" x14ac:dyDescent="0.3">
      <c r="G113" s="520"/>
    </row>
    <row r="114" spans="7:7" x14ac:dyDescent="0.3">
      <c r="G114" s="520"/>
    </row>
    <row r="115" spans="7:7" x14ac:dyDescent="0.3">
      <c r="G115" s="520"/>
    </row>
    <row r="116" spans="7:7" x14ac:dyDescent="0.3">
      <c r="G116" s="520"/>
    </row>
    <row r="117" spans="7:7" x14ac:dyDescent="0.3">
      <c r="G117" s="520"/>
    </row>
    <row r="118" spans="7:7" x14ac:dyDescent="0.3">
      <c r="G118" s="520"/>
    </row>
    <row r="119" spans="7:7" x14ac:dyDescent="0.3">
      <c r="G119" s="520"/>
    </row>
    <row r="120" spans="7:7" x14ac:dyDescent="0.3">
      <c r="G120" s="520"/>
    </row>
    <row r="121" spans="7:7" x14ac:dyDescent="0.3">
      <c r="G121" s="520"/>
    </row>
    <row r="122" spans="7:7" x14ac:dyDescent="0.3">
      <c r="G122" s="520"/>
    </row>
    <row r="123" spans="7:7" x14ac:dyDescent="0.3">
      <c r="G123" s="520"/>
    </row>
    <row r="124" spans="7:7" x14ac:dyDescent="0.3">
      <c r="G124" s="520"/>
    </row>
    <row r="125" spans="7:7" x14ac:dyDescent="0.3">
      <c r="G125" s="520"/>
    </row>
    <row r="126" spans="7:7" x14ac:dyDescent="0.3">
      <c r="G126" s="520"/>
    </row>
    <row r="127" spans="7:7" x14ac:dyDescent="0.3">
      <c r="G127" s="520"/>
    </row>
    <row r="128" spans="7:7" x14ac:dyDescent="0.3">
      <c r="G128" s="520"/>
    </row>
    <row r="129" spans="7:7" x14ac:dyDescent="0.3">
      <c r="G129" s="520"/>
    </row>
    <row r="130" spans="7:7" x14ac:dyDescent="0.3">
      <c r="G130" s="520"/>
    </row>
    <row r="131" spans="7:7" x14ac:dyDescent="0.3">
      <c r="G131" s="520"/>
    </row>
    <row r="132" spans="7:7" x14ac:dyDescent="0.3">
      <c r="G132" s="520"/>
    </row>
    <row r="133" spans="7:7" x14ac:dyDescent="0.3">
      <c r="G133" s="520"/>
    </row>
    <row r="134" spans="7:7" x14ac:dyDescent="0.3">
      <c r="G134" s="520"/>
    </row>
    <row r="135" spans="7:7" x14ac:dyDescent="0.3">
      <c r="G135" s="520"/>
    </row>
    <row r="136" spans="7:7" x14ac:dyDescent="0.3">
      <c r="G136" s="520"/>
    </row>
    <row r="137" spans="7:7" x14ac:dyDescent="0.3">
      <c r="G137" s="520"/>
    </row>
    <row r="138" spans="7:7" x14ac:dyDescent="0.3">
      <c r="G138" s="520"/>
    </row>
    <row r="139" spans="7:7" x14ac:dyDescent="0.3">
      <c r="G139" s="520"/>
    </row>
    <row r="140" spans="7:7" x14ac:dyDescent="0.3">
      <c r="G140" s="520"/>
    </row>
    <row r="141" spans="7:7" x14ac:dyDescent="0.3">
      <c r="G141" s="520"/>
    </row>
    <row r="142" spans="7:7" x14ac:dyDescent="0.3">
      <c r="G142" s="520"/>
    </row>
    <row r="143" spans="7:7" x14ac:dyDescent="0.3">
      <c r="G143" s="520"/>
    </row>
    <row r="144" spans="7:7" x14ac:dyDescent="0.3">
      <c r="G144" s="520"/>
    </row>
    <row r="145" spans="7:7" x14ac:dyDescent="0.3">
      <c r="G145" s="520"/>
    </row>
    <row r="146" spans="7:7" x14ac:dyDescent="0.3">
      <c r="G146" s="520"/>
    </row>
    <row r="147" spans="7:7" x14ac:dyDescent="0.3">
      <c r="G147" s="520"/>
    </row>
    <row r="148" spans="7:7" x14ac:dyDescent="0.3">
      <c r="G148" s="520"/>
    </row>
    <row r="149" spans="7:7" x14ac:dyDescent="0.3">
      <c r="G149" s="520"/>
    </row>
    <row r="150" spans="7:7" x14ac:dyDescent="0.3">
      <c r="G150" s="520"/>
    </row>
    <row r="151" spans="7:7" x14ac:dyDescent="0.3">
      <c r="G151" s="520"/>
    </row>
    <row r="152" spans="7:7" x14ac:dyDescent="0.3">
      <c r="G152" s="520"/>
    </row>
    <row r="153" spans="7:7" x14ac:dyDescent="0.3">
      <c r="G153" s="520"/>
    </row>
    <row r="154" spans="7:7" x14ac:dyDescent="0.3">
      <c r="G154" s="520"/>
    </row>
    <row r="155" spans="7:7" x14ac:dyDescent="0.3">
      <c r="G155" s="520"/>
    </row>
    <row r="156" spans="7:7" x14ac:dyDescent="0.3">
      <c r="G156" s="520"/>
    </row>
    <row r="157" spans="7:7" x14ac:dyDescent="0.3">
      <c r="G157" s="520"/>
    </row>
    <row r="158" spans="7:7" x14ac:dyDescent="0.3">
      <c r="G158" s="520"/>
    </row>
    <row r="159" spans="7:7" x14ac:dyDescent="0.3">
      <c r="G159" s="520"/>
    </row>
    <row r="160" spans="7:7" x14ac:dyDescent="0.3">
      <c r="G160" s="520"/>
    </row>
    <row r="161" spans="7:7" x14ac:dyDescent="0.3">
      <c r="G161" s="520"/>
    </row>
    <row r="162" spans="7:7" x14ac:dyDescent="0.3">
      <c r="G162" s="520"/>
    </row>
    <row r="163" spans="7:7" x14ac:dyDescent="0.3">
      <c r="G163" s="520"/>
    </row>
    <row r="164" spans="7:7" x14ac:dyDescent="0.3">
      <c r="G164" s="520"/>
    </row>
    <row r="165" spans="7:7" x14ac:dyDescent="0.3">
      <c r="G165" s="520"/>
    </row>
    <row r="166" spans="7:7" x14ac:dyDescent="0.3">
      <c r="G166" s="520"/>
    </row>
    <row r="167" spans="7:7" x14ac:dyDescent="0.3">
      <c r="G167" s="520"/>
    </row>
    <row r="168" spans="7:7" x14ac:dyDescent="0.3">
      <c r="G168" s="520"/>
    </row>
    <row r="169" spans="7:7" x14ac:dyDescent="0.3">
      <c r="G169" s="520"/>
    </row>
    <row r="170" spans="7:7" x14ac:dyDescent="0.3">
      <c r="G170" s="520"/>
    </row>
    <row r="171" spans="7:7" x14ac:dyDescent="0.3">
      <c r="G171" s="520"/>
    </row>
    <row r="172" spans="7:7" x14ac:dyDescent="0.3">
      <c r="G172" s="520"/>
    </row>
    <row r="173" spans="7:7" x14ac:dyDescent="0.3">
      <c r="G173" s="520"/>
    </row>
    <row r="174" spans="7:7" x14ac:dyDescent="0.3">
      <c r="G174" s="520"/>
    </row>
    <row r="175" spans="7:7" x14ac:dyDescent="0.3">
      <c r="G175" s="520"/>
    </row>
    <row r="176" spans="7:7" x14ac:dyDescent="0.3">
      <c r="G176" s="520"/>
    </row>
    <row r="177" spans="7:7" x14ac:dyDescent="0.3">
      <c r="G177" s="520"/>
    </row>
    <row r="178" spans="7:7" x14ac:dyDescent="0.3">
      <c r="G178" s="520"/>
    </row>
    <row r="179" spans="7:7" x14ac:dyDescent="0.3">
      <c r="G179" s="520"/>
    </row>
    <row r="180" spans="7:7" x14ac:dyDescent="0.3">
      <c r="G180" s="520"/>
    </row>
    <row r="181" spans="7:7" x14ac:dyDescent="0.3">
      <c r="G181" s="520"/>
    </row>
    <row r="182" spans="7:7" x14ac:dyDescent="0.3">
      <c r="G182" s="520"/>
    </row>
    <row r="183" spans="7:7" x14ac:dyDescent="0.3">
      <c r="G183" s="520"/>
    </row>
    <row r="184" spans="7:7" x14ac:dyDescent="0.3">
      <c r="G184" s="520"/>
    </row>
    <row r="185" spans="7:7" x14ac:dyDescent="0.3">
      <c r="G185" s="520"/>
    </row>
    <row r="186" spans="7:7" x14ac:dyDescent="0.3">
      <c r="G186" s="520"/>
    </row>
    <row r="187" spans="7:7" x14ac:dyDescent="0.3">
      <c r="G187" s="520"/>
    </row>
    <row r="188" spans="7:7" x14ac:dyDescent="0.3">
      <c r="G188" s="520"/>
    </row>
    <row r="189" spans="7:7" x14ac:dyDescent="0.3">
      <c r="G189" s="520"/>
    </row>
    <row r="190" spans="7:7" x14ac:dyDescent="0.3">
      <c r="G190" s="520"/>
    </row>
    <row r="191" spans="7:7" x14ac:dyDescent="0.3">
      <c r="G191" s="520"/>
    </row>
    <row r="192" spans="7:7" x14ac:dyDescent="0.3">
      <c r="G192" s="520"/>
    </row>
    <row r="193" spans="7:7" x14ac:dyDescent="0.3">
      <c r="G193" s="520"/>
    </row>
    <row r="194" spans="7:7" x14ac:dyDescent="0.3">
      <c r="G194" s="520"/>
    </row>
    <row r="195" spans="7:7" x14ac:dyDescent="0.3">
      <c r="G195" s="520"/>
    </row>
    <row r="196" spans="7:7" x14ac:dyDescent="0.3">
      <c r="G196" s="520"/>
    </row>
    <row r="197" spans="7:7" x14ac:dyDescent="0.3">
      <c r="G197" s="520"/>
    </row>
    <row r="198" spans="7:7" x14ac:dyDescent="0.3">
      <c r="G198" s="520"/>
    </row>
    <row r="199" spans="7:7" x14ac:dyDescent="0.3">
      <c r="G199" s="520"/>
    </row>
    <row r="200" spans="7:7" x14ac:dyDescent="0.3">
      <c r="G200" s="520"/>
    </row>
    <row r="201" spans="7:7" x14ac:dyDescent="0.3">
      <c r="G201" s="520"/>
    </row>
    <row r="202" spans="7:7" x14ac:dyDescent="0.3">
      <c r="G202" s="520"/>
    </row>
    <row r="203" spans="7:7" x14ac:dyDescent="0.3">
      <c r="G203" s="520"/>
    </row>
    <row r="204" spans="7:7" x14ac:dyDescent="0.3">
      <c r="G204" s="520"/>
    </row>
    <row r="205" spans="7:7" x14ac:dyDescent="0.3">
      <c r="G205" s="520"/>
    </row>
    <row r="206" spans="7:7" x14ac:dyDescent="0.3">
      <c r="G206" s="520"/>
    </row>
    <row r="207" spans="7:7" x14ac:dyDescent="0.3">
      <c r="G207" s="520"/>
    </row>
    <row r="208" spans="7:7" x14ac:dyDescent="0.3">
      <c r="G208" s="520"/>
    </row>
    <row r="209" spans="7:7" x14ac:dyDescent="0.3">
      <c r="G209" s="520"/>
    </row>
    <row r="210" spans="7:7" x14ac:dyDescent="0.3">
      <c r="G210" s="520"/>
    </row>
    <row r="211" spans="7:7" x14ac:dyDescent="0.3">
      <c r="G211" s="520"/>
    </row>
    <row r="212" spans="7:7" x14ac:dyDescent="0.3">
      <c r="G212" s="520"/>
    </row>
    <row r="213" spans="7:7" x14ac:dyDescent="0.3">
      <c r="G213" s="520"/>
    </row>
    <row r="214" spans="7:7" x14ac:dyDescent="0.3">
      <c r="G214" s="520"/>
    </row>
    <row r="215" spans="7:7" x14ac:dyDescent="0.3">
      <c r="G215" s="520"/>
    </row>
    <row r="216" spans="7:7" x14ac:dyDescent="0.3">
      <c r="G216" s="520"/>
    </row>
    <row r="217" spans="7:7" x14ac:dyDescent="0.3">
      <c r="G217" s="520"/>
    </row>
    <row r="218" spans="7:7" x14ac:dyDescent="0.3">
      <c r="G218" s="520"/>
    </row>
    <row r="219" spans="7:7" x14ac:dyDescent="0.3">
      <c r="G219" s="520"/>
    </row>
    <row r="220" spans="7:7" x14ac:dyDescent="0.3">
      <c r="G220" s="520"/>
    </row>
    <row r="221" spans="7:7" x14ac:dyDescent="0.3">
      <c r="G221" s="520"/>
    </row>
    <row r="222" spans="7:7" x14ac:dyDescent="0.3">
      <c r="G222" s="520"/>
    </row>
    <row r="223" spans="7:7" x14ac:dyDescent="0.3">
      <c r="G223" s="520"/>
    </row>
    <row r="224" spans="7:7" x14ac:dyDescent="0.3">
      <c r="G224" s="520"/>
    </row>
    <row r="225" spans="7:7" x14ac:dyDescent="0.3">
      <c r="G225" s="520"/>
    </row>
    <row r="226" spans="7:7" x14ac:dyDescent="0.3">
      <c r="G226" s="520"/>
    </row>
    <row r="227" spans="7:7" x14ac:dyDescent="0.3">
      <c r="G227" s="520"/>
    </row>
    <row r="228" spans="7:7" x14ac:dyDescent="0.3">
      <c r="G228" s="520"/>
    </row>
    <row r="229" spans="7:7" x14ac:dyDescent="0.3">
      <c r="G229" s="520"/>
    </row>
    <row r="230" spans="7:7" x14ac:dyDescent="0.3">
      <c r="G230" s="520"/>
    </row>
    <row r="231" spans="7:7" x14ac:dyDescent="0.3">
      <c r="G231" s="520"/>
    </row>
    <row r="232" spans="7:7" x14ac:dyDescent="0.3">
      <c r="G232" s="520"/>
    </row>
    <row r="233" spans="7:7" x14ac:dyDescent="0.3">
      <c r="G233" s="520"/>
    </row>
    <row r="234" spans="7:7" x14ac:dyDescent="0.3">
      <c r="G234" s="520"/>
    </row>
    <row r="235" spans="7:7" x14ac:dyDescent="0.3">
      <c r="G235" s="520"/>
    </row>
    <row r="236" spans="7:7" x14ac:dyDescent="0.3">
      <c r="G236" s="520"/>
    </row>
    <row r="237" spans="7:7" x14ac:dyDescent="0.3">
      <c r="G237" s="520"/>
    </row>
    <row r="238" spans="7:7" x14ac:dyDescent="0.3">
      <c r="G238" s="520"/>
    </row>
    <row r="239" spans="7:7" x14ac:dyDescent="0.3">
      <c r="G239" s="520"/>
    </row>
    <row r="240" spans="7:7" x14ac:dyDescent="0.3">
      <c r="G240" s="520"/>
    </row>
    <row r="241" spans="7:7" x14ac:dyDescent="0.3">
      <c r="G241" s="520"/>
    </row>
    <row r="242" spans="7:7" x14ac:dyDescent="0.3">
      <c r="G242" s="520"/>
    </row>
    <row r="243" spans="7:7" x14ac:dyDescent="0.3">
      <c r="G243" s="520"/>
    </row>
    <row r="244" spans="7:7" x14ac:dyDescent="0.3">
      <c r="G244" s="520"/>
    </row>
    <row r="245" spans="7:7" x14ac:dyDescent="0.3">
      <c r="G245" s="520"/>
    </row>
    <row r="246" spans="7:7" x14ac:dyDescent="0.3">
      <c r="G246" s="520"/>
    </row>
    <row r="247" spans="7:7" x14ac:dyDescent="0.3">
      <c r="G247" s="520"/>
    </row>
    <row r="248" spans="7:7" x14ac:dyDescent="0.3">
      <c r="G248" s="520"/>
    </row>
    <row r="249" spans="7:7" x14ac:dyDescent="0.3">
      <c r="G249" s="520"/>
    </row>
    <row r="250" spans="7:7" x14ac:dyDescent="0.3">
      <c r="G250" s="520"/>
    </row>
    <row r="251" spans="7:7" x14ac:dyDescent="0.3">
      <c r="G251" s="520"/>
    </row>
    <row r="252" spans="7:7" x14ac:dyDescent="0.3">
      <c r="G252" s="520"/>
    </row>
    <row r="253" spans="7:7" x14ac:dyDescent="0.3">
      <c r="G253" s="520"/>
    </row>
    <row r="254" spans="7:7" x14ac:dyDescent="0.3">
      <c r="G254" s="520"/>
    </row>
    <row r="255" spans="7:7" x14ac:dyDescent="0.3">
      <c r="G255" s="520"/>
    </row>
    <row r="256" spans="7:7" x14ac:dyDescent="0.3">
      <c r="G256" s="520"/>
    </row>
    <row r="257" spans="7:7" x14ac:dyDescent="0.3">
      <c r="G257" s="520"/>
    </row>
    <row r="258" spans="7:7" x14ac:dyDescent="0.3">
      <c r="G258" s="520"/>
    </row>
    <row r="259" spans="7:7" x14ac:dyDescent="0.3">
      <c r="G259" s="520"/>
    </row>
    <row r="260" spans="7:7" x14ac:dyDescent="0.3">
      <c r="G260" s="520"/>
    </row>
    <row r="261" spans="7:7" x14ac:dyDescent="0.3">
      <c r="G261" s="520"/>
    </row>
    <row r="262" spans="7:7" x14ac:dyDescent="0.3">
      <c r="G262" s="520"/>
    </row>
    <row r="263" spans="7:7" x14ac:dyDescent="0.3">
      <c r="G263" s="520"/>
    </row>
    <row r="264" spans="7:7" x14ac:dyDescent="0.3">
      <c r="G264" s="520"/>
    </row>
    <row r="265" spans="7:7" x14ac:dyDescent="0.3">
      <c r="G265" s="520"/>
    </row>
    <row r="266" spans="7:7" x14ac:dyDescent="0.3">
      <c r="G266" s="520"/>
    </row>
    <row r="267" spans="7:7" x14ac:dyDescent="0.3">
      <c r="G267" s="520"/>
    </row>
    <row r="268" spans="7:7" x14ac:dyDescent="0.3">
      <c r="G268" s="520"/>
    </row>
    <row r="269" spans="7:7" x14ac:dyDescent="0.3">
      <c r="G269" s="520"/>
    </row>
    <row r="270" spans="7:7" x14ac:dyDescent="0.3">
      <c r="G270" s="520"/>
    </row>
    <row r="271" spans="7:7" x14ac:dyDescent="0.3">
      <c r="G271" s="520"/>
    </row>
    <row r="272" spans="7:7" x14ac:dyDescent="0.3">
      <c r="G272" s="520"/>
    </row>
    <row r="273" spans="7:7" x14ac:dyDescent="0.3">
      <c r="G273" s="520"/>
    </row>
    <row r="274" spans="7:7" x14ac:dyDescent="0.3">
      <c r="G274" s="520"/>
    </row>
    <row r="275" spans="7:7" x14ac:dyDescent="0.3">
      <c r="G275" s="520"/>
    </row>
    <row r="276" spans="7:7" x14ac:dyDescent="0.3">
      <c r="G276" s="520"/>
    </row>
    <row r="277" spans="7:7" x14ac:dyDescent="0.3">
      <c r="G277" s="520"/>
    </row>
    <row r="278" spans="7:7" x14ac:dyDescent="0.3">
      <c r="G278" s="520"/>
    </row>
    <row r="279" spans="7:7" x14ac:dyDescent="0.3">
      <c r="G279" s="520"/>
    </row>
    <row r="280" spans="7:7" x14ac:dyDescent="0.3">
      <c r="G280" s="520"/>
    </row>
    <row r="281" spans="7:7" x14ac:dyDescent="0.3">
      <c r="G281" s="520"/>
    </row>
    <row r="282" spans="7:7" x14ac:dyDescent="0.3">
      <c r="G282" s="520"/>
    </row>
    <row r="283" spans="7:7" x14ac:dyDescent="0.3">
      <c r="G283" s="520"/>
    </row>
    <row r="284" spans="7:7" x14ac:dyDescent="0.3">
      <c r="G284" s="520"/>
    </row>
    <row r="285" spans="7:7" x14ac:dyDescent="0.3">
      <c r="G285" s="520"/>
    </row>
    <row r="286" spans="7:7" x14ac:dyDescent="0.3">
      <c r="G286" s="520"/>
    </row>
    <row r="287" spans="7:7" x14ac:dyDescent="0.3">
      <c r="G287" s="520"/>
    </row>
    <row r="288" spans="7:7" x14ac:dyDescent="0.3">
      <c r="G288" s="520"/>
    </row>
    <row r="289" spans="7:7" x14ac:dyDescent="0.3">
      <c r="G289" s="520"/>
    </row>
    <row r="290" spans="7:7" x14ac:dyDescent="0.3">
      <c r="G290" s="520"/>
    </row>
    <row r="291" spans="7:7" x14ac:dyDescent="0.3">
      <c r="G291" s="520"/>
    </row>
    <row r="292" spans="7:7" x14ac:dyDescent="0.3">
      <c r="G292" s="520"/>
    </row>
    <row r="293" spans="7:7" x14ac:dyDescent="0.3">
      <c r="G293" s="520"/>
    </row>
    <row r="294" spans="7:7" x14ac:dyDescent="0.3">
      <c r="G294" s="520"/>
    </row>
    <row r="295" spans="7:7" x14ac:dyDescent="0.3">
      <c r="G295" s="520"/>
    </row>
    <row r="296" spans="7:7" x14ac:dyDescent="0.3">
      <c r="G296" s="520"/>
    </row>
    <row r="297" spans="7:7" x14ac:dyDescent="0.3">
      <c r="G297" s="520"/>
    </row>
    <row r="298" spans="7:7" x14ac:dyDescent="0.3">
      <c r="G298" s="520"/>
    </row>
    <row r="299" spans="7:7" x14ac:dyDescent="0.3">
      <c r="G299" s="520"/>
    </row>
    <row r="300" spans="7:7" x14ac:dyDescent="0.3">
      <c r="G300" s="520"/>
    </row>
    <row r="301" spans="7:7" x14ac:dyDescent="0.3">
      <c r="G301" s="520"/>
    </row>
    <row r="302" spans="7:7" x14ac:dyDescent="0.3">
      <c r="G302" s="520"/>
    </row>
    <row r="303" spans="7:7" x14ac:dyDescent="0.3">
      <c r="G303" s="520"/>
    </row>
    <row r="304" spans="7:7" x14ac:dyDescent="0.3">
      <c r="G304" s="520"/>
    </row>
    <row r="305" spans="7:7" x14ac:dyDescent="0.3">
      <c r="G305" s="520"/>
    </row>
    <row r="306" spans="7:7" x14ac:dyDescent="0.3">
      <c r="G306" s="520"/>
    </row>
    <row r="307" spans="7:7" x14ac:dyDescent="0.3">
      <c r="G307" s="520"/>
    </row>
    <row r="308" spans="7:7" x14ac:dyDescent="0.3">
      <c r="G308" s="520"/>
    </row>
    <row r="309" spans="7:7" x14ac:dyDescent="0.3">
      <c r="G309" s="520"/>
    </row>
    <row r="310" spans="7:7" x14ac:dyDescent="0.3">
      <c r="G310" s="520"/>
    </row>
    <row r="311" spans="7:7" x14ac:dyDescent="0.3">
      <c r="G311" s="520"/>
    </row>
    <row r="312" spans="7:7" x14ac:dyDescent="0.3">
      <c r="G312" s="520"/>
    </row>
    <row r="313" spans="7:7" x14ac:dyDescent="0.3">
      <c r="G313" s="520"/>
    </row>
    <row r="314" spans="7:7" x14ac:dyDescent="0.3">
      <c r="G314" s="520"/>
    </row>
    <row r="315" spans="7:7" x14ac:dyDescent="0.3">
      <c r="G315" s="520"/>
    </row>
    <row r="316" spans="7:7" x14ac:dyDescent="0.3">
      <c r="G316" s="520"/>
    </row>
    <row r="317" spans="7:7" x14ac:dyDescent="0.3">
      <c r="G317" s="520"/>
    </row>
    <row r="318" spans="7:7" x14ac:dyDescent="0.3">
      <c r="G318" s="520"/>
    </row>
    <row r="319" spans="7:7" x14ac:dyDescent="0.3">
      <c r="G319" s="520"/>
    </row>
    <row r="320" spans="7:7" x14ac:dyDescent="0.3">
      <c r="G320" s="520"/>
    </row>
    <row r="321" spans="7:7" x14ac:dyDescent="0.3">
      <c r="G321" s="520"/>
    </row>
    <row r="322" spans="7:7" x14ac:dyDescent="0.3">
      <c r="G322" s="520"/>
    </row>
    <row r="323" spans="7:7" x14ac:dyDescent="0.3">
      <c r="G323" s="520"/>
    </row>
    <row r="324" spans="7:7" x14ac:dyDescent="0.3">
      <c r="G324" s="520"/>
    </row>
    <row r="325" spans="7:7" x14ac:dyDescent="0.3">
      <c r="G325" s="520"/>
    </row>
    <row r="326" spans="7:7" x14ac:dyDescent="0.3">
      <c r="G326" s="520"/>
    </row>
    <row r="327" spans="7:7" x14ac:dyDescent="0.3">
      <c r="G327" s="520"/>
    </row>
    <row r="328" spans="7:7" x14ac:dyDescent="0.3">
      <c r="G328" s="520"/>
    </row>
    <row r="329" spans="7:7" x14ac:dyDescent="0.3">
      <c r="G329" s="520"/>
    </row>
    <row r="330" spans="7:7" x14ac:dyDescent="0.3">
      <c r="G330" s="520"/>
    </row>
    <row r="331" spans="7:7" x14ac:dyDescent="0.3">
      <c r="G331" s="520"/>
    </row>
    <row r="332" spans="7:7" x14ac:dyDescent="0.3">
      <c r="G332" s="520"/>
    </row>
    <row r="333" spans="7:7" x14ac:dyDescent="0.3">
      <c r="G333" s="520"/>
    </row>
    <row r="334" spans="7:7" x14ac:dyDescent="0.3">
      <c r="G334" s="520"/>
    </row>
    <row r="335" spans="7:7" x14ac:dyDescent="0.3">
      <c r="G335" s="520"/>
    </row>
    <row r="336" spans="7:7" x14ac:dyDescent="0.3">
      <c r="G336" s="520"/>
    </row>
    <row r="337" spans="7:7" x14ac:dyDescent="0.3">
      <c r="G337" s="520"/>
    </row>
    <row r="338" spans="7:7" x14ac:dyDescent="0.3">
      <c r="G338" s="520"/>
    </row>
    <row r="339" spans="7:7" x14ac:dyDescent="0.3">
      <c r="G339" s="520"/>
    </row>
    <row r="340" spans="7:7" x14ac:dyDescent="0.3">
      <c r="G340" s="520"/>
    </row>
    <row r="341" spans="7:7" x14ac:dyDescent="0.3">
      <c r="G341" s="520"/>
    </row>
    <row r="342" spans="7:7" x14ac:dyDescent="0.3">
      <c r="G342" s="520"/>
    </row>
    <row r="343" spans="7:7" x14ac:dyDescent="0.3">
      <c r="G343" s="520"/>
    </row>
    <row r="344" spans="7:7" x14ac:dyDescent="0.3">
      <c r="G344" s="520"/>
    </row>
    <row r="345" spans="7:7" x14ac:dyDescent="0.3">
      <c r="G345" s="520"/>
    </row>
    <row r="346" spans="7:7" x14ac:dyDescent="0.3">
      <c r="G346" s="520"/>
    </row>
    <row r="347" spans="7:7" x14ac:dyDescent="0.3">
      <c r="G347" s="520"/>
    </row>
    <row r="348" spans="7:7" x14ac:dyDescent="0.3">
      <c r="G348" s="520"/>
    </row>
    <row r="349" spans="7:7" x14ac:dyDescent="0.3">
      <c r="G349" s="520"/>
    </row>
    <row r="350" spans="7:7" x14ac:dyDescent="0.3">
      <c r="G350" s="520"/>
    </row>
    <row r="351" spans="7:7" x14ac:dyDescent="0.3">
      <c r="G351" s="520"/>
    </row>
    <row r="352" spans="7:7" x14ac:dyDescent="0.3">
      <c r="G352" s="520"/>
    </row>
    <row r="353" spans="7:7" x14ac:dyDescent="0.3">
      <c r="G353" s="520"/>
    </row>
    <row r="354" spans="7:7" x14ac:dyDescent="0.3">
      <c r="G354" s="520"/>
    </row>
    <row r="355" spans="7:7" x14ac:dyDescent="0.3">
      <c r="G355" s="520"/>
    </row>
    <row r="356" spans="7:7" x14ac:dyDescent="0.3">
      <c r="G356" s="520"/>
    </row>
    <row r="357" spans="7:7" x14ac:dyDescent="0.3">
      <c r="G357" s="520"/>
    </row>
    <row r="358" spans="7:7" x14ac:dyDescent="0.3">
      <c r="G358" s="520"/>
    </row>
    <row r="359" spans="7:7" x14ac:dyDescent="0.3">
      <c r="G359" s="520"/>
    </row>
    <row r="360" spans="7:7" x14ac:dyDescent="0.3">
      <c r="G360" s="520"/>
    </row>
    <row r="361" spans="7:7" x14ac:dyDescent="0.3">
      <c r="G361" s="520"/>
    </row>
    <row r="362" spans="7:7" x14ac:dyDescent="0.3">
      <c r="G362" s="520"/>
    </row>
    <row r="363" spans="7:7" x14ac:dyDescent="0.3">
      <c r="G363" s="520"/>
    </row>
    <row r="364" spans="7:7" x14ac:dyDescent="0.3">
      <c r="G364" s="520"/>
    </row>
    <row r="365" spans="7:7" x14ac:dyDescent="0.3">
      <c r="G365" s="520"/>
    </row>
    <row r="366" spans="7:7" x14ac:dyDescent="0.3">
      <c r="G366" s="520"/>
    </row>
    <row r="367" spans="7:7" x14ac:dyDescent="0.3">
      <c r="G367" s="520"/>
    </row>
    <row r="368" spans="7:7" x14ac:dyDescent="0.3">
      <c r="G368" s="520"/>
    </row>
    <row r="369" spans="7:7" x14ac:dyDescent="0.3">
      <c r="G369" s="520"/>
    </row>
    <row r="370" spans="7:7" x14ac:dyDescent="0.3">
      <c r="G370" s="520"/>
    </row>
    <row r="371" spans="7:7" x14ac:dyDescent="0.3">
      <c r="G371" s="520"/>
    </row>
    <row r="372" spans="7:7" x14ac:dyDescent="0.3">
      <c r="G372" s="520"/>
    </row>
    <row r="373" spans="7:7" x14ac:dyDescent="0.3">
      <c r="G373" s="520"/>
    </row>
    <row r="374" spans="7:7" x14ac:dyDescent="0.3">
      <c r="G374" s="520"/>
    </row>
    <row r="375" spans="7:7" x14ac:dyDescent="0.3">
      <c r="G375" s="520"/>
    </row>
    <row r="376" spans="7:7" x14ac:dyDescent="0.3">
      <c r="G376" s="520"/>
    </row>
    <row r="377" spans="7:7" x14ac:dyDescent="0.3">
      <c r="G377" s="520"/>
    </row>
    <row r="378" spans="7:7" x14ac:dyDescent="0.3">
      <c r="G378" s="520"/>
    </row>
    <row r="379" spans="7:7" x14ac:dyDescent="0.3">
      <c r="G379" s="520"/>
    </row>
    <row r="380" spans="7:7" x14ac:dyDescent="0.3">
      <c r="G380" s="520"/>
    </row>
    <row r="381" spans="7:7" x14ac:dyDescent="0.3">
      <c r="G381" s="520"/>
    </row>
    <row r="382" spans="7:7" x14ac:dyDescent="0.3">
      <c r="G382" s="520"/>
    </row>
    <row r="383" spans="7:7" x14ac:dyDescent="0.3">
      <c r="G383" s="520"/>
    </row>
    <row r="384" spans="7:7" x14ac:dyDescent="0.3">
      <c r="G384" s="520"/>
    </row>
    <row r="385" spans="7:7" x14ac:dyDescent="0.3">
      <c r="G385" s="520"/>
    </row>
    <row r="386" spans="7:7" x14ac:dyDescent="0.3">
      <c r="G386" s="520"/>
    </row>
    <row r="387" spans="7:7" x14ac:dyDescent="0.3">
      <c r="G387" s="520"/>
    </row>
    <row r="388" spans="7:7" x14ac:dyDescent="0.3">
      <c r="G388" s="520"/>
    </row>
    <row r="389" spans="7:7" x14ac:dyDescent="0.3">
      <c r="G389" s="520"/>
    </row>
    <row r="390" spans="7:7" x14ac:dyDescent="0.3">
      <c r="G390" s="520"/>
    </row>
    <row r="391" spans="7:7" x14ac:dyDescent="0.3">
      <c r="G391" s="520"/>
    </row>
    <row r="392" spans="7:7" x14ac:dyDescent="0.3">
      <c r="G392" s="520"/>
    </row>
    <row r="393" spans="7:7" x14ac:dyDescent="0.3">
      <c r="G393" s="520"/>
    </row>
    <row r="394" spans="7:7" x14ac:dyDescent="0.3">
      <c r="G394" s="520"/>
    </row>
    <row r="395" spans="7:7" x14ac:dyDescent="0.3">
      <c r="G395" s="520"/>
    </row>
    <row r="396" spans="7:7" x14ac:dyDescent="0.3">
      <c r="G396" s="520"/>
    </row>
    <row r="397" spans="7:7" x14ac:dyDescent="0.3">
      <c r="G397" s="520"/>
    </row>
    <row r="398" spans="7:7" x14ac:dyDescent="0.3">
      <c r="G398" s="520"/>
    </row>
    <row r="399" spans="7:7" x14ac:dyDescent="0.3">
      <c r="G399" s="520"/>
    </row>
    <row r="400" spans="7:7" x14ac:dyDescent="0.3">
      <c r="G400" s="520"/>
    </row>
    <row r="401" spans="7:7" x14ac:dyDescent="0.3">
      <c r="G401" s="520"/>
    </row>
    <row r="402" spans="7:7" x14ac:dyDescent="0.3">
      <c r="G402" s="520"/>
    </row>
    <row r="403" spans="7:7" x14ac:dyDescent="0.3">
      <c r="G403" s="520"/>
    </row>
    <row r="404" spans="7:7" x14ac:dyDescent="0.3">
      <c r="G404" s="520"/>
    </row>
    <row r="405" spans="7:7" x14ac:dyDescent="0.3">
      <c r="G405" s="520"/>
    </row>
    <row r="406" spans="7:7" x14ac:dyDescent="0.3">
      <c r="G406" s="520"/>
    </row>
    <row r="407" spans="7:7" x14ac:dyDescent="0.3">
      <c r="G407" s="520"/>
    </row>
    <row r="408" spans="7:7" x14ac:dyDescent="0.3">
      <c r="G408" s="520"/>
    </row>
    <row r="409" spans="7:7" x14ac:dyDescent="0.3">
      <c r="G409" s="520"/>
    </row>
    <row r="410" spans="7:7" x14ac:dyDescent="0.3">
      <c r="G410" s="520"/>
    </row>
    <row r="411" spans="7:7" x14ac:dyDescent="0.3">
      <c r="G411" s="520"/>
    </row>
    <row r="412" spans="7:7" x14ac:dyDescent="0.3">
      <c r="G412" s="520"/>
    </row>
    <row r="413" spans="7:7" x14ac:dyDescent="0.3">
      <c r="G413" s="520"/>
    </row>
    <row r="414" spans="7:7" x14ac:dyDescent="0.3">
      <c r="G414" s="520"/>
    </row>
    <row r="415" spans="7:7" x14ac:dyDescent="0.3">
      <c r="G415" s="520"/>
    </row>
    <row r="416" spans="7:7" x14ac:dyDescent="0.3">
      <c r="G416" s="520"/>
    </row>
    <row r="417" spans="7:7" x14ac:dyDescent="0.3">
      <c r="G417" s="520"/>
    </row>
    <row r="418" spans="7:7" x14ac:dyDescent="0.3">
      <c r="G418" s="520"/>
    </row>
    <row r="419" spans="7:7" x14ac:dyDescent="0.3">
      <c r="G419" s="520"/>
    </row>
    <row r="420" spans="7:7" x14ac:dyDescent="0.3">
      <c r="G420" s="520"/>
    </row>
    <row r="421" spans="7:7" x14ac:dyDescent="0.3">
      <c r="G421" s="520"/>
    </row>
    <row r="422" spans="7:7" x14ac:dyDescent="0.3">
      <c r="G422" s="520"/>
    </row>
    <row r="423" spans="7:7" x14ac:dyDescent="0.3">
      <c r="G423" s="520"/>
    </row>
    <row r="424" spans="7:7" x14ac:dyDescent="0.3">
      <c r="G424" s="520"/>
    </row>
    <row r="425" spans="7:7" x14ac:dyDescent="0.3">
      <c r="G425" s="520"/>
    </row>
    <row r="426" spans="7:7" x14ac:dyDescent="0.3">
      <c r="G426" s="520"/>
    </row>
    <row r="427" spans="7:7" x14ac:dyDescent="0.3">
      <c r="G427" s="520"/>
    </row>
    <row r="428" spans="7:7" x14ac:dyDescent="0.3">
      <c r="G428" s="520"/>
    </row>
    <row r="429" spans="7:7" x14ac:dyDescent="0.3">
      <c r="G429" s="520"/>
    </row>
    <row r="430" spans="7:7" x14ac:dyDescent="0.3">
      <c r="G430" s="520"/>
    </row>
    <row r="431" spans="7:7" x14ac:dyDescent="0.3">
      <c r="G431" s="520"/>
    </row>
    <row r="432" spans="7:7" x14ac:dyDescent="0.3">
      <c r="G432" s="520"/>
    </row>
    <row r="433" spans="7:7" x14ac:dyDescent="0.3">
      <c r="G433" s="520"/>
    </row>
    <row r="434" spans="7:7" x14ac:dyDescent="0.3">
      <c r="G434" s="520"/>
    </row>
    <row r="435" spans="7:7" x14ac:dyDescent="0.3">
      <c r="G435" s="520"/>
    </row>
    <row r="436" spans="7:7" x14ac:dyDescent="0.3">
      <c r="G436" s="520"/>
    </row>
    <row r="437" spans="7:7" x14ac:dyDescent="0.3">
      <c r="G437" s="520"/>
    </row>
    <row r="438" spans="7:7" x14ac:dyDescent="0.3">
      <c r="G438" s="520"/>
    </row>
    <row r="439" spans="7:7" x14ac:dyDescent="0.3">
      <c r="G439" s="520"/>
    </row>
    <row r="440" spans="7:7" x14ac:dyDescent="0.3">
      <c r="G440" s="520"/>
    </row>
    <row r="441" spans="7:7" x14ac:dyDescent="0.3">
      <c r="G441" s="520"/>
    </row>
    <row r="442" spans="7:7" x14ac:dyDescent="0.3">
      <c r="G442" s="520"/>
    </row>
    <row r="443" spans="7:7" x14ac:dyDescent="0.3">
      <c r="G443" s="520"/>
    </row>
    <row r="444" spans="7:7" x14ac:dyDescent="0.3">
      <c r="G444" s="520"/>
    </row>
    <row r="445" spans="7:7" x14ac:dyDescent="0.3">
      <c r="G445" s="520"/>
    </row>
    <row r="446" spans="7:7" x14ac:dyDescent="0.3">
      <c r="G446" s="520"/>
    </row>
    <row r="447" spans="7:7" x14ac:dyDescent="0.3">
      <c r="G447" s="520"/>
    </row>
    <row r="448" spans="7:7" x14ac:dyDescent="0.3">
      <c r="G448" s="520"/>
    </row>
    <row r="449" spans="7:7" x14ac:dyDescent="0.3">
      <c r="G449" s="520"/>
    </row>
    <row r="450" spans="7:7" x14ac:dyDescent="0.3">
      <c r="G450" s="520"/>
    </row>
    <row r="451" spans="7:7" x14ac:dyDescent="0.3">
      <c r="G451" s="520"/>
    </row>
    <row r="452" spans="7:7" x14ac:dyDescent="0.3">
      <c r="G452" s="520"/>
    </row>
    <row r="453" spans="7:7" x14ac:dyDescent="0.3">
      <c r="G453" s="520"/>
    </row>
    <row r="454" spans="7:7" x14ac:dyDescent="0.3">
      <c r="G454" s="520"/>
    </row>
    <row r="455" spans="7:7" x14ac:dyDescent="0.3">
      <c r="G455" s="520"/>
    </row>
    <row r="456" spans="7:7" x14ac:dyDescent="0.3">
      <c r="G456" s="520"/>
    </row>
    <row r="457" spans="7:7" x14ac:dyDescent="0.3">
      <c r="G457" s="520"/>
    </row>
    <row r="458" spans="7:7" x14ac:dyDescent="0.3">
      <c r="G458" s="520"/>
    </row>
    <row r="459" spans="7:7" x14ac:dyDescent="0.3">
      <c r="G459" s="520"/>
    </row>
    <row r="460" spans="7:7" x14ac:dyDescent="0.3">
      <c r="G460" s="520"/>
    </row>
    <row r="461" spans="7:7" x14ac:dyDescent="0.3">
      <c r="G461" s="520"/>
    </row>
    <row r="462" spans="7:7" x14ac:dyDescent="0.3">
      <c r="G462" s="520"/>
    </row>
    <row r="463" spans="7:7" x14ac:dyDescent="0.3">
      <c r="G463" s="520"/>
    </row>
    <row r="464" spans="7:7" x14ac:dyDescent="0.3">
      <c r="G464" s="520"/>
    </row>
    <row r="465" spans="7:7" x14ac:dyDescent="0.3">
      <c r="G465" s="520"/>
    </row>
    <row r="466" spans="7:7" x14ac:dyDescent="0.3">
      <c r="G466" s="520"/>
    </row>
    <row r="467" spans="7:7" x14ac:dyDescent="0.3">
      <c r="G467" s="520"/>
    </row>
    <row r="468" spans="7:7" x14ac:dyDescent="0.3">
      <c r="G468" s="520"/>
    </row>
    <row r="469" spans="7:7" x14ac:dyDescent="0.3">
      <c r="G469" s="520"/>
    </row>
    <row r="470" spans="7:7" x14ac:dyDescent="0.3">
      <c r="G470" s="520"/>
    </row>
    <row r="471" spans="7:7" x14ac:dyDescent="0.3">
      <c r="G471" s="520"/>
    </row>
    <row r="472" spans="7:7" x14ac:dyDescent="0.3">
      <c r="G472" s="520"/>
    </row>
    <row r="473" spans="7:7" x14ac:dyDescent="0.3">
      <c r="G473" s="520"/>
    </row>
    <row r="474" spans="7:7" x14ac:dyDescent="0.3">
      <c r="G474" s="520"/>
    </row>
    <row r="475" spans="7:7" x14ac:dyDescent="0.3">
      <c r="G475" s="520"/>
    </row>
    <row r="476" spans="7:7" x14ac:dyDescent="0.3">
      <c r="G476" s="520"/>
    </row>
    <row r="477" spans="7:7" x14ac:dyDescent="0.3">
      <c r="G477" s="520"/>
    </row>
    <row r="478" spans="7:7" x14ac:dyDescent="0.3">
      <c r="G478" s="520"/>
    </row>
    <row r="479" spans="7:7" x14ac:dyDescent="0.3">
      <c r="G479" s="520"/>
    </row>
    <row r="480" spans="7:7" x14ac:dyDescent="0.3">
      <c r="G480" s="520"/>
    </row>
    <row r="481" spans="7:7" x14ac:dyDescent="0.3">
      <c r="G481" s="520"/>
    </row>
    <row r="482" spans="7:7" x14ac:dyDescent="0.3">
      <c r="G482" s="520"/>
    </row>
    <row r="483" spans="7:7" x14ac:dyDescent="0.3">
      <c r="G483" s="520"/>
    </row>
    <row r="484" spans="7:7" x14ac:dyDescent="0.3">
      <c r="G484" s="520"/>
    </row>
    <row r="485" spans="7:7" x14ac:dyDescent="0.3">
      <c r="G485" s="520"/>
    </row>
    <row r="486" spans="7:7" x14ac:dyDescent="0.3">
      <c r="G486" s="520"/>
    </row>
    <row r="487" spans="7:7" x14ac:dyDescent="0.3">
      <c r="G487" s="520"/>
    </row>
    <row r="488" spans="7:7" x14ac:dyDescent="0.3">
      <c r="G488" s="520"/>
    </row>
    <row r="489" spans="7:7" x14ac:dyDescent="0.3">
      <c r="G489" s="520"/>
    </row>
    <row r="490" spans="7:7" x14ac:dyDescent="0.3">
      <c r="G490" s="520"/>
    </row>
    <row r="491" spans="7:7" x14ac:dyDescent="0.3">
      <c r="G491" s="520"/>
    </row>
    <row r="492" spans="7:7" x14ac:dyDescent="0.3">
      <c r="G492" s="520"/>
    </row>
    <row r="493" spans="7:7" x14ac:dyDescent="0.3">
      <c r="G493" s="520"/>
    </row>
    <row r="494" spans="7:7" x14ac:dyDescent="0.3">
      <c r="G494" s="520"/>
    </row>
    <row r="495" spans="7:7" x14ac:dyDescent="0.3">
      <c r="G495" s="520"/>
    </row>
    <row r="496" spans="7:7" x14ac:dyDescent="0.3">
      <c r="G496" s="520"/>
    </row>
    <row r="497" spans="7:7" x14ac:dyDescent="0.3">
      <c r="G497" s="520"/>
    </row>
    <row r="498" spans="7:7" x14ac:dyDescent="0.3">
      <c r="G498" s="520"/>
    </row>
    <row r="499" spans="7:7" x14ac:dyDescent="0.3">
      <c r="G499" s="520"/>
    </row>
    <row r="500" spans="7:7" x14ac:dyDescent="0.3">
      <c r="G500" s="520"/>
    </row>
    <row r="501" spans="7:7" x14ac:dyDescent="0.3">
      <c r="G501" s="520"/>
    </row>
    <row r="502" spans="7:7" x14ac:dyDescent="0.3">
      <c r="G502" s="520"/>
    </row>
    <row r="503" spans="7:7" x14ac:dyDescent="0.3">
      <c r="G503" s="520"/>
    </row>
    <row r="504" spans="7:7" x14ac:dyDescent="0.3">
      <c r="G504" s="520"/>
    </row>
    <row r="505" spans="7:7" x14ac:dyDescent="0.3">
      <c r="G505" s="520"/>
    </row>
    <row r="506" spans="7:7" x14ac:dyDescent="0.3">
      <c r="G506" s="520"/>
    </row>
    <row r="507" spans="7:7" x14ac:dyDescent="0.3">
      <c r="G507" s="520"/>
    </row>
    <row r="508" spans="7:7" x14ac:dyDescent="0.3">
      <c r="G508" s="520"/>
    </row>
    <row r="509" spans="7:7" x14ac:dyDescent="0.3">
      <c r="G509" s="520"/>
    </row>
    <row r="510" spans="7:7" x14ac:dyDescent="0.3">
      <c r="G510" s="520"/>
    </row>
    <row r="511" spans="7:7" x14ac:dyDescent="0.3">
      <c r="G511" s="520"/>
    </row>
    <row r="512" spans="7:7" x14ac:dyDescent="0.3">
      <c r="G512" s="520"/>
    </row>
    <row r="513" spans="7:7" x14ac:dyDescent="0.3">
      <c r="G513" s="520"/>
    </row>
    <row r="514" spans="7:7" x14ac:dyDescent="0.3">
      <c r="G514" s="520"/>
    </row>
    <row r="515" spans="7:7" x14ac:dyDescent="0.3">
      <c r="G515" s="520"/>
    </row>
    <row r="516" spans="7:7" x14ac:dyDescent="0.3">
      <c r="G516" s="520"/>
    </row>
    <row r="517" spans="7:7" x14ac:dyDescent="0.3">
      <c r="G517" s="520"/>
    </row>
    <row r="518" spans="7:7" x14ac:dyDescent="0.3">
      <c r="G518" s="520"/>
    </row>
    <row r="519" spans="7:7" x14ac:dyDescent="0.3">
      <c r="G519" s="520"/>
    </row>
    <row r="520" spans="7:7" x14ac:dyDescent="0.3">
      <c r="G520" s="520"/>
    </row>
    <row r="521" spans="7:7" x14ac:dyDescent="0.3">
      <c r="G521" s="520"/>
    </row>
    <row r="522" spans="7:7" x14ac:dyDescent="0.3">
      <c r="G522" s="520"/>
    </row>
    <row r="523" spans="7:7" x14ac:dyDescent="0.3">
      <c r="G523" s="520"/>
    </row>
    <row r="524" spans="7:7" x14ac:dyDescent="0.3">
      <c r="G524" s="520"/>
    </row>
    <row r="525" spans="7:7" x14ac:dyDescent="0.3">
      <c r="G525" s="520"/>
    </row>
    <row r="526" spans="7:7" x14ac:dyDescent="0.3">
      <c r="G526" s="520"/>
    </row>
    <row r="527" spans="7:7" x14ac:dyDescent="0.3">
      <c r="G527" s="520"/>
    </row>
    <row r="528" spans="7:7" x14ac:dyDescent="0.3">
      <c r="G528" s="520"/>
    </row>
    <row r="529" spans="7:7" x14ac:dyDescent="0.3">
      <c r="G529" s="520"/>
    </row>
    <row r="530" spans="7:7" x14ac:dyDescent="0.3">
      <c r="G530" s="520"/>
    </row>
    <row r="531" spans="7:7" x14ac:dyDescent="0.3">
      <c r="G531" s="520"/>
    </row>
    <row r="532" spans="7:7" x14ac:dyDescent="0.3">
      <c r="G532" s="520"/>
    </row>
    <row r="533" spans="7:7" x14ac:dyDescent="0.3">
      <c r="G533" s="520"/>
    </row>
    <row r="534" spans="7:7" x14ac:dyDescent="0.3">
      <c r="G534" s="520"/>
    </row>
    <row r="535" spans="7:7" x14ac:dyDescent="0.3">
      <c r="G535" s="520"/>
    </row>
    <row r="536" spans="7:7" x14ac:dyDescent="0.3">
      <c r="G536" s="520"/>
    </row>
    <row r="537" spans="7:7" x14ac:dyDescent="0.3">
      <c r="G537" s="520"/>
    </row>
    <row r="538" spans="7:7" x14ac:dyDescent="0.3">
      <c r="G538" s="520"/>
    </row>
    <row r="539" spans="7:7" x14ac:dyDescent="0.3">
      <c r="G539" s="520"/>
    </row>
    <row r="540" spans="7:7" x14ac:dyDescent="0.3">
      <c r="G540" s="520"/>
    </row>
    <row r="541" spans="7:7" x14ac:dyDescent="0.3">
      <c r="G541" s="520"/>
    </row>
    <row r="542" spans="7:7" x14ac:dyDescent="0.3">
      <c r="G542" s="520"/>
    </row>
    <row r="543" spans="7:7" x14ac:dyDescent="0.3">
      <c r="G543" s="520"/>
    </row>
    <row r="544" spans="7:7" x14ac:dyDescent="0.3">
      <c r="G544" s="520"/>
    </row>
    <row r="545" spans="7:7" x14ac:dyDescent="0.3">
      <c r="G545" s="520"/>
    </row>
    <row r="546" spans="7:7" x14ac:dyDescent="0.3">
      <c r="G546" s="520"/>
    </row>
    <row r="547" spans="7:7" x14ac:dyDescent="0.3">
      <c r="G547" s="520"/>
    </row>
    <row r="548" spans="7:7" x14ac:dyDescent="0.3">
      <c r="G548" s="520"/>
    </row>
    <row r="549" spans="7:7" x14ac:dyDescent="0.3">
      <c r="G549" s="520"/>
    </row>
    <row r="550" spans="7:7" x14ac:dyDescent="0.3">
      <c r="G550" s="520"/>
    </row>
  </sheetData>
  <conditionalFormatting sqref="D2">
    <cfRule type="iconSet" priority="47">
      <iconSet iconSet="3Symbols2">
        <cfvo type="percent" val="0"/>
        <cfvo type="num" val="0.02"/>
        <cfvo type="num" val="0.02"/>
      </iconSet>
    </cfRule>
  </conditionalFormatting>
  <conditionalFormatting sqref="D2:D20 D22:D25 D28:D32 D35:D39 L2:L4 L15:L17 L21:L24 L28:L29">
    <cfRule type="dataBar" priority="4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{0781F3A8-C18F-4BB3-A2BB-2E890AC52F11}</x14:id>
        </ext>
      </extLst>
    </cfRule>
  </conditionalFormatting>
  <conditionalFormatting sqref="D3">
    <cfRule type="iconSet" priority="5">
      <iconSet iconSet="3Symbols2">
        <cfvo type="percent" val="0"/>
        <cfvo type="num" val="0.2"/>
        <cfvo type="num" val="0.2"/>
      </iconSet>
    </cfRule>
  </conditionalFormatting>
  <conditionalFormatting sqref="D5">
    <cfRule type="iconSet" priority="45">
      <iconSet iconSet="3Symbols2">
        <cfvo type="percent" val="0"/>
        <cfvo type="num" val="0.5"/>
        <cfvo type="num" val="0.5"/>
      </iconSet>
    </cfRule>
  </conditionalFormatting>
  <conditionalFormatting sqref="D13">
    <cfRule type="iconSet" priority="26">
      <iconSet iconSet="3Symbols2">
        <cfvo type="percent" val="0"/>
        <cfvo type="num" val="0.5"/>
        <cfvo type="num" val="0.5"/>
      </iconSet>
    </cfRule>
  </conditionalFormatting>
  <conditionalFormatting sqref="D17">
    <cfRule type="iconSet" priority="39">
      <iconSet iconSet="3Symbols2">
        <cfvo type="percent" val="0"/>
        <cfvo type="num" val="0.5"/>
        <cfvo type="num" val="0.5"/>
      </iconSet>
    </cfRule>
  </conditionalFormatting>
  <conditionalFormatting sqref="D17:D20">
    <cfRule type="dataBar" priority="40">
      <dataBar>
        <cfvo type="num" val="0"/>
        <cfvo type="num" val="1"/>
        <color theme="4" tint="0.39997558519241921"/>
      </dataBar>
      <extLst>
        <ext xmlns:x14="http://schemas.microsoft.com/office/spreadsheetml/2009/9/main" uri="{B025F937-C7B1-47D3-B67F-A62EFF666E3E}">
          <x14:id>{9EBDF69B-D251-469A-B78C-F0E56EA7C3BB}</x14:id>
        </ext>
      </extLst>
    </cfRule>
  </conditionalFormatting>
  <conditionalFormatting sqref="D20">
    <cfRule type="iconSet" priority="38">
      <iconSet iconSet="3Symbols2">
        <cfvo type="percent" val="0"/>
        <cfvo type="num" val="0.5"/>
        <cfvo type="num" val="0.5"/>
      </iconSet>
    </cfRule>
  </conditionalFormatting>
  <conditionalFormatting sqref="D25">
    <cfRule type="iconSet" priority="34">
      <iconSet iconSet="3Symbols2">
        <cfvo type="percent" val="0"/>
        <cfvo type="num" val="0.5"/>
        <cfvo type="num" val="0.5"/>
      </iconSet>
    </cfRule>
  </conditionalFormatting>
  <conditionalFormatting sqref="D30">
    <cfRule type="iconSet" priority="4">
      <iconSet iconSet="3Symbols2">
        <cfvo type="percent" val="0"/>
        <cfvo type="num" val="0.4"/>
        <cfvo type="num" val="0.4"/>
      </iconSet>
    </cfRule>
  </conditionalFormatting>
  <conditionalFormatting sqref="D38">
    <cfRule type="iconSet" priority="28">
      <iconSet iconSet="3Symbols2">
        <cfvo type="percent" val="0"/>
        <cfvo type="num" val="0.5"/>
        <cfvo type="num" val="0.5"/>
      </iconSet>
    </cfRule>
  </conditionalFormatting>
  <conditionalFormatting sqref="D40">
    <cfRule type="iconSet" priority="1">
      <iconSet iconSet="3Symbols2">
        <cfvo type="percent" val="0"/>
        <cfvo type="num" val="0.5"/>
        <cfvo type="num" val="0.5"/>
      </iconSet>
    </cfRule>
    <cfRule type="dataBar" priority="2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{84BF73C1-9B4C-4C53-ADD1-F347FEC141B3}</x14:id>
        </ext>
      </extLst>
    </cfRule>
  </conditionalFormatting>
  <conditionalFormatting sqref="L4">
    <cfRule type="iconSet" priority="23">
      <iconSet iconSet="3Symbols2">
        <cfvo type="percent" val="0"/>
        <cfvo type="num" val="0.45"/>
        <cfvo type="num" val="0.45"/>
      </iconSet>
    </cfRule>
  </conditionalFormatting>
  <conditionalFormatting sqref="L8:L11">
    <cfRule type="dataBar" priority="2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{6D6A4531-08A6-4D36-8290-7FA5FC8541B1}</x14:id>
        </ext>
      </extLst>
    </cfRule>
  </conditionalFormatting>
  <conditionalFormatting sqref="L10">
    <cfRule type="iconSet" priority="7">
      <iconSet iconSet="3Symbols2">
        <cfvo type="percent" val="0"/>
        <cfvo type="num" val="0.4"/>
        <cfvo type="num" val="0.4"/>
      </iconSet>
    </cfRule>
  </conditionalFormatting>
  <conditionalFormatting sqref="L11">
    <cfRule type="iconSet" priority="6">
      <iconSet iconSet="3Symbols2">
        <cfvo type="percent" val="0"/>
        <cfvo type="num" val="0.5"/>
        <cfvo type="num" val="0.5"/>
      </iconSet>
    </cfRule>
  </conditionalFormatting>
  <conditionalFormatting sqref="L15">
    <cfRule type="iconSet" priority="18">
      <iconSet iconSet="3Symbols2">
        <cfvo type="percent" val="0"/>
        <cfvo type="num" val="0.2"/>
        <cfvo type="num" val="0.2"/>
      </iconSet>
    </cfRule>
  </conditionalFormatting>
  <conditionalFormatting sqref="L17">
    <cfRule type="iconSet" priority="17">
      <iconSet iconSet="3Symbols2">
        <cfvo type="percent" val="0"/>
        <cfvo type="num" val="0.5"/>
        <cfvo type="num" val="0.5"/>
      </iconSet>
    </cfRule>
  </conditionalFormatting>
  <conditionalFormatting sqref="L24">
    <cfRule type="iconSet" priority="16">
      <iconSet iconSet="3Symbols2">
        <cfvo type="percent" val="0"/>
        <cfvo type="num" val="0.45"/>
        <cfvo type="num" val="0.45"/>
      </iconSet>
    </cfRule>
  </conditionalFormatting>
  <conditionalFormatting sqref="L28">
    <cfRule type="iconSet" priority="51">
      <iconSet iconSet="3Symbols2">
        <cfvo type="percent" val="0"/>
        <cfvo type="num" val="0.4"/>
        <cfvo type="num" val="0.4"/>
      </iconSet>
    </cfRule>
  </conditionalFormatting>
  <conditionalFormatting sqref="L29">
    <cfRule type="iconSet" priority="13">
      <iconSet iconSet="3Symbols2">
        <cfvo type="percent" val="0"/>
        <cfvo type="num" val="0.5"/>
        <cfvo type="num" val="0.5"/>
      </iconSet>
    </cfRule>
  </conditionalFormatting>
  <conditionalFormatting sqref="L33:L37">
    <cfRule type="dataBar" priority="10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{86DFA67B-9D17-4861-966C-E08608A091D7}</x14:id>
        </ext>
      </extLst>
    </cfRule>
  </conditionalFormatting>
  <conditionalFormatting sqref="L35">
    <cfRule type="iconSet" priority="9">
      <iconSet iconSet="3Symbols2">
        <cfvo type="percent" val="0"/>
        <cfvo type="num" val="0.5"/>
        <cfvo type="num" val="0.5"/>
      </iconSet>
    </cfRule>
  </conditionalFormatting>
  <conditionalFormatting sqref="L37">
    <cfRule type="iconSet" priority="3">
      <iconSet iconSet="3Symbols2">
        <cfvo type="percent" val="0"/>
        <cfvo type="num" val="0.5"/>
        <cfvo type="num" val="0.5"/>
      </iconSe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81F3A8-C18F-4BB3-A2BB-2E890AC52F1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D2:D20 D22:D25 D28:D32 D35:D39 L2:L4 L15:L17 L21:L24 L28:L29</xm:sqref>
        </x14:conditionalFormatting>
        <x14:conditionalFormatting xmlns:xm="http://schemas.microsoft.com/office/excel/2006/main">
          <x14:cfRule type="dataBar" id="{9EBDF69B-D251-469A-B78C-F0E56EA7C3B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2" tint="-0.249977111117893"/>
              <x14:negativeFillColor rgb="FFFF0000"/>
              <x14:negativeBorderColor rgb="FFFF0000"/>
              <x14:axisColor rgb="FF000000"/>
            </x14:dataBar>
          </x14:cfRule>
          <xm:sqref>D17:D20</xm:sqref>
        </x14:conditionalFormatting>
        <x14:conditionalFormatting xmlns:xm="http://schemas.microsoft.com/office/excel/2006/main">
          <x14:cfRule type="dataBar" id="{84BF73C1-9B4C-4C53-ADD1-F347FEC141B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B0F0"/>
              <x14:negativeFillColor rgb="FFFF0000"/>
              <x14:negativeBorder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iconSet" priority="36" id="{7DBAD6FC-7E73-461D-B64B-DCEFA3E42717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E5</xm:sqref>
        </x14:conditionalFormatting>
        <x14:conditionalFormatting xmlns:xm="http://schemas.microsoft.com/office/excel/2006/main">
          <x14:cfRule type="iconSet" priority="37" id="{49EDFD4C-F0E1-4DF3-92AC-258DDAD7B726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E13</xm:sqref>
        </x14:conditionalFormatting>
        <x14:conditionalFormatting xmlns:xm="http://schemas.microsoft.com/office/excel/2006/main">
          <x14:cfRule type="iconSet" priority="41" id="{C69CA780-8D82-4AEF-B598-7F537CBC3B9D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E20</xm:sqref>
        </x14:conditionalFormatting>
        <x14:conditionalFormatting xmlns:xm="http://schemas.microsoft.com/office/excel/2006/main">
          <x14:cfRule type="iconSet" priority="35" id="{06DFA60C-6178-4E63-B87F-07F38E250626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E25</xm:sqref>
        </x14:conditionalFormatting>
        <x14:conditionalFormatting xmlns:xm="http://schemas.microsoft.com/office/excel/2006/main">
          <x14:cfRule type="iconSet" priority="32" id="{8E4AC41C-F344-4075-AF75-F7422BC142A2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E32</xm:sqref>
        </x14:conditionalFormatting>
        <x14:conditionalFormatting xmlns:xm="http://schemas.microsoft.com/office/excel/2006/main">
          <x14:cfRule type="iconSet" priority="29" id="{D846982C-22E0-4489-907A-F55BC2B16B4B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E40</xm:sqref>
        </x14:conditionalFormatting>
        <x14:conditionalFormatting xmlns:xm="http://schemas.microsoft.com/office/excel/2006/main">
          <x14:cfRule type="dataBar" id="{6D6A4531-08A6-4D36-8290-7FA5FC8541B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L8:L11</xm:sqref>
        </x14:conditionalFormatting>
        <x14:conditionalFormatting xmlns:xm="http://schemas.microsoft.com/office/excel/2006/main">
          <x14:cfRule type="dataBar" id="{86DFA67B-9D17-4861-966C-E08608A091D7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B0F0"/>
              <x14:negativeFillColor rgb="FFFF0000"/>
              <x14:negativeBorderColor rgb="FFFF0000"/>
              <x14:axisColor rgb="FF000000"/>
            </x14:dataBar>
          </x14:cfRule>
          <xm:sqref>L33:L37</xm:sqref>
        </x14:conditionalFormatting>
        <x14:conditionalFormatting xmlns:xm="http://schemas.microsoft.com/office/excel/2006/main">
          <x14:cfRule type="iconSet" priority="25" id="{76B988D9-C506-455B-9CA0-6BA0B35328BB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M4</xm:sqref>
        </x14:conditionalFormatting>
        <x14:conditionalFormatting xmlns:xm="http://schemas.microsoft.com/office/excel/2006/main">
          <x14:cfRule type="iconSet" priority="20" id="{3D68180F-3704-4527-80CB-0C9925E06208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M11</xm:sqref>
        </x14:conditionalFormatting>
        <x14:conditionalFormatting xmlns:xm="http://schemas.microsoft.com/office/excel/2006/main">
          <x14:cfRule type="iconSet" priority="19" id="{774293A5-1541-4865-BE60-4D35830F454A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M17</xm:sqref>
        </x14:conditionalFormatting>
        <x14:conditionalFormatting xmlns:xm="http://schemas.microsoft.com/office/excel/2006/main">
          <x14:cfRule type="iconSet" priority="15" id="{8A88F764-F31E-4DE5-AACC-0BF9D2127F7E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M24</xm:sqref>
        </x14:conditionalFormatting>
        <x14:conditionalFormatting xmlns:xm="http://schemas.microsoft.com/office/excel/2006/main">
          <x14:cfRule type="iconSet" priority="14" id="{A45D9744-EE6F-4BEC-8471-F700450AC472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M29</xm:sqref>
        </x14:conditionalFormatting>
        <x14:conditionalFormatting xmlns:xm="http://schemas.microsoft.com/office/excel/2006/main">
          <x14:cfRule type="iconSet" priority="11" id="{42D61166-A403-4A02-BD96-7F596C87CA38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M37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8</vt:i4>
      </vt:variant>
    </vt:vector>
  </HeadingPairs>
  <TitlesOfParts>
    <vt:vector size="8" baseType="lpstr">
      <vt:lpstr>ECTS</vt:lpstr>
      <vt:lpstr>SEM1</vt:lpstr>
      <vt:lpstr>SEM1_rokovi</vt:lpstr>
      <vt:lpstr>SEM2</vt:lpstr>
      <vt:lpstr>SEM2_rokovi</vt:lpstr>
      <vt:lpstr>SEM3_E</vt:lpstr>
      <vt:lpstr>SEM3_R</vt:lpstr>
      <vt:lpstr>SEM3_rokovi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Roko tojcic</dc:creator>
  <cp:lastModifiedBy>Antea Parat</cp:lastModifiedBy>
  <dcterms:created xsi:type="dcterms:W3CDTF">2015-06-05T18:17:20Z</dcterms:created>
  <dcterms:modified xsi:type="dcterms:W3CDTF">2024-12-01T19:54:41Z</dcterms:modified>
</cp:coreProperties>
</file>