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ferhr-my.sharepoint.com/personal/ap55849_fer_hr/Documents/Dokumenti Laptop/Academic_Weapon/"/>
    </mc:Choice>
  </mc:AlternateContent>
  <xr:revisionPtr revIDLastSave="1299" documentId="8_{37AD6AAF-48ED-4C7E-AA93-6B557C5A0206}" xr6:coauthVersionLast="47" xr6:coauthVersionMax="47" xr10:uidLastSave="{28858C56-D747-491D-8C07-FAD8E5799D5D}"/>
  <bookViews>
    <workbookView xWindow="-108" yWindow="-108" windowWidth="23256" windowHeight="13896" activeTab="6" xr2:uid="{00000000-000D-0000-FFFF-FFFF00000000}"/>
  </bookViews>
  <sheets>
    <sheet name="ECTS" sheetId="5" r:id="rId1"/>
    <sheet name="List1" sheetId="6" r:id="rId2"/>
    <sheet name="SEM1" sheetId="1" r:id="rId3"/>
    <sheet name="SEM1_rokovi" sheetId="2" r:id="rId4"/>
    <sheet name="SEM2" sheetId="3" r:id="rId5"/>
    <sheet name="SEM2_rokovi" sheetId="4" r:id="rId6"/>
    <sheet name="SEM3_E" sheetId="7" r:id="rId7"/>
    <sheet name="SEM3_R" sheetId="8" r:id="rId8"/>
    <sheet name="SEM3_rokovi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7" l="1"/>
  <c r="B19" i="7"/>
  <c r="B10" i="7"/>
  <c r="F27" i="8"/>
  <c r="F12" i="8"/>
  <c r="F19" i="8"/>
  <c r="F33" i="8"/>
  <c r="F41" i="8"/>
  <c r="F5" i="8"/>
  <c r="C12" i="8"/>
  <c r="B12" i="8"/>
  <c r="D12" i="8" s="1"/>
  <c r="D10" i="8"/>
  <c r="D11" i="8"/>
  <c r="D9" i="8"/>
  <c r="L6" i="8"/>
  <c r="L5" i="8"/>
  <c r="L4" i="8"/>
  <c r="L3" i="8"/>
  <c r="M3" i="8"/>
  <c r="P6" i="8"/>
  <c r="P5" i="8"/>
  <c r="P4" i="8"/>
  <c r="P3" i="8"/>
  <c r="C41" i="8"/>
  <c r="B41" i="8"/>
  <c r="D41" i="8" s="1"/>
  <c r="D40" i="8"/>
  <c r="D39" i="8"/>
  <c r="D38" i="8"/>
  <c r="D37" i="8"/>
  <c r="C33" i="8"/>
  <c r="B33" i="8"/>
  <c r="O6" i="8" s="1"/>
  <c r="D32" i="8"/>
  <c r="D31" i="8"/>
  <c r="D24" i="8"/>
  <c r="B27" i="8"/>
  <c r="D27" i="8" s="1"/>
  <c r="D26" i="8"/>
  <c r="D25" i="8"/>
  <c r="D23" i="8"/>
  <c r="P7" i="8"/>
  <c r="E41" i="8" s="1"/>
  <c r="M6" i="8"/>
  <c r="M5" i="8"/>
  <c r="D16" i="8"/>
  <c r="D17" i="8"/>
  <c r="D18" i="8"/>
  <c r="C19" i="8"/>
  <c r="B19" i="8"/>
  <c r="D19" i="8" s="1"/>
  <c r="D3" i="8"/>
  <c r="D4" i="8"/>
  <c r="D2" i="8"/>
  <c r="C5" i="8"/>
  <c r="B5" i="8"/>
  <c r="K6" i="8" s="1"/>
  <c r="E5" i="7"/>
  <c r="D44" i="7"/>
  <c r="D42" i="7"/>
  <c r="D43" i="7"/>
  <c r="D41" i="7"/>
  <c r="C45" i="7"/>
  <c r="B45" i="7"/>
  <c r="D45" i="7" s="1"/>
  <c r="D34" i="7"/>
  <c r="D35" i="7"/>
  <c r="D36" i="7"/>
  <c r="E34" i="7"/>
  <c r="D33" i="7"/>
  <c r="B37" i="7"/>
  <c r="C37" i="7"/>
  <c r="D26" i="7"/>
  <c r="B29" i="7"/>
  <c r="D29" i="7" s="1"/>
  <c r="D28" i="7"/>
  <c r="D27" i="7"/>
  <c r="D21" i="7"/>
  <c r="B22" i="7"/>
  <c r="L6" i="7" s="1"/>
  <c r="D20" i="7"/>
  <c r="D19" i="7"/>
  <c r="D18" i="7"/>
  <c r="D13" i="7"/>
  <c r="E12" i="7"/>
  <c r="D10" i="7"/>
  <c r="D11" i="7"/>
  <c r="D12" i="7"/>
  <c r="B9" i="7"/>
  <c r="D9" i="7" s="1"/>
  <c r="C14" i="7"/>
  <c r="B5" i="7"/>
  <c r="J6" i="7" s="1"/>
  <c r="D4" i="7"/>
  <c r="D3" i="7"/>
  <c r="B2" i="7"/>
  <c r="D2" i="7" s="1"/>
  <c r="B2" i="2"/>
  <c r="B17" i="4"/>
  <c r="B3" i="4"/>
  <c r="B14" i="3"/>
  <c r="B35" i="3"/>
  <c r="B13" i="4"/>
  <c r="D13" i="4" s="1"/>
  <c r="D19" i="3"/>
  <c r="B7" i="3"/>
  <c r="N8" i="3" s="1"/>
  <c r="B7" i="1"/>
  <c r="N6" i="1" s="1"/>
  <c r="B14" i="4"/>
  <c r="F24" i="4"/>
  <c r="F21" i="4"/>
  <c r="F9" i="4"/>
  <c r="F22" i="2"/>
  <c r="E12" i="5"/>
  <c r="D12" i="5"/>
  <c r="B12" i="5"/>
  <c r="E7" i="5"/>
  <c r="B12" i="4"/>
  <c r="D12" i="4" s="1"/>
  <c r="D16" i="4"/>
  <c r="D17" i="4"/>
  <c r="B2" i="4"/>
  <c r="D2" i="4" s="1"/>
  <c r="D4" i="4"/>
  <c r="D5" i="4"/>
  <c r="B30" i="3"/>
  <c r="Q8" i="3" s="1"/>
  <c r="E21" i="3"/>
  <c r="D6" i="3"/>
  <c r="Q7" i="4"/>
  <c r="Q6" i="4"/>
  <c r="Q5" i="4"/>
  <c r="Q4" i="4"/>
  <c r="P7" i="4"/>
  <c r="P6" i="4"/>
  <c r="P5" i="4"/>
  <c r="P4" i="4"/>
  <c r="N5" i="4"/>
  <c r="D24" i="4"/>
  <c r="D21" i="4"/>
  <c r="D17" i="3"/>
  <c r="D20" i="3"/>
  <c r="D21" i="3"/>
  <c r="D22" i="3"/>
  <c r="D34" i="3"/>
  <c r="D29" i="3"/>
  <c r="D28" i="3"/>
  <c r="D27" i="3"/>
  <c r="D23" i="3"/>
  <c r="D13" i="3"/>
  <c r="D12" i="3"/>
  <c r="D5" i="3"/>
  <c r="D4" i="3"/>
  <c r="D3" i="3"/>
  <c r="D6" i="1"/>
  <c r="B13" i="1"/>
  <c r="D13" i="1" s="1"/>
  <c r="D35" i="1"/>
  <c r="D4" i="1"/>
  <c r="B20" i="2"/>
  <c r="D20" i="2" s="1"/>
  <c r="D19" i="2"/>
  <c r="E22" i="2"/>
  <c r="B7" i="2"/>
  <c r="B9" i="2" s="1"/>
  <c r="B18" i="2"/>
  <c r="B22" i="2" s="1"/>
  <c r="D22" i="2" s="1"/>
  <c r="D21" i="2"/>
  <c r="D34" i="1"/>
  <c r="D30" i="1"/>
  <c r="D31" i="1"/>
  <c r="D32" i="1"/>
  <c r="D33" i="1"/>
  <c r="D29" i="1"/>
  <c r="P8" i="2"/>
  <c r="P7" i="2"/>
  <c r="P6" i="2"/>
  <c r="P5" i="2"/>
  <c r="O8" i="2"/>
  <c r="O7" i="2"/>
  <c r="O6" i="2"/>
  <c r="O5" i="2"/>
  <c r="B4" i="2"/>
  <c r="M7" i="2" s="1"/>
  <c r="D2" i="2"/>
  <c r="D15" i="2"/>
  <c r="D12" i="2"/>
  <c r="D8" i="2"/>
  <c r="D3" i="2"/>
  <c r="Q5" i="2"/>
  <c r="Q8" i="2"/>
  <c r="Q7" i="2"/>
  <c r="Q6" i="2"/>
  <c r="Q9" i="2"/>
  <c r="D23" i="1"/>
  <c r="D24" i="1"/>
  <c r="D22" i="1"/>
  <c r="D17" i="1"/>
  <c r="D18" i="1"/>
  <c r="D16" i="1"/>
  <c r="D11" i="1"/>
  <c r="D12" i="1"/>
  <c r="D10" i="1"/>
  <c r="D3" i="1"/>
  <c r="D5" i="1"/>
  <c r="D2" i="1"/>
  <c r="B19" i="1"/>
  <c r="D19" i="1" s="1"/>
  <c r="B25" i="1"/>
  <c r="D25" i="1" s="1"/>
  <c r="F2" i="8" l="1"/>
  <c r="L7" i="8"/>
  <c r="E12" i="8" s="1"/>
  <c r="O3" i="8"/>
  <c r="O4" i="8"/>
  <c r="O5" i="8"/>
  <c r="O7" i="8" s="1"/>
  <c r="E33" i="8" s="1"/>
  <c r="M7" i="8"/>
  <c r="E19" i="8" s="1"/>
  <c r="M4" i="8"/>
  <c r="D33" i="8"/>
  <c r="N3" i="8"/>
  <c r="N4" i="8"/>
  <c r="N5" i="8"/>
  <c r="N6" i="8"/>
  <c r="D5" i="8"/>
  <c r="K3" i="8"/>
  <c r="K4" i="8"/>
  <c r="K5" i="8"/>
  <c r="O4" i="7"/>
  <c r="O5" i="7"/>
  <c r="O3" i="7"/>
  <c r="O6" i="7"/>
  <c r="B14" i="7"/>
  <c r="D14" i="7" s="1"/>
  <c r="D37" i="7"/>
  <c r="D5" i="7"/>
  <c r="N3" i="7"/>
  <c r="N4" i="7"/>
  <c r="N5" i="7"/>
  <c r="N6" i="7"/>
  <c r="L3" i="7"/>
  <c r="L4" i="7"/>
  <c r="L5" i="7"/>
  <c r="M3" i="7"/>
  <c r="M4" i="7"/>
  <c r="M5" i="7"/>
  <c r="M7" i="7" s="1"/>
  <c r="E29" i="7" s="1"/>
  <c r="F29" i="7" s="1"/>
  <c r="M6" i="7"/>
  <c r="D22" i="7"/>
  <c r="J3" i="7"/>
  <c r="J4" i="7"/>
  <c r="J5" i="7"/>
  <c r="Q7" i="1"/>
  <c r="Q8" i="1"/>
  <c r="Q5" i="1"/>
  <c r="O7" i="3"/>
  <c r="D10" i="3"/>
  <c r="B24" i="3"/>
  <c r="P7" i="3" s="1"/>
  <c r="B15" i="4"/>
  <c r="D15" i="4" s="1"/>
  <c r="P6" i="1"/>
  <c r="P7" i="1"/>
  <c r="P5" i="1"/>
  <c r="P8" i="1"/>
  <c r="D18" i="2"/>
  <c r="D18" i="3"/>
  <c r="P9" i="1"/>
  <c r="E19" i="1" s="1"/>
  <c r="F19" i="1" s="1"/>
  <c r="D14" i="4"/>
  <c r="D11" i="3"/>
  <c r="D4" i="2"/>
  <c r="P9" i="2"/>
  <c r="E15" i="2" s="1"/>
  <c r="O9" i="2"/>
  <c r="E12" i="2" s="1"/>
  <c r="Q6" i="1"/>
  <c r="M6" i="2"/>
  <c r="M5" i="2"/>
  <c r="M8" i="2"/>
  <c r="B6" i="4"/>
  <c r="D3" i="4"/>
  <c r="Q8" i="4"/>
  <c r="E24" i="4" s="1"/>
  <c r="N6" i="3"/>
  <c r="D7" i="3"/>
  <c r="N7" i="3"/>
  <c r="D14" i="3"/>
  <c r="O8" i="3"/>
  <c r="O6" i="3"/>
  <c r="N7" i="4"/>
  <c r="N4" i="4"/>
  <c r="N6" i="4"/>
  <c r="P8" i="4"/>
  <c r="E21" i="4" s="1"/>
  <c r="D9" i="4"/>
  <c r="N5" i="3"/>
  <c r="D30" i="3"/>
  <c r="Q7" i="3"/>
  <c r="Q6" i="3"/>
  <c r="O5" i="3"/>
  <c r="Q5" i="3"/>
  <c r="D2" i="3"/>
  <c r="N5" i="1"/>
  <c r="N7" i="2"/>
  <c r="N8" i="2"/>
  <c r="D9" i="2"/>
  <c r="N5" i="2"/>
  <c r="N6" i="2"/>
  <c r="D7" i="2"/>
  <c r="O8" i="1"/>
  <c r="O6" i="1"/>
  <c r="O5" i="1"/>
  <c r="O7" i="1"/>
  <c r="B36" i="1"/>
  <c r="R8" i="1" s="1"/>
  <c r="D7" i="1"/>
  <c r="N7" i="1"/>
  <c r="N8" i="1"/>
  <c r="K3" i="7" l="1"/>
  <c r="K6" i="7"/>
  <c r="K5" i="7"/>
  <c r="K4" i="7"/>
  <c r="N7" i="8"/>
  <c r="E27" i="8" s="1"/>
  <c r="K7" i="8"/>
  <c r="E5" i="8" s="1"/>
  <c r="O7" i="7"/>
  <c r="E45" i="7" s="1"/>
  <c r="F45" i="7" s="1"/>
  <c r="L7" i="7"/>
  <c r="E22" i="7" s="1"/>
  <c r="F22" i="7" s="1"/>
  <c r="N7" i="7"/>
  <c r="E37" i="7" s="1"/>
  <c r="F37" i="7" s="1"/>
  <c r="J7" i="7"/>
  <c r="F5" i="7" s="1"/>
  <c r="Q9" i="1"/>
  <c r="E25" i="1" s="1"/>
  <c r="C6" i="5"/>
  <c r="B18" i="4"/>
  <c r="O6" i="4" s="1"/>
  <c r="P6" i="3"/>
  <c r="D24" i="3"/>
  <c r="P5" i="3"/>
  <c r="P8" i="3"/>
  <c r="F15" i="2"/>
  <c r="D7" i="5"/>
  <c r="F12" i="2"/>
  <c r="C7" i="5"/>
  <c r="C5" i="5" s="1"/>
  <c r="D6" i="5"/>
  <c r="F25" i="1"/>
  <c r="M9" i="2"/>
  <c r="E4" i="2" s="1"/>
  <c r="M5" i="4"/>
  <c r="M4" i="4"/>
  <c r="M7" i="4"/>
  <c r="M6" i="4"/>
  <c r="D6" i="4"/>
  <c r="O9" i="3"/>
  <c r="E14" i="3" s="1"/>
  <c r="N8" i="4"/>
  <c r="E9" i="4" s="1"/>
  <c r="N9" i="3"/>
  <c r="E7" i="3" s="1"/>
  <c r="Q9" i="3"/>
  <c r="E30" i="3" s="1"/>
  <c r="F30" i="3" s="1"/>
  <c r="N9" i="1"/>
  <c r="E7" i="1" s="1"/>
  <c r="O9" i="1"/>
  <c r="E13" i="1" s="1"/>
  <c r="N9" i="2"/>
  <c r="E9" i="2" s="1"/>
  <c r="R7" i="1"/>
  <c r="R5" i="1"/>
  <c r="D36" i="1"/>
  <c r="R6" i="1"/>
  <c r="K7" i="7" l="1"/>
  <c r="E14" i="7" s="1"/>
  <c r="F14" i="7" s="1"/>
  <c r="F2" i="7" s="1"/>
  <c r="O7" i="4"/>
  <c r="D18" i="4"/>
  <c r="O4" i="4"/>
  <c r="O5" i="4"/>
  <c r="P9" i="3"/>
  <c r="E24" i="3" s="1"/>
  <c r="C11" i="5" s="1"/>
  <c r="M8" i="4"/>
  <c r="E6" i="4" s="1"/>
  <c r="D11" i="5"/>
  <c r="D10" i="5" s="1"/>
  <c r="B11" i="5"/>
  <c r="B10" i="5" s="1"/>
  <c r="F14" i="3"/>
  <c r="F7" i="3"/>
  <c r="A11" i="5"/>
  <c r="D5" i="5"/>
  <c r="B7" i="5"/>
  <c r="F9" i="2"/>
  <c r="B6" i="5"/>
  <c r="F13" i="1"/>
  <c r="A6" i="5"/>
  <c r="F7" i="1"/>
  <c r="A7" i="5"/>
  <c r="F4" i="2"/>
  <c r="R9" i="1"/>
  <c r="E36" i="1" s="1"/>
  <c r="O8" i="4" l="1"/>
  <c r="E18" i="4" s="1"/>
  <c r="F24" i="3"/>
  <c r="C12" i="5"/>
  <c r="C10" i="5" s="1"/>
  <c r="F18" i="4"/>
  <c r="A12" i="5"/>
  <c r="A10" i="5" s="1"/>
  <c r="F6" i="4"/>
  <c r="B5" i="5"/>
  <c r="A5" i="5"/>
  <c r="E6" i="5"/>
  <c r="E5" i="5" s="1"/>
  <c r="F4" i="5" s="1"/>
  <c r="F36" i="1"/>
  <c r="F2" i="1" s="1"/>
  <c r="F2" i="2"/>
  <c r="F2" i="4" l="1"/>
  <c r="R8" i="3"/>
  <c r="R6" i="3"/>
  <c r="R7" i="3"/>
  <c r="R9" i="3" s="1"/>
  <c r="E35" i="3" s="1"/>
  <c r="F35" i="3" s="1"/>
  <c r="F2" i="3" s="1"/>
  <c r="D35" i="3"/>
  <c r="R5" i="3"/>
  <c r="E11" i="5" l="1"/>
  <c r="E10" i="5" s="1"/>
  <c r="F9" i="5" s="1"/>
  <c r="I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tc={048DD218-393A-4AD5-968E-6FB055C98BFC}</author>
    <author>tc={2E7764DA-5587-4B31-8CA8-03314B1AD733}</author>
    <author>tc={79436E82-2329-417C-93BF-913CC54B60B9}</author>
    <author>tc={B8C00CC6-9561-471A-8418-228EC3B2A655}</author>
    <author>tc={8336269A-3E16-4DCA-809F-D8012D883B9F}</author>
  </authors>
  <commentList>
    <comment ref="D7" authorId="0" shapeId="0" xr:uid="{048DD218-393A-4AD5-968E-6FB055C98BFC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Dovoljan (2) 50 % 
Dobar (3) 62 % 
Vrlo dobar (4) 75 % 
Izvrstan (5) 88 %</t>
      </text>
    </comment>
    <comment ref="D13" authorId="1" shapeId="0" xr:uid="{2E7764DA-5587-4B31-8CA8-03314B1AD733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[87.5, 100] 5 
[75, 87.5) 4 
[62.5, 75) 3 
[50, 62.5) 2 </t>
      </text>
    </comment>
    <comment ref="D19" authorId="2" shapeId="0" xr:uid="{79436E82-2329-417C-93BF-913CC54B60B9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45 bodova………dovoljan (2) 
55 bodova………dobar (3) 
70 bodova………vrlo dobar (4) 
85 bodova………izvrstan (5) </t>
      </text>
    </comment>
    <comment ref="D25" authorId="3" shapeId="0" xr:uid="{B8C00CC6-9561-471A-8418-228EC3B2A655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D36" authorId="4" shapeId="0" xr:uid="{8336269A-3E16-4DCA-809F-D8012D883B9F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80 vrlo dobar
70 dobar
60 dovoljan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tc={8466538D-CB99-4685-8D00-C6B9C6699AC0}</author>
    <author>tc={2E7B1771-4A33-442B-BD13-A927A1CA313D}</author>
    <author>tc={40C51B75-82AA-4452-9884-5B9F3D50D7A2}</author>
    <author>tc={7026532A-443C-46BF-B9D8-05ADE320B1CB}</author>
    <author>tc={0C339E6C-19AE-4F2A-BA83-337FA80BEB9D}</author>
  </authors>
  <commentList>
    <comment ref="D7" authorId="0" shapeId="0" xr:uid="{8466538D-CB99-4685-8D00-C6B9C6699AC0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MI &amp; ZI 1/4 računskih zadataka mora biti u cijelosti točno riješen
85 izvrstan
70 vrlo dobar
60 dobar
50 dovoljan
</t>
      </text>
    </comment>
    <comment ref="D14" authorId="1" shapeId="0" xr:uid="{2E7B1771-4A33-442B-BD13-A927A1CA313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 (5)
80 vrlo dobar (4)
65 dobar (3)
50 dovoljan (2)
</t>
      </text>
    </comment>
    <comment ref="D24" authorId="2" shapeId="0" xr:uid="{40C51B75-82AA-4452-9884-5B9F3D50D7A2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 (5)
74 vrlo dobar (4)
62 dobar (3)
50 dovoljan (2)
</t>
      </text>
    </comment>
    <comment ref="D30" authorId="3" shapeId="0" xr:uid="{7026532A-443C-46BF-B9D8-05ADE320B1CB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  <comment ref="D35" authorId="4" shapeId="0" xr:uid="{0C339E6C-19AE-4F2A-BA83-337FA80BEB9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35,5 izvrstan (5) 
30 vrlo dobar (4) 
24 dobar (3)
20 dovoljan (2)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tc={5ACE5987-5963-4121-89A7-4BF8668CD5C2}</author>
    <author>tc={E41F6399-D675-42CF-976D-6375BD38C856}</author>
    <author>tc={D84C6AB1-FC10-46BA-90B0-FDB5AD3AE7A6}</author>
  </authors>
  <commentList>
    <comment ref="E5" authorId="0" shapeId="0" xr:uid="{5ACE5987-5963-4121-89A7-4BF8668CD5C2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 izvrstan
75 vrlo dobar
62 dobar
50 dovoljan
- obavezna odrada svih labosa
</t>
      </text>
    </comment>
    <comment ref="E22" authorId="1" shapeId="0" xr:uid="{E41F6399-D675-42CF-976D-6375BD38C856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MI &amp; ZI 1/4 računskih zadataka mora biti u cijelosti točno riješen
85 izvrstan
70 vrlo dobar
60 dobar
50 dovoljan</t>
      </text>
    </comment>
    <comment ref="D29" authorId="2" shapeId="0" xr:uid="{D84C6AB1-FC10-46BA-90B0-FDB5AD3AE7A6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86 izvrstan
72 vrlo dobar
58 dobar
50 dovoljan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tc={2B565E65-B6B7-480B-B926-B037DD75D35E}</author>
    <author>tc={7B4532CC-98DA-4AC3-A688-9F79983546AD}</author>
    <author>tc={9D2E405E-0273-4503-B245-96FE7681891E}</author>
    <author>tc={CBB3F499-1903-4CAA-80DB-29B67F2D265D}</author>
    <author>tc={90E3B7C8-5982-4B11-8E98-38C2C7947433}</author>
    <author>tc={B43446FD-BE6E-480A-A42F-7288033FCF50}</author>
  </authors>
  <commentList>
    <comment ref="E5" authorId="0" shapeId="0" xr:uid="{2B565E65-B6B7-480B-B926-B037DD75D35E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</t>
      </text>
    </comment>
    <comment ref="E12" authorId="1" shapeId="0" xr:uid="{7B4532CC-98DA-4AC3-A688-9F79983546AD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87.5 izvrstan
75 vrlo dobar
62.5 dobar
50 dovoljan</t>
      </text>
    </comment>
    <comment ref="E19" authorId="2" shapeId="0" xr:uid="{9D2E405E-0273-4503-B245-96FE7681891E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90 izvrstan
80 vrlo dobar
65 dobar
50 dovoljan</t>
      </text>
    </comment>
    <comment ref="E27" authorId="3" shapeId="0" xr:uid="{CBB3F499-1903-4CAA-80DB-29B67F2D265D}">
      <text>
        <t xml:space="preserve"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45 dovoljan
</t>
      </text>
    </comment>
    <comment ref="E33" authorId="4" shapeId="0" xr:uid="{90E3B7C8-5982-4B11-8E98-38C2C7947433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70 vrlo dobar
55 dobar
40 dovoljan</t>
      </text>
    </comment>
    <comment ref="E41" authorId="5" shapeId="0" xr:uid="{B43446FD-BE6E-480A-A42F-7288033FCF50}">
      <text>
        <t>[Komentar u obliku niti]
Vaša verzija programa Excel omogućuje vam da pročitate ovaj komentar u obliku niti, no sve će izmjene biti uklonjene ako datoteka bude otvorena u novijoj verziji programa Excel. Saznajte više: https://go.microsoft.com/fwlink/?linkid=870924
Komentar:
    85 izvrstan
72 vrlo dobar
60 dobar
50 dovoljan</t>
      </text>
    </comment>
  </commentList>
</comments>
</file>

<file path=xl/sharedStrings.xml><?xml version="1.0" encoding="utf-8"?>
<sst xmlns="http://schemas.openxmlformats.org/spreadsheetml/2006/main" count="393" uniqueCount="82">
  <si>
    <t>DIGLOG</t>
  </si>
  <si>
    <t>Labos</t>
  </si>
  <si>
    <t>Zadace</t>
  </si>
  <si>
    <t>KPZ</t>
  </si>
  <si>
    <t>MI</t>
  </si>
  <si>
    <t>ZI</t>
  </si>
  <si>
    <t>Moji Bodovi</t>
  </si>
  <si>
    <t>Maximum</t>
  </si>
  <si>
    <t>UKUPNO</t>
  </si>
  <si>
    <t>UPRO</t>
  </si>
  <si>
    <t>LINALG</t>
  </si>
  <si>
    <t>Zadaće</t>
  </si>
  <si>
    <t>MATAN - ONE</t>
  </si>
  <si>
    <t>Postotak</t>
  </si>
  <si>
    <t>Ocjena:</t>
  </si>
  <si>
    <t>Racunanje ocjene</t>
  </si>
  <si>
    <t>MATAN</t>
  </si>
  <si>
    <t>zbroj</t>
  </si>
  <si>
    <t>Ispit</t>
  </si>
  <si>
    <t>Linearna</t>
  </si>
  <si>
    <t xml:space="preserve">Maximum </t>
  </si>
  <si>
    <t>Ukupno</t>
  </si>
  <si>
    <t>Matan1</t>
  </si>
  <si>
    <t>Ocjena</t>
  </si>
  <si>
    <t>VJEKOM &gt;:(</t>
  </si>
  <si>
    <t>Pripreme</t>
  </si>
  <si>
    <t>Projekt</t>
  </si>
  <si>
    <t>Sudjelovanje</t>
  </si>
  <si>
    <t>MI/ZI</t>
  </si>
  <si>
    <t>VJEKOM</t>
  </si>
  <si>
    <t xml:space="preserve">VJEKOM </t>
  </si>
  <si>
    <t>Bonus</t>
  </si>
  <si>
    <t>FIZIKA</t>
  </si>
  <si>
    <t>MI pismeni</t>
  </si>
  <si>
    <t>ZI pismeni</t>
  </si>
  <si>
    <t>ZI usmeni</t>
  </si>
  <si>
    <t>OOP</t>
  </si>
  <si>
    <t>OE</t>
  </si>
  <si>
    <t>Labosi</t>
  </si>
  <si>
    <t>DZ</t>
  </si>
  <si>
    <t>lil extra</t>
  </si>
  <si>
    <t>PITI</t>
  </si>
  <si>
    <t>OElektro</t>
  </si>
  <si>
    <t>MATAN#2</t>
  </si>
  <si>
    <t>FIZ</t>
  </si>
  <si>
    <t>MATAN2</t>
  </si>
  <si>
    <t>Matan2</t>
  </si>
  <si>
    <t xml:space="preserve">PITI </t>
  </si>
  <si>
    <t>Pismeni</t>
  </si>
  <si>
    <t>Usmeni</t>
  </si>
  <si>
    <t>ECTS</t>
  </si>
  <si>
    <t>TRENUTNO STANJE</t>
  </si>
  <si>
    <t>#1 SEMESTAR</t>
  </si>
  <si>
    <t>#2 SEMESTAR</t>
  </si>
  <si>
    <t>UKUPNO:</t>
  </si>
  <si>
    <t>stanje :</t>
  </si>
  <si>
    <t>po semestru</t>
  </si>
  <si>
    <t>&lt;-- link</t>
  </si>
  <si>
    <t>https://github.com/APapratt13/Academic_Weapon/tree/master</t>
  </si>
  <si>
    <t>EleKru</t>
  </si>
  <si>
    <t>Elektronika</t>
  </si>
  <si>
    <t>Max</t>
  </si>
  <si>
    <t>Moji bodovi</t>
  </si>
  <si>
    <t>elekru</t>
  </si>
  <si>
    <t>fiz2</t>
  </si>
  <si>
    <t>mue</t>
  </si>
  <si>
    <t>ele1</t>
  </si>
  <si>
    <t>inzeko</t>
  </si>
  <si>
    <t>prisutnost</t>
  </si>
  <si>
    <t>MATAN#3</t>
  </si>
  <si>
    <t>MuEle</t>
  </si>
  <si>
    <t>Inžeko</t>
  </si>
  <si>
    <t>ViS</t>
  </si>
  <si>
    <t>kpz</t>
  </si>
  <si>
    <t>Racunanje ocjena</t>
  </si>
  <si>
    <t>ASP</t>
  </si>
  <si>
    <t>VIS</t>
  </si>
  <si>
    <t>ARH</t>
  </si>
  <si>
    <t>DISMAT</t>
  </si>
  <si>
    <t>TINF</t>
  </si>
  <si>
    <t>DisMat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</si>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</sst>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charset val="238"/>
      <scheme val="minor"/>
    </font>
    <font>
      <sz val="9"/>
      <color indexed="81"/>
      <name val="Segoe UI"/>
      <charset val="1"/>
    </font>
  </fonts>
  <fills count="7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644"/>
        <bgColor indexed="64"/>
      </patternFill>
    </fill>
    <fill>
      <patternFill patternType="solid">
        <fgColor rgb="FF009E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67A00"/>
        <bgColor indexed="64"/>
      </patternFill>
    </fill>
    <fill>
      <patternFill patternType="solid">
        <fgColor rgb="FFF68D00"/>
        <bgColor indexed="64"/>
      </patternFill>
    </fill>
    <fill>
      <patternFill patternType="solid">
        <fgColor rgb="FFFFD49B"/>
        <bgColor indexed="64"/>
      </patternFill>
    </fill>
    <fill>
      <patternFill patternType="solid">
        <fgColor rgb="FFFFC27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A228C"/>
        <bgColor indexed="64"/>
      </patternFill>
    </fill>
    <fill>
      <patternFill patternType="solid">
        <fgColor rgb="FFD12FBE"/>
        <bgColor indexed="64"/>
      </patternFill>
    </fill>
    <fill>
      <patternFill patternType="solid">
        <fgColor rgb="FFF0BAEA"/>
        <bgColor indexed="64"/>
      </patternFill>
    </fill>
    <fill>
      <patternFill patternType="solid">
        <fgColor rgb="FFE894D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AB8F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rgb="FF6598FF"/>
        <bgColor indexed="64"/>
      </patternFill>
    </fill>
    <fill>
      <patternFill patternType="solid">
        <fgColor rgb="FF538CFF"/>
        <bgColor indexed="64"/>
      </patternFill>
    </fill>
    <fill>
      <patternFill patternType="solid">
        <fgColor rgb="FF0156FF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EBA5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6E0FC"/>
        <bgColor indexed="64"/>
      </patternFill>
    </fill>
    <fill>
      <patternFill patternType="solid">
        <fgColor rgb="FF96D3FC"/>
        <bgColor indexed="64"/>
      </patternFill>
    </fill>
    <fill>
      <patternFill patternType="solid">
        <fgColor rgb="FF1DA4FF"/>
        <bgColor indexed="64"/>
      </patternFill>
    </fill>
    <fill>
      <patternFill patternType="solid">
        <fgColor rgb="FF43B3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93FFE3"/>
        <bgColor indexed="64"/>
      </patternFill>
    </fill>
    <fill>
      <patternFill patternType="solid">
        <fgColor rgb="FF71FFDA"/>
        <bgColor indexed="64"/>
      </patternFill>
    </fill>
    <fill>
      <patternFill patternType="solid">
        <fgColor rgb="FF00E6A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93BC3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39BE1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thin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thin">
        <color rgb="FFFFFF00"/>
      </right>
      <top/>
      <bottom style="medium">
        <color rgb="FFFFFF00"/>
      </bottom>
      <diagonal/>
    </border>
    <border>
      <left style="thin">
        <color rgb="FFFFFF00"/>
      </left>
      <right style="thin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medium">
        <color rgb="FFFFFF00"/>
      </top>
      <bottom style="thin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 style="medium">
        <color rgb="FFFFFF00"/>
      </left>
      <right/>
      <top/>
      <bottom/>
      <diagonal/>
    </border>
    <border>
      <left style="medium">
        <color rgb="FFFFFF00"/>
      </left>
      <right style="thin">
        <color rgb="FFFFFF00"/>
      </right>
      <top/>
      <bottom/>
      <diagonal/>
    </border>
    <border>
      <left style="thin">
        <color rgb="FFFFFF00"/>
      </left>
      <right style="thin">
        <color rgb="FFFFFF00"/>
      </right>
      <top/>
      <bottom/>
      <diagonal/>
    </border>
    <border>
      <left/>
      <right style="medium">
        <color rgb="FFFFFF00"/>
      </right>
      <top/>
      <bottom/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5">
    <xf numFmtId="0" fontId="0" fillId="0" borderId="0" xfId="0"/>
    <xf numFmtId="0" fontId="1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9" borderId="7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0" fontId="0" fillId="9" borderId="5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0" fontId="0" fillId="10" borderId="7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5" borderId="5" xfId="0" applyNumberForma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5" borderId="0" xfId="0" applyFill="1"/>
    <xf numFmtId="9" fontId="0" fillId="5" borderId="0" xfId="0" applyNumberFormat="1" applyFill="1"/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0" fontId="0" fillId="12" borderId="5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0" fillId="13" borderId="7" xfId="0" applyNumberForma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1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0" fontId="0" fillId="17" borderId="7" xfId="0" applyNumberFormat="1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10" fontId="0" fillId="16" borderId="16" xfId="0" applyNumberFormat="1" applyFill="1" applyBorder="1" applyAlignment="1">
      <alignment horizontal="center" vertical="center"/>
    </xf>
    <xf numFmtId="10" fontId="0" fillId="17" borderId="17" xfId="0" applyNumberFormat="1" applyFill="1" applyBorder="1" applyAlignment="1">
      <alignment horizontal="center" vertical="center"/>
    </xf>
    <xf numFmtId="10" fontId="0" fillId="12" borderId="16" xfId="0" applyNumberFormat="1" applyFill="1" applyBorder="1" applyAlignment="1">
      <alignment horizontal="center" vertical="center"/>
    </xf>
    <xf numFmtId="10" fontId="0" fillId="13" borderId="17" xfId="0" applyNumberFormat="1" applyFill="1" applyBorder="1" applyAlignment="1">
      <alignment horizontal="center" vertical="center"/>
    </xf>
    <xf numFmtId="10" fontId="0" fillId="5" borderId="16" xfId="0" applyNumberFormat="1" applyFill="1" applyBorder="1" applyAlignment="1">
      <alignment horizontal="center" vertical="center"/>
    </xf>
    <xf numFmtId="10" fontId="0" fillId="10" borderId="17" xfId="0" applyNumberFormat="1" applyFill="1" applyBorder="1" applyAlignment="1">
      <alignment horizontal="center" vertical="center"/>
    </xf>
    <xf numFmtId="10" fontId="0" fillId="9" borderId="16" xfId="0" applyNumberFormat="1" applyFill="1" applyBorder="1" applyAlignment="1">
      <alignment horizontal="center" vertical="center"/>
    </xf>
    <xf numFmtId="10" fontId="0" fillId="8" borderId="17" xfId="0" applyNumberFormat="1" applyFill="1" applyBorder="1" applyAlignment="1">
      <alignment horizontal="center" vertical="center"/>
    </xf>
    <xf numFmtId="9" fontId="1" fillId="6" borderId="18" xfId="0" applyNumberFormat="1" applyFont="1" applyFill="1" applyBorder="1"/>
    <xf numFmtId="9" fontId="1" fillId="3" borderId="18" xfId="0" applyNumberFormat="1" applyFont="1" applyFill="1" applyBorder="1"/>
    <xf numFmtId="0" fontId="1" fillId="4" borderId="18" xfId="0" applyFont="1" applyFill="1" applyBorder="1"/>
    <xf numFmtId="0" fontId="1" fillId="14" borderId="18" xfId="0" applyFont="1" applyFill="1" applyBorder="1"/>
    <xf numFmtId="0" fontId="0" fillId="8" borderId="19" xfId="0" applyFill="1" applyBorder="1"/>
    <xf numFmtId="0" fontId="0" fillId="10" borderId="19" xfId="0" applyFill="1" applyBorder="1"/>
    <xf numFmtId="0" fontId="0" fillId="13" borderId="19" xfId="0" applyFill="1" applyBorder="1"/>
    <xf numFmtId="0" fontId="0" fillId="17" borderId="19" xfId="0" applyFill="1" applyBorder="1"/>
    <xf numFmtId="0" fontId="2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horizontal="center" vertical="center"/>
    </xf>
    <xf numFmtId="0" fontId="1" fillId="18" borderId="18" xfId="0" applyFont="1" applyFill="1" applyBorder="1"/>
    <xf numFmtId="0" fontId="0" fillId="5" borderId="19" xfId="0" applyFill="1" applyBorder="1"/>
    <xf numFmtId="0" fontId="1" fillId="3" borderId="18" xfId="0" applyFont="1" applyFill="1" applyBorder="1"/>
    <xf numFmtId="0" fontId="0" fillId="16" borderId="19" xfId="0" applyFill="1" applyBorder="1"/>
    <xf numFmtId="0" fontId="0" fillId="12" borderId="19" xfId="0" applyFill="1" applyBorder="1"/>
    <xf numFmtId="0" fontId="0" fillId="9" borderId="19" xfId="0" applyFill="1" applyBorder="1"/>
    <xf numFmtId="10" fontId="0" fillId="8" borderId="16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10" fontId="0" fillId="10" borderId="16" xfId="0" applyNumberFormat="1" applyFill="1" applyBorder="1" applyAlignment="1">
      <alignment horizontal="center" vertical="center"/>
    </xf>
    <xf numFmtId="10" fontId="0" fillId="5" borderId="17" xfId="0" applyNumberFormat="1" applyFill="1" applyBorder="1" applyAlignment="1">
      <alignment horizontal="center" vertical="center"/>
    </xf>
    <xf numFmtId="10" fontId="0" fillId="12" borderId="25" xfId="0" applyNumberFormat="1" applyFill="1" applyBorder="1" applyAlignment="1">
      <alignment horizontal="center" vertical="center"/>
    </xf>
    <xf numFmtId="10" fontId="0" fillId="16" borderId="25" xfId="0" applyNumberForma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1" fillId="20" borderId="10" xfId="0" applyFont="1" applyFill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/>
    </xf>
    <xf numFmtId="0" fontId="1" fillId="19" borderId="13" xfId="0" applyFont="1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10" fontId="0" fillId="21" borderId="5" xfId="0" applyNumberFormat="1" applyFill="1" applyBorder="1" applyAlignment="1">
      <alignment horizontal="center" vertical="center"/>
    </xf>
    <xf numFmtId="10" fontId="0" fillId="22" borderId="7" xfId="0" applyNumberFormat="1" applyFill="1" applyBorder="1" applyAlignment="1">
      <alignment horizontal="center" vertical="center"/>
    </xf>
    <xf numFmtId="10" fontId="0" fillId="21" borderId="7" xfId="0" applyNumberFormat="1" applyFill="1" applyBorder="1" applyAlignment="1">
      <alignment horizontal="center" vertical="center"/>
    </xf>
    <xf numFmtId="10" fontId="0" fillId="22" borderId="26" xfId="0" applyNumberForma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0" fillId="22" borderId="19" xfId="0" applyFill="1" applyBorder="1" applyAlignment="1">
      <alignment horizontal="right" vertical="center"/>
    </xf>
    <xf numFmtId="0" fontId="1" fillId="19" borderId="18" xfId="0" applyFont="1" applyFill="1" applyBorder="1"/>
    <xf numFmtId="0" fontId="0" fillId="22" borderId="19" xfId="0" applyFill="1" applyBorder="1"/>
    <xf numFmtId="2" fontId="0" fillId="22" borderId="8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10" fontId="0" fillId="5" borderId="29" xfId="0" applyNumberFormat="1" applyFill="1" applyBorder="1" applyAlignment="1">
      <alignment horizontal="center" vertical="center"/>
    </xf>
    <xf numFmtId="10" fontId="0" fillId="12" borderId="7" xfId="0" applyNumberFormat="1" applyFill="1" applyBorder="1" applyAlignment="1">
      <alignment horizontal="center" vertical="center"/>
    </xf>
    <xf numFmtId="10" fontId="0" fillId="13" borderId="30" xfId="0" applyNumberFormat="1" applyFill="1" applyBorder="1" applyAlignment="1">
      <alignment horizontal="center" vertical="center"/>
    </xf>
    <xf numFmtId="10" fontId="0" fillId="23" borderId="7" xfId="0" applyNumberFormat="1" applyFill="1" applyBorder="1" applyAlignment="1">
      <alignment horizontal="center" vertical="center"/>
    </xf>
    <xf numFmtId="10" fontId="0" fillId="23" borderId="26" xfId="0" applyNumberFormat="1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10" fontId="0" fillId="24" borderId="5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0" fontId="0" fillId="24" borderId="7" xfId="0" applyNumberFormat="1" applyFill="1" applyBorder="1" applyAlignment="1">
      <alignment horizontal="center" vertical="center"/>
    </xf>
    <xf numFmtId="10" fontId="0" fillId="24" borderId="16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0" xfId="0" applyFont="1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10" fontId="0" fillId="26" borderId="7" xfId="0" applyNumberFormat="1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9" xfId="0" applyFill="1" applyBorder="1" applyAlignment="1">
      <alignment horizontal="center" vertical="center"/>
    </xf>
    <xf numFmtId="10" fontId="0" fillId="26" borderId="26" xfId="0" applyNumberFormat="1" applyFill="1" applyBorder="1" applyAlignment="1">
      <alignment horizontal="center" vertical="center"/>
    </xf>
    <xf numFmtId="0" fontId="0" fillId="24" borderId="19" xfId="0" applyFill="1" applyBorder="1"/>
    <xf numFmtId="0" fontId="0" fillId="26" borderId="19" xfId="0" applyFill="1" applyBorder="1"/>
    <xf numFmtId="0" fontId="1" fillId="27" borderId="2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 vertical="center"/>
    </xf>
    <xf numFmtId="0" fontId="1" fillId="27" borderId="13" xfId="0" applyFont="1" applyFill="1" applyBorder="1" applyAlignment="1">
      <alignment horizontal="center" vertical="center"/>
    </xf>
    <xf numFmtId="0" fontId="1" fillId="28" borderId="15" xfId="0" applyFont="1" applyFill="1" applyBorder="1" applyAlignment="1">
      <alignment horizontal="center" vertical="center"/>
    </xf>
    <xf numFmtId="0" fontId="1" fillId="28" borderId="10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14" xfId="0" applyFont="1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1" fillId="29" borderId="13" xfId="0" applyFont="1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10" fontId="0" fillId="30" borderId="5" xfId="0" applyNumberFormat="1" applyFill="1" applyBorder="1" applyAlignment="1">
      <alignment horizontal="center" vertical="center"/>
    </xf>
    <xf numFmtId="0" fontId="1" fillId="31" borderId="15" xfId="0" applyFont="1" applyFill="1" applyBorder="1" applyAlignment="1">
      <alignment horizontal="center" vertical="center"/>
    </xf>
    <xf numFmtId="0" fontId="1" fillId="31" borderId="10" xfId="0" applyFont="1" applyFill="1" applyBorder="1" applyAlignment="1">
      <alignment horizontal="center" vertical="center"/>
    </xf>
    <xf numFmtId="0" fontId="1" fillId="31" borderId="11" xfId="0" applyFont="1" applyFill="1" applyBorder="1" applyAlignment="1">
      <alignment horizontal="center" vertical="center"/>
    </xf>
    <xf numFmtId="0" fontId="1" fillId="32" borderId="2" xfId="0" applyFont="1" applyFill="1" applyBorder="1" applyAlignment="1">
      <alignment horizontal="center" vertical="center"/>
    </xf>
    <xf numFmtId="0" fontId="1" fillId="32" borderId="14" xfId="0" applyFont="1" applyFill="1" applyBorder="1" applyAlignment="1">
      <alignment horizontal="center" vertical="center"/>
    </xf>
    <xf numFmtId="0" fontId="1" fillId="32" borderId="12" xfId="0" applyFont="1" applyFill="1" applyBorder="1" applyAlignment="1">
      <alignment horizontal="center" vertical="center"/>
    </xf>
    <xf numFmtId="0" fontId="1" fillId="32" borderId="13" xfId="0" applyFont="1" applyFill="1" applyBorder="1" applyAlignment="1">
      <alignment horizontal="center" vertical="center"/>
    </xf>
    <xf numFmtId="0" fontId="1" fillId="32" borderId="18" xfId="0" applyFont="1" applyFill="1" applyBorder="1"/>
    <xf numFmtId="9" fontId="1" fillId="27" borderId="18" xfId="0" applyNumberFormat="1" applyFont="1" applyFill="1" applyBorder="1"/>
    <xf numFmtId="0" fontId="4" fillId="5" borderId="0" xfId="0" applyFont="1" applyFill="1"/>
    <xf numFmtId="0" fontId="4" fillId="34" borderId="3" xfId="0" applyFont="1" applyFill="1" applyBorder="1" applyAlignment="1">
      <alignment horizontal="center" vertical="center"/>
    </xf>
    <xf numFmtId="0" fontId="4" fillId="34" borderId="4" xfId="0" applyFont="1" applyFill="1" applyBorder="1" applyAlignment="1">
      <alignment horizontal="center" vertical="center"/>
    </xf>
    <xf numFmtId="10" fontId="4" fillId="34" borderId="5" xfId="0" applyNumberFormat="1" applyFont="1" applyFill="1" applyBorder="1" applyAlignment="1">
      <alignment horizontal="center" vertical="center"/>
    </xf>
    <xf numFmtId="0" fontId="4" fillId="35" borderId="6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10" fontId="4" fillId="35" borderId="7" xfId="0" applyNumberFormat="1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10" fontId="4" fillId="34" borderId="16" xfId="0" applyNumberFormat="1" applyFont="1" applyFill="1" applyBorder="1" applyAlignment="1">
      <alignment horizontal="center" vertical="center"/>
    </xf>
    <xf numFmtId="0" fontId="4" fillId="35" borderId="8" xfId="0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center" vertical="center"/>
    </xf>
    <xf numFmtId="0" fontId="4" fillId="33" borderId="19" xfId="0" applyFont="1" applyFill="1" applyBorder="1"/>
    <xf numFmtId="10" fontId="4" fillId="35" borderId="3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27" borderId="18" xfId="0" applyFont="1" applyFill="1" applyBorder="1"/>
    <xf numFmtId="10" fontId="0" fillId="26" borderId="16" xfId="0" applyNumberFormat="1" applyFill="1" applyBorder="1" applyAlignment="1">
      <alignment horizontal="center" vertical="center"/>
    </xf>
    <xf numFmtId="10" fontId="0" fillId="24" borderId="17" xfId="0" applyNumberForma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6" borderId="23" xfId="0" applyFont="1" applyFill="1" applyBorder="1" applyAlignment="1">
      <alignment horizontal="center" vertical="center"/>
    </xf>
    <xf numFmtId="0" fontId="1" fillId="36" borderId="21" xfId="0" applyFont="1" applyFill="1" applyBorder="1" applyAlignment="1">
      <alignment horizontal="center" vertical="center"/>
    </xf>
    <xf numFmtId="0" fontId="1" fillId="36" borderId="25" xfId="0" applyFont="1" applyFill="1" applyBorder="1" applyAlignment="1">
      <alignment horizontal="center" vertical="center"/>
    </xf>
    <xf numFmtId="0" fontId="1" fillId="36" borderId="18" xfId="0" applyFont="1" applyFill="1" applyBorder="1"/>
    <xf numFmtId="0" fontId="1" fillId="31" borderId="22" xfId="0" applyFont="1" applyFill="1" applyBorder="1" applyAlignment="1">
      <alignment horizontal="center" vertical="center"/>
    </xf>
    <xf numFmtId="0" fontId="2" fillId="34" borderId="20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center" vertical="center"/>
    </xf>
    <xf numFmtId="10" fontId="2" fillId="34" borderId="25" xfId="0" applyNumberFormat="1" applyFont="1" applyFill="1" applyBorder="1" applyAlignment="1">
      <alignment horizontal="center" vertical="center"/>
    </xf>
    <xf numFmtId="0" fontId="2" fillId="34" borderId="19" xfId="0" applyFont="1" applyFill="1" applyBorder="1"/>
    <xf numFmtId="0" fontId="5" fillId="37" borderId="2" xfId="0" applyFont="1" applyFill="1" applyBorder="1" applyAlignment="1">
      <alignment horizontal="center" vertical="center"/>
    </xf>
    <xf numFmtId="0" fontId="5" fillId="37" borderId="14" xfId="0" applyFont="1" applyFill="1" applyBorder="1" applyAlignment="1">
      <alignment horizontal="center" vertical="center"/>
    </xf>
    <xf numFmtId="0" fontId="5" fillId="37" borderId="12" xfId="0" applyFont="1" applyFill="1" applyBorder="1" applyAlignment="1">
      <alignment horizontal="center" vertical="center"/>
    </xf>
    <xf numFmtId="0" fontId="5" fillId="37" borderId="13" xfId="0" applyFont="1" applyFill="1" applyBorder="1" applyAlignment="1">
      <alignment horizontal="center" vertical="center"/>
    </xf>
    <xf numFmtId="0" fontId="5" fillId="38" borderId="10" xfId="0" applyFont="1" applyFill="1" applyBorder="1" applyAlignment="1">
      <alignment horizontal="center" vertical="center"/>
    </xf>
    <xf numFmtId="0" fontId="5" fillId="38" borderId="11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10" fontId="2" fillId="39" borderId="7" xfId="0" applyNumberFormat="1" applyFont="1" applyFill="1" applyBorder="1" applyAlignment="1">
      <alignment horizontal="center" vertical="center"/>
    </xf>
    <xf numFmtId="0" fontId="5" fillId="37" borderId="18" xfId="0" applyFont="1" applyFill="1" applyBorder="1" applyAlignment="1">
      <alignment horizontal="left" vertical="center"/>
    </xf>
    <xf numFmtId="0" fontId="2" fillId="40" borderId="8" xfId="0" applyFont="1" applyFill="1" applyBorder="1" applyAlignment="1">
      <alignment horizontal="center" vertical="center"/>
    </xf>
    <xf numFmtId="0" fontId="2" fillId="40" borderId="9" xfId="0" applyFont="1" applyFill="1" applyBorder="1" applyAlignment="1">
      <alignment horizontal="center" vertical="center"/>
    </xf>
    <xf numFmtId="10" fontId="2" fillId="40" borderId="26" xfId="0" applyNumberFormat="1" applyFont="1" applyFill="1" applyBorder="1" applyAlignment="1">
      <alignment horizontal="center" vertical="center"/>
    </xf>
    <xf numFmtId="0" fontId="2" fillId="40" borderId="19" xfId="0" applyFont="1" applyFill="1" applyBorder="1" applyAlignment="1">
      <alignment horizontal="right" vertical="center"/>
    </xf>
    <xf numFmtId="2" fontId="0" fillId="40" borderId="8" xfId="0" applyNumberFormat="1" applyFill="1" applyBorder="1" applyAlignment="1">
      <alignment horizontal="center" vertical="center"/>
    </xf>
    <xf numFmtId="0" fontId="0" fillId="40" borderId="9" xfId="0" applyFill="1" applyBorder="1" applyAlignment="1">
      <alignment horizontal="center" vertical="center"/>
    </xf>
    <xf numFmtId="10" fontId="0" fillId="40" borderId="26" xfId="0" applyNumberFormat="1" applyFill="1" applyBorder="1" applyAlignment="1">
      <alignment horizontal="center" vertical="center"/>
    </xf>
    <xf numFmtId="0" fontId="0" fillId="40" borderId="19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10" fontId="6" fillId="12" borderId="30" xfId="0" applyNumberFormat="1" applyFont="1" applyFill="1" applyBorder="1" applyAlignment="1">
      <alignment horizontal="center" vertical="center"/>
    </xf>
    <xf numFmtId="10" fontId="6" fillId="13" borderId="7" xfId="0" applyNumberFormat="1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5" fillId="37" borderId="31" xfId="0" applyFont="1" applyFill="1" applyBorder="1" applyAlignment="1">
      <alignment horizontal="center" vertical="center"/>
    </xf>
    <xf numFmtId="0" fontId="5" fillId="37" borderId="20" xfId="0" applyFont="1" applyFill="1" applyBorder="1" applyAlignment="1">
      <alignment horizontal="center" vertical="center"/>
    </xf>
    <xf numFmtId="0" fontId="5" fillId="37" borderId="23" xfId="0" applyFont="1" applyFill="1" applyBorder="1" applyAlignment="1">
      <alignment horizontal="center" vertical="center"/>
    </xf>
    <xf numFmtId="10" fontId="0" fillId="13" borderId="16" xfId="0" applyNumberFormat="1" applyFill="1" applyBorder="1" applyAlignment="1">
      <alignment horizontal="center" vertical="center"/>
    </xf>
    <xf numFmtId="0" fontId="1" fillId="4" borderId="34" xfId="0" applyFont="1" applyFill="1" applyBorder="1"/>
    <xf numFmtId="0" fontId="0" fillId="5" borderId="0" xfId="0" applyFill="1" applyAlignment="1">
      <alignment horizontal="center"/>
    </xf>
    <xf numFmtId="0" fontId="3" fillId="5" borderId="0" xfId="0" applyFont="1" applyFill="1"/>
    <xf numFmtId="0" fontId="0" fillId="26" borderId="27" xfId="0" applyFill="1" applyBorder="1" applyAlignment="1">
      <alignment horizontal="center" vertical="center"/>
    </xf>
    <xf numFmtId="10" fontId="0" fillId="24" borderId="35" xfId="1" applyNumberFormat="1" applyFont="1" applyFill="1" applyBorder="1" applyAlignment="1">
      <alignment horizontal="center" vertical="center"/>
    </xf>
    <xf numFmtId="10" fontId="0" fillId="26" borderId="35" xfId="1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horizontal="center" vertical="center"/>
    </xf>
    <xf numFmtId="0" fontId="4" fillId="23" borderId="19" xfId="0" applyFont="1" applyFill="1" applyBorder="1"/>
    <xf numFmtId="10" fontId="0" fillId="23" borderId="17" xfId="0" applyNumberForma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6" fillId="12" borderId="28" xfId="0" applyFont="1" applyFill="1" applyBorder="1" applyAlignment="1">
      <alignment horizontal="center" vertical="center"/>
    </xf>
    <xf numFmtId="10" fontId="6" fillId="12" borderId="29" xfId="0" applyNumberFormat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10" fontId="6" fillId="12" borderId="38" xfId="0" applyNumberFormat="1" applyFont="1" applyFill="1" applyBorder="1" applyAlignment="1">
      <alignment horizontal="center" vertical="center"/>
    </xf>
    <xf numFmtId="10" fontId="6" fillId="12" borderId="39" xfId="0" applyNumberFormat="1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6" fillId="13" borderId="35" xfId="0" applyFont="1" applyFill="1" applyBorder="1" applyAlignment="1">
      <alignment horizontal="center" vertical="center"/>
    </xf>
    <xf numFmtId="10" fontId="6" fillId="13" borderId="40" xfId="0" applyNumberFormat="1" applyFont="1" applyFill="1" applyBorder="1" applyAlignment="1">
      <alignment horizontal="center" vertical="center"/>
    </xf>
    <xf numFmtId="10" fontId="6" fillId="13" borderId="39" xfId="0" applyNumberFormat="1" applyFont="1" applyFill="1" applyBorder="1" applyAlignment="1">
      <alignment horizontal="center" vertical="center"/>
    </xf>
    <xf numFmtId="0" fontId="6" fillId="13" borderId="27" xfId="0" applyFont="1" applyFill="1" applyBorder="1" applyAlignment="1">
      <alignment horizontal="center" vertical="center"/>
    </xf>
    <xf numFmtId="0" fontId="0" fillId="5" borderId="22" xfId="0" applyFill="1" applyBorder="1"/>
    <xf numFmtId="0" fontId="5" fillId="38" borderId="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2" fillId="5" borderId="37" xfId="0" applyFont="1" applyFill="1" applyBorder="1"/>
    <xf numFmtId="0" fontId="0" fillId="5" borderId="37" xfId="0" applyFill="1" applyBorder="1"/>
    <xf numFmtId="0" fontId="4" fillId="5" borderId="0" xfId="0" quotePrefix="1" applyFont="1" applyFill="1"/>
    <xf numFmtId="0" fontId="0" fillId="23" borderId="41" xfId="0" applyFill="1" applyBorder="1"/>
    <xf numFmtId="0" fontId="2" fillId="23" borderId="41" xfId="0" applyFont="1" applyFill="1" applyBorder="1"/>
    <xf numFmtId="0" fontId="8" fillId="33" borderId="36" xfId="0" applyFont="1" applyFill="1" applyBorder="1"/>
    <xf numFmtId="0" fontId="8" fillId="33" borderId="31" xfId="0" applyFont="1" applyFill="1" applyBorder="1"/>
    <xf numFmtId="0" fontId="3" fillId="5" borderId="42" xfId="0" applyFont="1" applyFill="1" applyBorder="1"/>
    <xf numFmtId="0" fontId="4" fillId="4" borderId="37" xfId="0" applyFont="1" applyFill="1" applyBorder="1" applyAlignment="1">
      <alignment horizontal="center"/>
    </xf>
    <xf numFmtId="0" fontId="4" fillId="41" borderId="43" xfId="0" applyFont="1" applyFill="1" applyBorder="1" applyAlignment="1">
      <alignment horizontal="center"/>
    </xf>
    <xf numFmtId="0" fontId="0" fillId="13" borderId="46" xfId="0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1" borderId="47" xfId="0" applyFont="1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2" fillId="43" borderId="0" xfId="2" applyFont="1" applyFill="1"/>
    <xf numFmtId="0" fontId="13" fillId="5" borderId="0" xfId="0" applyFont="1" applyFill="1"/>
    <xf numFmtId="0" fontId="14" fillId="5" borderId="0" xfId="0" applyFont="1" applyFill="1"/>
    <xf numFmtId="0" fontId="14" fillId="5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8" fillId="34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0" fillId="44" borderId="0" xfId="0" applyFill="1"/>
    <xf numFmtId="0" fontId="13" fillId="5" borderId="0" xfId="0" applyFont="1" applyFill="1" applyAlignment="1">
      <alignment horizontal="center" vertical="center"/>
    </xf>
    <xf numFmtId="10" fontId="0" fillId="48" borderId="5" xfId="0" applyNumberFormat="1" applyFill="1" applyBorder="1" applyAlignment="1">
      <alignment horizontal="center" vertical="center"/>
    </xf>
    <xf numFmtId="10" fontId="4" fillId="47" borderId="26" xfId="0" applyNumberFormat="1" applyFont="1" applyFill="1" applyBorder="1" applyAlignment="1">
      <alignment horizontal="center" vertical="center"/>
    </xf>
    <xf numFmtId="0" fontId="8" fillId="45" borderId="29" xfId="0" applyFont="1" applyFill="1" applyBorder="1" applyAlignment="1">
      <alignment horizontal="center" vertical="center"/>
    </xf>
    <xf numFmtId="0" fontId="8" fillId="45" borderId="7" xfId="0" applyFont="1" applyFill="1" applyBorder="1" applyAlignment="1">
      <alignment horizontal="center" vertical="center"/>
    </xf>
    <xf numFmtId="0" fontId="8" fillId="45" borderId="26" xfId="0" applyFont="1" applyFill="1" applyBorder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8" fillId="46" borderId="2" xfId="0" applyFont="1" applyFill="1" applyBorder="1" applyAlignment="1">
      <alignment horizontal="center" vertical="center"/>
    </xf>
    <xf numFmtId="0" fontId="8" fillId="47" borderId="18" xfId="0" applyFont="1" applyFill="1" applyBorder="1" applyAlignment="1">
      <alignment horizontal="center" vertical="center"/>
    </xf>
    <xf numFmtId="0" fontId="8" fillId="47" borderId="57" xfId="0" applyFont="1" applyFill="1" applyBorder="1" applyAlignment="1">
      <alignment horizontal="center" vertical="center"/>
    </xf>
    <xf numFmtId="0" fontId="8" fillId="47" borderId="37" xfId="0" applyFont="1" applyFill="1" applyBorder="1" applyAlignment="1">
      <alignment horizontal="center" vertical="center"/>
    </xf>
    <xf numFmtId="0" fontId="0" fillId="48" borderId="19" xfId="0" applyFill="1" applyBorder="1"/>
    <xf numFmtId="0" fontId="2" fillId="44" borderId="0" xfId="0" applyFont="1" applyFill="1"/>
    <xf numFmtId="0" fontId="4" fillId="44" borderId="0" xfId="0" applyFont="1" applyFill="1"/>
    <xf numFmtId="0" fontId="4" fillId="44" borderId="0" xfId="0" applyFont="1" applyFill="1" applyAlignment="1">
      <alignment horizontal="center" vertical="center"/>
    </xf>
    <xf numFmtId="0" fontId="3" fillId="44" borderId="0" xfId="0" applyFont="1" applyFill="1" applyAlignment="1">
      <alignment horizontal="center" vertical="center"/>
    </xf>
    <xf numFmtId="0" fontId="0" fillId="40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16" fillId="37" borderId="2" xfId="0" applyFont="1" applyFill="1" applyBorder="1" applyAlignment="1">
      <alignment horizontal="center" vertical="center"/>
    </xf>
    <xf numFmtId="0" fontId="16" fillId="37" borderId="14" xfId="0" applyFont="1" applyFill="1" applyBorder="1" applyAlignment="1">
      <alignment horizontal="center" vertical="center"/>
    </xf>
    <xf numFmtId="0" fontId="16" fillId="37" borderId="12" xfId="0" applyFont="1" applyFill="1" applyBorder="1" applyAlignment="1">
      <alignment horizontal="center" vertical="center"/>
    </xf>
    <xf numFmtId="0" fontId="16" fillId="37" borderId="13" xfId="0" applyFont="1" applyFill="1" applyBorder="1" applyAlignment="1">
      <alignment horizontal="center" vertical="center"/>
    </xf>
    <xf numFmtId="0" fontId="16" fillId="51" borderId="15" xfId="0" applyFont="1" applyFill="1" applyBorder="1" applyAlignment="1">
      <alignment horizontal="center" vertical="center"/>
    </xf>
    <xf numFmtId="0" fontId="0" fillId="39" borderId="3" xfId="0" applyFill="1" applyBorder="1" applyAlignment="1">
      <alignment horizontal="center" vertical="center"/>
    </xf>
    <xf numFmtId="0" fontId="0" fillId="39" borderId="4" xfId="0" applyFill="1" applyBorder="1" applyAlignment="1">
      <alignment horizontal="center" vertical="center"/>
    </xf>
    <xf numFmtId="10" fontId="0" fillId="39" borderId="7" xfId="0" applyNumberFormat="1" applyFill="1" applyBorder="1" applyAlignment="1">
      <alignment horizontal="center" vertical="center"/>
    </xf>
    <xf numFmtId="9" fontId="0" fillId="44" borderId="0" xfId="0" applyNumberFormat="1" applyFill="1"/>
    <xf numFmtId="0" fontId="16" fillId="51" borderId="10" xfId="0" applyFont="1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10" fontId="0" fillId="40" borderId="7" xfId="0" applyNumberFormat="1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9" fontId="16" fillId="37" borderId="18" xfId="0" applyNumberFormat="1" applyFont="1" applyFill="1" applyBorder="1"/>
    <xf numFmtId="0" fontId="16" fillId="51" borderId="11" xfId="0" applyFont="1" applyFill="1" applyBorder="1" applyAlignment="1">
      <alignment horizontal="center" vertical="center"/>
    </xf>
    <xf numFmtId="0" fontId="0" fillId="39" borderId="8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10" fontId="0" fillId="39" borderId="26" xfId="0" applyNumberFormat="1" applyFill="1" applyBorder="1" applyAlignment="1">
      <alignment horizontal="center" vertical="center"/>
    </xf>
    <xf numFmtId="0" fontId="0" fillId="39" borderId="19" xfId="0" applyFill="1" applyBorder="1"/>
    <xf numFmtId="0" fontId="0" fillId="44" borderId="0" xfId="0" applyFill="1" applyAlignment="1">
      <alignment horizontal="center"/>
    </xf>
    <xf numFmtId="0" fontId="8" fillId="46" borderId="2" xfId="0" applyFont="1" applyFill="1" applyBorder="1" applyAlignment="1">
      <alignment horizontal="center"/>
    </xf>
    <xf numFmtId="0" fontId="0" fillId="48" borderId="3" xfId="0" applyFill="1" applyBorder="1" applyAlignment="1">
      <alignment horizontal="center"/>
    </xf>
    <xf numFmtId="0" fontId="0" fillId="48" borderId="4" xfId="0" applyFill="1" applyBorder="1" applyAlignment="1">
      <alignment horizontal="center"/>
    </xf>
    <xf numFmtId="0" fontId="0" fillId="49" borderId="27" xfId="0" applyFill="1" applyBorder="1" applyAlignment="1">
      <alignment horizontal="center"/>
    </xf>
    <xf numFmtId="0" fontId="0" fillId="49" borderId="28" xfId="0" applyFill="1" applyBorder="1" applyAlignment="1">
      <alignment horizontal="center"/>
    </xf>
    <xf numFmtId="0" fontId="0" fillId="48" borderId="27" xfId="0" applyFill="1" applyBorder="1" applyAlignment="1">
      <alignment horizontal="center"/>
    </xf>
    <xf numFmtId="0" fontId="0" fillId="48" borderId="28" xfId="0" applyFill="1" applyBorder="1" applyAlignment="1">
      <alignment horizontal="center"/>
    </xf>
    <xf numFmtId="0" fontId="0" fillId="49" borderId="9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8" fillId="52" borderId="21" xfId="0" applyFont="1" applyFill="1" applyBorder="1" applyAlignment="1">
      <alignment horizontal="center"/>
    </xf>
    <xf numFmtId="0" fontId="8" fillId="52" borderId="59" xfId="0" applyFont="1" applyFill="1" applyBorder="1" applyAlignment="1">
      <alignment horizontal="center"/>
    </xf>
    <xf numFmtId="0" fontId="8" fillId="52" borderId="23" xfId="0" applyFont="1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8" fillId="52" borderId="2" xfId="0" applyFont="1" applyFill="1" applyBorder="1" applyAlignment="1">
      <alignment horizontal="center" vertical="center"/>
    </xf>
    <xf numFmtId="0" fontId="8" fillId="53" borderId="29" xfId="0" applyFont="1" applyFill="1" applyBorder="1" applyAlignment="1">
      <alignment horizontal="center" vertical="center"/>
    </xf>
    <xf numFmtId="0" fontId="8" fillId="53" borderId="7" xfId="0" applyFont="1" applyFill="1" applyBorder="1" applyAlignment="1">
      <alignment horizontal="center" vertical="center"/>
    </xf>
    <xf numFmtId="0" fontId="8" fillId="53" borderId="26" xfId="0" applyFont="1" applyFill="1" applyBorder="1" applyAlignment="1">
      <alignment horizontal="center" vertical="center"/>
    </xf>
    <xf numFmtId="10" fontId="0" fillId="9" borderId="60" xfId="0" applyNumberFormat="1" applyFill="1" applyBorder="1" applyAlignment="1">
      <alignment horizontal="center" vertical="center"/>
    </xf>
    <xf numFmtId="10" fontId="0" fillId="9" borderId="26" xfId="0" applyNumberFormat="1" applyFill="1" applyBorder="1" applyAlignment="1">
      <alignment horizontal="center" vertical="center"/>
    </xf>
    <xf numFmtId="0" fontId="0" fillId="44" borderId="61" xfId="0" applyFill="1" applyBorder="1"/>
    <xf numFmtId="0" fontId="8" fillId="54" borderId="18" xfId="0" applyFont="1" applyFill="1" applyBorder="1"/>
    <xf numFmtId="0" fontId="18" fillId="44" borderId="0" xfId="0" applyFont="1" applyFill="1"/>
    <xf numFmtId="0" fontId="17" fillId="55" borderId="62" xfId="0" applyFont="1" applyFill="1" applyBorder="1" applyAlignment="1">
      <alignment horizontal="center" vertical="center"/>
    </xf>
    <xf numFmtId="0" fontId="2" fillId="23" borderId="63" xfId="0" applyFont="1" applyFill="1" applyBorder="1"/>
    <xf numFmtId="0" fontId="2" fillId="5" borderId="64" xfId="0" applyFont="1" applyFill="1" applyBorder="1"/>
    <xf numFmtId="0" fontId="17" fillId="55" borderId="66" xfId="0" applyFont="1" applyFill="1" applyBorder="1" applyAlignment="1">
      <alignment horizontal="center"/>
    </xf>
    <xf numFmtId="0" fontId="17" fillId="55" borderId="65" xfId="0" applyFont="1" applyFill="1" applyBorder="1" applyAlignment="1">
      <alignment horizontal="center"/>
    </xf>
    <xf numFmtId="0" fontId="17" fillId="55" borderId="67" xfId="0" applyFont="1" applyFill="1" applyBorder="1" applyAlignment="1">
      <alignment horizontal="center"/>
    </xf>
    <xf numFmtId="0" fontId="17" fillId="55" borderId="69" xfId="0" applyFont="1" applyFill="1" applyBorder="1" applyAlignment="1">
      <alignment horizontal="center" vertical="center"/>
    </xf>
    <xf numFmtId="0" fontId="17" fillId="55" borderId="68" xfId="0" applyFont="1" applyFill="1" applyBorder="1" applyAlignment="1">
      <alignment horizontal="center" vertical="center"/>
    </xf>
    <xf numFmtId="0" fontId="17" fillId="55" borderId="70" xfId="0" applyFont="1" applyFill="1" applyBorder="1" applyAlignment="1">
      <alignment horizontal="center" vertical="center"/>
    </xf>
    <xf numFmtId="0" fontId="17" fillId="55" borderId="71" xfId="0" applyFont="1" applyFill="1" applyBorder="1" applyAlignment="1">
      <alignment horizontal="center" vertical="center"/>
    </xf>
    <xf numFmtId="0" fontId="18" fillId="55" borderId="74" xfId="0" applyFont="1" applyFill="1" applyBorder="1" applyAlignment="1">
      <alignment horizontal="center"/>
    </xf>
    <xf numFmtId="0" fontId="18" fillId="55" borderId="75" xfId="0" applyFont="1" applyFill="1" applyBorder="1" applyAlignment="1">
      <alignment horizontal="center"/>
    </xf>
    <xf numFmtId="10" fontId="18" fillId="55" borderId="76" xfId="0" applyNumberFormat="1" applyFont="1" applyFill="1" applyBorder="1" applyAlignment="1">
      <alignment horizontal="center" vertical="center"/>
    </xf>
    <xf numFmtId="0" fontId="18" fillId="55" borderId="77" xfId="0" applyFont="1" applyFill="1" applyBorder="1" applyAlignment="1">
      <alignment horizontal="center"/>
    </xf>
    <xf numFmtId="0" fontId="18" fillId="55" borderId="78" xfId="0" applyFont="1" applyFill="1" applyBorder="1" applyAlignment="1">
      <alignment horizontal="center"/>
    </xf>
    <xf numFmtId="10" fontId="18" fillId="55" borderId="79" xfId="0" applyNumberFormat="1" applyFont="1" applyFill="1" applyBorder="1" applyAlignment="1">
      <alignment horizontal="center" vertical="center"/>
    </xf>
    <xf numFmtId="0" fontId="18" fillId="55" borderId="80" xfId="0" applyFont="1" applyFill="1" applyBorder="1" applyAlignment="1">
      <alignment horizontal="center"/>
    </xf>
    <xf numFmtId="0" fontId="18" fillId="55" borderId="81" xfId="0" applyFont="1" applyFill="1" applyBorder="1" applyAlignment="1">
      <alignment horizontal="center"/>
    </xf>
    <xf numFmtId="10" fontId="18" fillId="55" borderId="82" xfId="0" applyNumberFormat="1" applyFont="1" applyFill="1" applyBorder="1" applyAlignment="1">
      <alignment horizontal="center" vertical="center"/>
    </xf>
    <xf numFmtId="0" fontId="17" fillId="55" borderId="83" xfId="0" applyFont="1" applyFill="1" applyBorder="1" applyAlignment="1">
      <alignment horizontal="center" vertical="center"/>
    </xf>
    <xf numFmtId="0" fontId="18" fillId="55" borderId="84" xfId="0" applyFont="1" applyFill="1" applyBorder="1" applyAlignment="1">
      <alignment horizontal="center"/>
    </xf>
    <xf numFmtId="0" fontId="18" fillId="55" borderId="85" xfId="0" applyFont="1" applyFill="1" applyBorder="1" applyAlignment="1">
      <alignment horizontal="center"/>
    </xf>
    <xf numFmtId="10" fontId="18" fillId="55" borderId="86" xfId="0" applyNumberFormat="1" applyFont="1" applyFill="1" applyBorder="1" applyAlignment="1">
      <alignment horizontal="center" vertical="center"/>
    </xf>
    <xf numFmtId="0" fontId="18" fillId="55" borderId="72" xfId="0" applyFont="1" applyFill="1" applyBorder="1"/>
    <xf numFmtId="10" fontId="18" fillId="55" borderId="87" xfId="0" applyNumberFormat="1" applyFont="1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10" fontId="0" fillId="56" borderId="5" xfId="0" applyNumberFormat="1" applyFill="1" applyBorder="1" applyAlignment="1">
      <alignment horizontal="center" vertical="center"/>
    </xf>
    <xf numFmtId="0" fontId="0" fillId="56" borderId="3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10" fontId="0" fillId="56" borderId="29" xfId="0" applyNumberFormat="1" applyFill="1" applyBorder="1" applyAlignment="1">
      <alignment horizontal="center" vertical="center"/>
    </xf>
    <xf numFmtId="0" fontId="0" fillId="57" borderId="35" xfId="0" applyFill="1" applyBorder="1" applyAlignment="1">
      <alignment horizontal="center"/>
    </xf>
    <xf numFmtId="0" fontId="0" fillId="57" borderId="1" xfId="0" applyFill="1" applyBorder="1" applyAlignment="1">
      <alignment horizontal="center"/>
    </xf>
    <xf numFmtId="10" fontId="0" fillId="57" borderId="29" xfId="0" applyNumberFormat="1" applyFill="1" applyBorder="1" applyAlignment="1">
      <alignment horizontal="center" vertical="center"/>
    </xf>
    <xf numFmtId="0" fontId="0" fillId="57" borderId="55" xfId="0" applyFill="1" applyBorder="1" applyAlignment="1">
      <alignment horizontal="center"/>
    </xf>
    <xf numFmtId="0" fontId="0" fillId="57" borderId="9" xfId="0" applyFill="1" applyBorder="1" applyAlignment="1">
      <alignment horizontal="center"/>
    </xf>
    <xf numFmtId="10" fontId="0" fillId="57" borderId="26" xfId="0" applyNumberFormat="1" applyFill="1" applyBorder="1" applyAlignment="1">
      <alignment horizontal="center" vertical="center"/>
    </xf>
    <xf numFmtId="0" fontId="0" fillId="57" borderId="19" xfId="0" applyFill="1" applyBorder="1"/>
    <xf numFmtId="0" fontId="8" fillId="58" borderId="26" xfId="0" applyFont="1" applyFill="1" applyBorder="1" applyAlignment="1">
      <alignment horizontal="center" vertical="center"/>
    </xf>
    <xf numFmtId="0" fontId="8" fillId="58" borderId="55" xfId="0" applyFont="1" applyFill="1" applyBorder="1" applyAlignment="1">
      <alignment horizontal="center"/>
    </xf>
    <xf numFmtId="0" fontId="8" fillId="58" borderId="9" xfId="0" applyFont="1" applyFill="1" applyBorder="1" applyAlignment="1">
      <alignment horizontal="center"/>
    </xf>
    <xf numFmtId="0" fontId="8" fillId="50" borderId="2" xfId="0" applyFont="1" applyFill="1" applyBorder="1"/>
    <xf numFmtId="0" fontId="8" fillId="59" borderId="2" xfId="0" applyFont="1" applyFill="1" applyBorder="1"/>
    <xf numFmtId="0" fontId="19" fillId="55" borderId="73" xfId="0" applyFont="1" applyFill="1" applyBorder="1"/>
    <xf numFmtId="0" fontId="0" fillId="56" borderId="60" xfId="0" applyFill="1" applyBorder="1" applyAlignment="1">
      <alignment horizontal="center"/>
    </xf>
    <xf numFmtId="0" fontId="8" fillId="58" borderId="88" xfId="0" applyFont="1" applyFill="1" applyBorder="1" applyAlignment="1">
      <alignment horizontal="center"/>
    </xf>
    <xf numFmtId="10" fontId="0" fillId="49" borderId="89" xfId="0" applyNumberFormat="1" applyFill="1" applyBorder="1" applyAlignment="1">
      <alignment horizontal="center" vertical="center"/>
    </xf>
    <xf numFmtId="10" fontId="0" fillId="48" borderId="7" xfId="0" applyNumberFormat="1" applyFill="1" applyBorder="1" applyAlignment="1">
      <alignment horizontal="center" vertical="center"/>
    </xf>
    <xf numFmtId="10" fontId="0" fillId="48" borderId="88" xfId="0" applyNumberFormat="1" applyFill="1" applyBorder="1" applyAlignment="1">
      <alignment horizontal="center" vertical="center"/>
    </xf>
    <xf numFmtId="10" fontId="0" fillId="49" borderId="26" xfId="0" applyNumberFormat="1" applyFill="1" applyBorder="1" applyAlignment="1">
      <alignment horizontal="center" vertical="center"/>
    </xf>
    <xf numFmtId="10" fontId="0" fillId="44" borderId="0" xfId="1" applyNumberFormat="1" applyFont="1" applyFill="1"/>
    <xf numFmtId="0" fontId="3" fillId="44" borderId="0" xfId="0" applyFont="1" applyFill="1"/>
    <xf numFmtId="0" fontId="0" fillId="61" borderId="3" xfId="0" applyFill="1" applyBorder="1" applyAlignment="1">
      <alignment horizontal="center"/>
    </xf>
    <xf numFmtId="0" fontId="0" fillId="60" borderId="6" xfId="0" applyFill="1" applyBorder="1" applyAlignment="1">
      <alignment horizontal="center"/>
    </xf>
    <xf numFmtId="0" fontId="0" fillId="61" borderId="6" xfId="0" applyFill="1" applyBorder="1" applyAlignment="1">
      <alignment horizontal="center"/>
    </xf>
    <xf numFmtId="0" fontId="0" fillId="60" borderId="33" xfId="0" applyFill="1" applyBorder="1" applyAlignment="1">
      <alignment horizontal="center"/>
    </xf>
    <xf numFmtId="10" fontId="0" fillId="60" borderId="40" xfId="1" applyNumberFormat="1" applyFont="1" applyFill="1" applyBorder="1" applyAlignment="1">
      <alignment horizontal="center"/>
    </xf>
    <xf numFmtId="10" fontId="0" fillId="61" borderId="40" xfId="1" applyNumberFormat="1" applyFont="1" applyFill="1" applyBorder="1" applyAlignment="1">
      <alignment horizontal="center"/>
    </xf>
    <xf numFmtId="10" fontId="0" fillId="60" borderId="64" xfId="1" applyNumberFormat="1" applyFont="1" applyFill="1" applyBorder="1" applyAlignment="1">
      <alignment horizontal="center"/>
    </xf>
    <xf numFmtId="0" fontId="0" fillId="61" borderId="4" xfId="0" applyFill="1" applyBorder="1" applyAlignment="1">
      <alignment horizontal="center"/>
    </xf>
    <xf numFmtId="0" fontId="0" fillId="60" borderId="1" xfId="0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0" borderId="91" xfId="0" applyFill="1" applyBorder="1" applyAlignment="1">
      <alignment horizontal="center"/>
    </xf>
    <xf numFmtId="0" fontId="0" fillId="62" borderId="18" xfId="0" applyFill="1" applyBorder="1"/>
    <xf numFmtId="0" fontId="0" fillId="60" borderId="19" xfId="0" applyFill="1" applyBorder="1"/>
    <xf numFmtId="0" fontId="0" fillId="44" borderId="92" xfId="0" applyFill="1" applyBorder="1"/>
    <xf numFmtId="0" fontId="0" fillId="65" borderId="19" xfId="0" applyFill="1" applyBorder="1"/>
    <xf numFmtId="0" fontId="0" fillId="64" borderId="1" xfId="0" applyFill="1" applyBorder="1"/>
    <xf numFmtId="0" fontId="0" fillId="65" borderId="1" xfId="0" applyFill="1" applyBorder="1"/>
    <xf numFmtId="10" fontId="0" fillId="61" borderId="5" xfId="1" applyNumberFormat="1" applyFont="1" applyFill="1" applyBorder="1" applyAlignment="1">
      <alignment horizontal="center" vertical="center"/>
    </xf>
    <xf numFmtId="0" fontId="0" fillId="40" borderId="58" xfId="0" applyFill="1" applyBorder="1"/>
    <xf numFmtId="0" fontId="0" fillId="44" borderId="90" xfId="0" applyFill="1" applyBorder="1" applyAlignment="1">
      <alignment horizontal="center"/>
    </xf>
    <xf numFmtId="0" fontId="0" fillId="44" borderId="90" xfId="0" applyFill="1" applyBorder="1"/>
    <xf numFmtId="10" fontId="0" fillId="44" borderId="90" xfId="1" applyNumberFormat="1" applyFont="1" applyFill="1" applyBorder="1"/>
    <xf numFmtId="10" fontId="7" fillId="39" borderId="7" xfId="1" applyNumberFormat="1" applyFont="1" applyFill="1" applyBorder="1" applyAlignment="1">
      <alignment horizontal="center"/>
    </xf>
    <xf numFmtId="10" fontId="7" fillId="40" borderId="7" xfId="1" applyNumberFormat="1" applyFont="1" applyFill="1" applyBorder="1" applyAlignment="1">
      <alignment horizontal="center"/>
    </xf>
    <xf numFmtId="0" fontId="0" fillId="44" borderId="22" xfId="0" applyFill="1" applyBorder="1" applyAlignment="1">
      <alignment horizontal="center" vertical="center"/>
    </xf>
    <xf numFmtId="10" fontId="7" fillId="40" borderId="26" xfId="1" applyNumberFormat="1" applyFont="1" applyFill="1" applyBorder="1" applyAlignment="1">
      <alignment horizontal="center"/>
    </xf>
    <xf numFmtId="0" fontId="0" fillId="39" borderId="35" xfId="0" applyFill="1" applyBorder="1" applyAlignment="1">
      <alignment horizontal="center" vertical="center"/>
    </xf>
    <xf numFmtId="0" fontId="0" fillId="40" borderId="35" xfId="0" applyFill="1" applyBorder="1" applyAlignment="1">
      <alignment horizontal="center" vertical="center"/>
    </xf>
    <xf numFmtId="0" fontId="0" fillId="40" borderId="55" xfId="0" applyFill="1" applyBorder="1" applyAlignment="1">
      <alignment horizontal="center" vertical="center"/>
    </xf>
    <xf numFmtId="0" fontId="0" fillId="39" borderId="56" xfId="0" applyFill="1" applyBorder="1" applyAlignment="1">
      <alignment horizontal="center" vertical="center"/>
    </xf>
    <xf numFmtId="0" fontId="0" fillId="39" borderId="28" xfId="0" applyFill="1" applyBorder="1" applyAlignment="1">
      <alignment horizontal="center" vertical="center"/>
    </xf>
    <xf numFmtId="10" fontId="7" fillId="39" borderId="29" xfId="1" applyNumberFormat="1" applyFont="1" applyFill="1" applyBorder="1" applyAlignment="1">
      <alignment horizontal="center"/>
    </xf>
    <xf numFmtId="0" fontId="0" fillId="64" borderId="28" xfId="0" applyFill="1" applyBorder="1"/>
    <xf numFmtId="0" fontId="0" fillId="44" borderId="22" xfId="0" applyFill="1" applyBorder="1"/>
    <xf numFmtId="0" fontId="0" fillId="64" borderId="56" xfId="0" applyFill="1" applyBorder="1"/>
    <xf numFmtId="0" fontId="0" fillId="65" borderId="35" xfId="0" applyFill="1" applyBorder="1"/>
    <xf numFmtId="0" fontId="0" fillId="64" borderId="35" xfId="0" applyFill="1" applyBorder="1"/>
    <xf numFmtId="0" fontId="0" fillId="65" borderId="55" xfId="0" applyFill="1" applyBorder="1"/>
    <xf numFmtId="0" fontId="0" fillId="56" borderId="55" xfId="0" applyFill="1" applyBorder="1" applyAlignment="1">
      <alignment horizontal="center"/>
    </xf>
    <xf numFmtId="0" fontId="0" fillId="56" borderId="9" xfId="0" applyFill="1" applyBorder="1" applyAlignment="1">
      <alignment horizontal="center"/>
    </xf>
    <xf numFmtId="10" fontId="0" fillId="56" borderId="26" xfId="0" applyNumberFormat="1" applyFill="1" applyBorder="1" applyAlignment="1">
      <alignment horizontal="center" vertical="center"/>
    </xf>
    <xf numFmtId="0" fontId="0" fillId="56" borderId="19" xfId="0" applyFill="1" applyBorder="1"/>
    <xf numFmtId="0" fontId="0" fillId="57" borderId="56" xfId="0" applyFill="1" applyBorder="1" applyAlignment="1">
      <alignment horizontal="center"/>
    </xf>
    <xf numFmtId="0" fontId="0" fillId="57" borderId="60" xfId="0" applyFill="1" applyBorder="1" applyAlignment="1">
      <alignment horizontal="center"/>
    </xf>
    <xf numFmtId="0" fontId="4" fillId="44" borderId="22" xfId="0" applyFont="1" applyFill="1" applyBorder="1" applyAlignment="1">
      <alignment horizontal="center" vertical="center"/>
    </xf>
    <xf numFmtId="0" fontId="4" fillId="69" borderId="35" xfId="0" applyFont="1" applyFill="1" applyBorder="1" applyAlignment="1">
      <alignment horizontal="center" vertical="center"/>
    </xf>
    <xf numFmtId="0" fontId="4" fillId="69" borderId="1" xfId="0" applyFont="1" applyFill="1" applyBorder="1" applyAlignment="1">
      <alignment horizontal="center" vertical="center"/>
    </xf>
    <xf numFmtId="10" fontId="4" fillId="69" borderId="7" xfId="1" applyNumberFormat="1" applyFont="1" applyFill="1" applyBorder="1" applyAlignment="1">
      <alignment horizontal="center"/>
    </xf>
    <xf numFmtId="0" fontId="4" fillId="70" borderId="35" xfId="0" applyFont="1" applyFill="1" applyBorder="1" applyAlignment="1">
      <alignment horizontal="center" vertical="center"/>
    </xf>
    <xf numFmtId="0" fontId="4" fillId="70" borderId="1" xfId="0" applyFont="1" applyFill="1" applyBorder="1" applyAlignment="1">
      <alignment horizontal="center" vertical="center"/>
    </xf>
    <xf numFmtId="10" fontId="4" fillId="70" borderId="7" xfId="1" applyNumberFormat="1" applyFont="1" applyFill="1" applyBorder="1" applyAlignment="1">
      <alignment horizontal="center"/>
    </xf>
    <xf numFmtId="0" fontId="4" fillId="70" borderId="55" xfId="0" applyFont="1" applyFill="1" applyBorder="1" applyAlignment="1">
      <alignment horizontal="center" vertical="center"/>
    </xf>
    <xf numFmtId="0" fontId="4" fillId="70" borderId="9" xfId="0" applyFont="1" applyFill="1" applyBorder="1" applyAlignment="1">
      <alignment horizontal="center" vertical="center"/>
    </xf>
    <xf numFmtId="10" fontId="4" fillId="70" borderId="26" xfId="1" applyNumberFormat="1" applyFont="1" applyFill="1" applyBorder="1" applyAlignment="1">
      <alignment horizontal="center"/>
    </xf>
    <xf numFmtId="0" fontId="4" fillId="70" borderId="58" xfId="0" applyFont="1" applyFill="1" applyBorder="1"/>
    <xf numFmtId="0" fontId="8" fillId="67" borderId="59" xfId="0" applyFont="1" applyFill="1" applyBorder="1" applyAlignment="1">
      <alignment horizontal="center" vertical="center"/>
    </xf>
    <xf numFmtId="0" fontId="8" fillId="68" borderId="7" xfId="0" applyFont="1" applyFill="1" applyBorder="1" applyAlignment="1">
      <alignment horizontal="center" vertical="center"/>
    </xf>
    <xf numFmtId="0" fontId="8" fillId="68" borderId="26" xfId="0" applyFont="1" applyFill="1" applyBorder="1" applyAlignment="1">
      <alignment horizontal="center" vertical="center"/>
    </xf>
    <xf numFmtId="0" fontId="8" fillId="67" borderId="23" xfId="0" applyFont="1" applyFill="1" applyBorder="1" applyAlignment="1">
      <alignment horizontal="center" vertical="center"/>
    </xf>
    <xf numFmtId="0" fontId="8" fillId="67" borderId="21" xfId="0" applyFont="1" applyFill="1" applyBorder="1" applyAlignment="1">
      <alignment horizontal="center" vertical="center"/>
    </xf>
    <xf numFmtId="10" fontId="8" fillId="67" borderId="59" xfId="1" applyNumberFormat="1" applyFont="1" applyFill="1" applyBorder="1" applyAlignment="1">
      <alignment horizontal="center" vertical="center"/>
    </xf>
    <xf numFmtId="0" fontId="8" fillId="68" borderId="18" xfId="0" applyFont="1" applyFill="1" applyBorder="1" applyAlignment="1">
      <alignment horizontal="center" vertical="center"/>
    </xf>
    <xf numFmtId="0" fontId="9" fillId="62" borderId="2" xfId="0" applyFont="1" applyFill="1" applyBorder="1" applyAlignment="1">
      <alignment horizontal="center"/>
    </xf>
    <xf numFmtId="0" fontId="9" fillId="62" borderId="18" xfId="0" applyFont="1" applyFill="1" applyBorder="1" applyAlignment="1">
      <alignment horizontal="center"/>
    </xf>
    <xf numFmtId="0" fontId="9" fillId="62" borderId="57" xfId="0" applyFont="1" applyFill="1" applyBorder="1" applyAlignment="1">
      <alignment horizontal="center"/>
    </xf>
    <xf numFmtId="0" fontId="9" fillId="62" borderId="37" xfId="0" applyFont="1" applyFill="1" applyBorder="1" applyAlignment="1">
      <alignment horizontal="center"/>
    </xf>
    <xf numFmtId="0" fontId="9" fillId="62" borderId="20" xfId="0" applyFont="1" applyFill="1" applyBorder="1" applyAlignment="1">
      <alignment horizontal="center"/>
    </xf>
    <xf numFmtId="0" fontId="9" fillId="62" borderId="21" xfId="0" applyFont="1" applyFill="1" applyBorder="1" applyAlignment="1">
      <alignment horizontal="center"/>
    </xf>
    <xf numFmtId="10" fontId="9" fillId="62" borderId="31" xfId="1" applyNumberFormat="1" applyFont="1" applyFill="1" applyBorder="1" applyAlignment="1">
      <alignment horizontal="center"/>
    </xf>
    <xf numFmtId="10" fontId="2" fillId="64" borderId="5" xfId="1" applyNumberFormat="1" applyFont="1" applyFill="1" applyBorder="1" applyAlignment="1">
      <alignment horizontal="center"/>
    </xf>
    <xf numFmtId="10" fontId="2" fillId="64" borderId="7" xfId="1" applyNumberFormat="1" applyFont="1" applyFill="1" applyBorder="1" applyAlignment="1">
      <alignment horizontal="center"/>
    </xf>
    <xf numFmtId="10" fontId="2" fillId="65" borderId="26" xfId="1" applyNumberFormat="1" applyFont="1" applyFill="1" applyBorder="1" applyAlignment="1">
      <alignment horizontal="center"/>
    </xf>
    <xf numFmtId="10" fontId="2" fillId="65" borderId="29" xfId="1" applyNumberFormat="1" applyFont="1" applyFill="1" applyBorder="1" applyAlignment="1">
      <alignment horizontal="center"/>
    </xf>
    <xf numFmtId="0" fontId="9" fillId="63" borderId="90" xfId="0" applyFont="1" applyFill="1" applyBorder="1" applyAlignment="1">
      <alignment horizontal="center"/>
    </xf>
    <xf numFmtId="0" fontId="9" fillId="66" borderId="5" xfId="0" applyFont="1" applyFill="1" applyBorder="1" applyAlignment="1">
      <alignment horizontal="center"/>
    </xf>
    <xf numFmtId="0" fontId="9" fillId="66" borderId="7" xfId="0" applyFont="1" applyFill="1" applyBorder="1" applyAlignment="1">
      <alignment horizontal="center"/>
    </xf>
    <xf numFmtId="0" fontId="9" fillId="66" borderId="26" xfId="0" applyFont="1" applyFill="1" applyBorder="1" applyAlignment="1">
      <alignment horizontal="center"/>
    </xf>
    <xf numFmtId="0" fontId="9" fillId="63" borderId="20" xfId="0" applyFont="1" applyFill="1" applyBorder="1" applyAlignment="1">
      <alignment horizontal="center"/>
    </xf>
    <xf numFmtId="0" fontId="9" fillId="63" borderId="21" xfId="0" applyFont="1" applyFill="1" applyBorder="1" applyAlignment="1">
      <alignment horizontal="center"/>
    </xf>
    <xf numFmtId="10" fontId="9" fillId="63" borderId="31" xfId="1" applyNumberFormat="1" applyFont="1" applyFill="1" applyBorder="1" applyAlignment="1">
      <alignment horizontal="center"/>
    </xf>
    <xf numFmtId="0" fontId="9" fillId="66" borderId="18" xfId="0" applyFont="1" applyFill="1" applyBorder="1"/>
    <xf numFmtId="0" fontId="9" fillId="37" borderId="59" xfId="0" applyFont="1" applyFill="1" applyBorder="1" applyAlignment="1">
      <alignment horizontal="center" vertical="center"/>
    </xf>
    <xf numFmtId="0" fontId="9" fillId="38" borderId="29" xfId="0" applyFont="1" applyFill="1" applyBorder="1" applyAlignment="1">
      <alignment horizontal="center" vertical="center"/>
    </xf>
    <xf numFmtId="0" fontId="9" fillId="38" borderId="7" xfId="0" applyFont="1" applyFill="1" applyBorder="1" applyAlignment="1">
      <alignment horizontal="center" vertical="center"/>
    </xf>
    <xf numFmtId="0" fontId="9" fillId="38" borderId="26" xfId="0" applyFont="1" applyFill="1" applyBorder="1" applyAlignment="1">
      <alignment horizontal="center" vertical="center"/>
    </xf>
    <xf numFmtId="0" fontId="9" fillId="37" borderId="23" xfId="0" applyFont="1" applyFill="1" applyBorder="1" applyAlignment="1">
      <alignment horizontal="center" vertical="center"/>
    </xf>
    <xf numFmtId="0" fontId="9" fillId="37" borderId="21" xfId="0" applyFont="1" applyFill="1" applyBorder="1" applyAlignment="1">
      <alignment horizontal="center" vertical="center"/>
    </xf>
    <xf numFmtId="10" fontId="9" fillId="37" borderId="59" xfId="1" applyNumberFormat="1" applyFont="1" applyFill="1" applyBorder="1" applyAlignment="1">
      <alignment horizontal="center" vertical="center"/>
    </xf>
    <xf numFmtId="0" fontId="9" fillId="38" borderId="18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9" fillId="41" borderId="44" xfId="0" applyFont="1" applyFill="1" applyBorder="1" applyAlignment="1">
      <alignment horizontal="center"/>
    </xf>
    <xf numFmtId="0" fontId="9" fillId="41" borderId="45" xfId="0" applyFont="1" applyFill="1" applyBorder="1" applyAlignment="1">
      <alignment horizontal="center"/>
    </xf>
    <xf numFmtId="0" fontId="8" fillId="41" borderId="53" xfId="0" applyFont="1" applyFill="1" applyBorder="1" applyAlignment="1">
      <alignment horizontal="center" vertical="center"/>
    </xf>
    <xf numFmtId="0" fontId="8" fillId="41" borderId="51" xfId="0" applyFont="1" applyFill="1" applyBorder="1" applyAlignment="1">
      <alignment horizontal="center" vertical="center"/>
    </xf>
    <xf numFmtId="0" fontId="9" fillId="12" borderId="54" xfId="0" applyFont="1" applyFill="1" applyBorder="1" applyAlignment="1">
      <alignment horizontal="center" vertical="center"/>
    </xf>
    <xf numFmtId="0" fontId="9" fillId="12" borderId="51" xfId="0" applyFont="1" applyFill="1" applyBorder="1" applyAlignment="1">
      <alignment horizontal="center" vertical="center"/>
    </xf>
    <xf numFmtId="0" fontId="8" fillId="42" borderId="43" xfId="0" applyFont="1" applyFill="1" applyBorder="1" applyAlignment="1">
      <alignment horizontal="center"/>
    </xf>
    <xf numFmtId="0" fontId="8" fillId="42" borderId="47" xfId="0" applyFont="1" applyFill="1" applyBorder="1" applyAlignment="1">
      <alignment horizontal="center"/>
    </xf>
    <xf numFmtId="164" fontId="4" fillId="41" borderId="5" xfId="1" applyNumberFormat="1" applyFont="1" applyFill="1" applyBorder="1" applyAlignment="1">
      <alignment horizontal="center" vertical="center"/>
    </xf>
    <xf numFmtId="164" fontId="4" fillId="41" borderId="26" xfId="1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10" fontId="4" fillId="52" borderId="41" xfId="0" applyNumberFormat="1" applyFont="1" applyFill="1" applyBorder="1" applyAlignment="1">
      <alignment horizontal="center" vertical="center"/>
    </xf>
    <xf numFmtId="10" fontId="4" fillId="52" borderId="37" xfId="0" applyNumberFormat="1" applyFont="1" applyFill="1" applyBorder="1" applyAlignment="1">
      <alignment horizontal="center" vertical="center"/>
    </xf>
  </cellXfs>
  <cellStyles count="3">
    <cellStyle name="Hiperveza" xfId="2" builtinId="8"/>
    <cellStyle name="Normalno" xfId="0" builtinId="0"/>
    <cellStyle name="Postotak" xfId="1" builtinId="5"/>
  </cellStyles>
  <dxfs count="0"/>
  <tableStyles count="0" defaultTableStyle="TableStyleMedium2" defaultPivotStyle="PivotStyleLight16"/>
  <colors>
    <mruColors>
      <color rgb="FF71FFDA"/>
      <color rgb="FF00FAB9"/>
      <color rgb="FF893BC3"/>
      <color rgb="FFC39BE1"/>
      <color rgb="FFA86ED4"/>
      <color rgb="FF96D3FC"/>
      <color rgb="FF7BC6F9"/>
      <color rgb="FFB6E0FC"/>
      <color rgb="FF93FFE3"/>
      <color rgb="FF00E6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ea Parat" id="{468A9F94-3E22-4C77-9DB2-F93CA62472B4}" userId="S::ap55849@fer.hr::08f9e4c3-c215-4342-b21f-d070729ca9e1" providerId="AD"/>
  <person displayName="Roko Tojčić" id="{FD268F47-D829-4CB8-89FB-B62E668C6620}" userId="S::roko.tojcic@skole.hr::6c805348-660d-4813-b5ae-61540b5471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4-01-13T19:50:27.13" personId="{FD268F47-D829-4CB8-89FB-B62E668C6620}" id="{048DD218-393A-4AD5-968E-6FB055C98BFC}">
    <text>Dovoljan (2) 50 % 
Dobar (3) 62 % 
Vrlo dobar (4) 75 % 
Izvrstan (5) 88 %</text>
  </threadedComment>
  <threadedComment ref="D13" dT="2024-01-13T19:52:48.27" personId="{FD268F47-D829-4CB8-89FB-B62E668C6620}" id="{2E7764DA-5587-4B31-8CA8-03314B1AD733}">
    <text xml:space="preserve">[87.5, 100] 5 
[75, 87.5) 4 
[62.5, 75) 3 
[50, 62.5) 2 </text>
  </threadedComment>
  <threadedComment ref="D19" dT="2024-01-13T19:53:31.85" personId="{FD268F47-D829-4CB8-89FB-B62E668C6620}" id="{79436E82-2329-417C-93BF-913CC54B60B9}">
    <text xml:space="preserve">45 bodova………dovoljan (2) 
55 bodova………dobar (3) 
70 bodova………vrlo dobar (4) 
85 bodova………izvrstan (5) </text>
  </threadedComment>
  <threadedComment ref="D25" dT="2024-01-13T19:43:29.26" personId="{FD268F47-D829-4CB8-89FB-B62E668C6620}" id="{B8C00CC6-9561-471A-8418-228EC3B2A655}">
    <text>86 izvrstan
72 vrlo dobar
58 dobar
50 dovoljan</text>
  </threadedComment>
  <threadedComment ref="D36" dT="2024-01-15T16:52:32.18" personId="{FD268F47-D829-4CB8-89FB-B62E668C6620}" id="{8336269A-3E16-4DCA-809F-D8012D883B9F}">
    <text xml:space="preserve">90 izvrstan
80 vrlo dobar
70 dobar
60 dovoljan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" dT="2024-02-13T16:30:27.79" personId="{468A9F94-3E22-4C77-9DB2-F93CA62472B4}" id="{8466538D-CB99-4685-8D00-C6B9C6699AC0}">
    <text xml:space="preserve">MI &amp; ZI 1/4 računskih zadataka mora biti u cijelosti točno riješen
85 izvrstan
70 vrlo dobar
60 dobar
50 dovoljan
</text>
  </threadedComment>
  <threadedComment ref="D14" dT="2024-02-13T16:37:51.46" personId="{468A9F94-3E22-4C77-9DB2-F93CA62472B4}" id="{2E7B1771-4A33-442B-BD13-A927A1CA313D}">
    <text xml:space="preserve">90 izvrstan (5)
80 vrlo dobar (4)
65 dobar (3)
50 dovoljan (2)
</text>
  </threadedComment>
  <threadedComment ref="D24" dT="2024-02-13T16:38:49.27" personId="{468A9F94-3E22-4C77-9DB2-F93CA62472B4}" id="{40C51B75-82AA-4452-9884-5B9F3D50D7A2}">
    <text xml:space="preserve">86 izvrstan (5)
74 vrlo dobar (4)
62 dobar (3)
50 dovoljan (2)
</text>
  </threadedComment>
  <threadedComment ref="D30" dT="2024-01-13T19:43:29.26" personId="{FD268F47-D829-4CB8-89FB-B62E668C6620}" id="{7026532A-443C-46BF-B9D8-05ADE320B1CB}">
    <text>86 izvrstan
72 vrlo dobar
58 dobar
50 dovoljan</text>
  </threadedComment>
  <threadedComment ref="D35" dT="2024-02-13T16:40:18.11" personId="{468A9F94-3E22-4C77-9DB2-F93CA62472B4}" id="{0C339E6C-19AE-4F2A-BA83-337FA80BEB9D}">
    <text xml:space="preserve">35,5 izvrstan (5) 
30 vrlo dobar (4) 
24 dobar (3)
20 dovoljan (2)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5" dT="2024-11-13T08:58:48.64" personId="{468A9F94-3E22-4C77-9DB2-F93CA62472B4}" id="{5ACE5987-5963-4121-89A7-4BF8668CD5C2}">
    <text xml:space="preserve">87 izvrstan
75 vrlo dobar
62 dobar
50 dovoljan
- obavezna odrada svih labosa
</text>
  </threadedComment>
  <threadedComment ref="E22" dT="2024-11-15T22:05:34.71" personId="{468A9F94-3E22-4C77-9DB2-F93CA62472B4}" id="{E41F6399-D675-42CF-976D-6375BD38C856}">
    <text>MI &amp; ZI 1/4 računskih zadataka mora biti u cijelosti točno riješen
85 izvrstan
70 vrlo dobar
60 dobar
50 dovoljan</text>
  </threadedComment>
  <threadedComment ref="D29" dT="2024-01-13T19:43:29.26" personId="{FD268F47-D829-4CB8-89FB-B62E668C6620}" id="{D84C6AB1-FC10-46BA-90B0-FDB5AD3AE7A6}">
    <text>86 izvrstan
72 vrlo dobar
58 dobar
50 dovoljan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5" dT="2024-11-13T09:46:07.20" personId="{468A9F94-3E22-4C77-9DB2-F93CA62472B4}" id="{2B565E65-B6B7-480B-B926-B037DD75D35E}">
    <text>85 izvrstan
70 vrlo dobar
55 dobar
45 dovoljan</text>
  </threadedComment>
  <threadedComment ref="E12" dT="2024-11-13T10:37:13.38" personId="{468A9F94-3E22-4C77-9DB2-F93CA62472B4}" id="{7B4532CC-98DA-4AC3-A688-9F79983546AD}">
    <text>87.5 izvrstan
75 vrlo dobar
62.5 dobar
50 dovoljan</text>
  </threadedComment>
  <threadedComment ref="E19" dT="2024-11-13T10:03:36.94" personId="{468A9F94-3E22-4C77-9DB2-F93CA62472B4}" id="{9D2E405E-0273-4503-B245-96FE7681891E}">
    <text>90 izvrstan
80 vrlo dobar
65 dobar
50 dovoljan</text>
  </threadedComment>
  <threadedComment ref="E27" dT="2024-11-13T08:58:48.64" personId="{468A9F94-3E22-4C77-9DB2-F93CA62472B4}" id="{CBB3F499-1903-4CAA-80DB-29B67F2D265D}">
    <text xml:space="preserve">85 izvrstan
70 vrlo dobar
55 dobar
45 dovoljan
</text>
  </threadedComment>
  <threadedComment ref="E33" dT="2024-11-13T10:03:36.94" personId="{468A9F94-3E22-4C77-9DB2-F93CA62472B4}" id="{90E3B7C8-5982-4B11-8E98-38C2C7947433}">
    <text>85 izvrstan
70 vrlo dobar
55 dobar
40 dovoljan</text>
  </threadedComment>
  <threadedComment ref="E41" dT="2024-11-13T10:35:59.42" personId="{468A9F94-3E22-4C77-9DB2-F93CA62472B4}" id="{B43446FD-BE6E-480A-A42F-7288033FCF50}">
    <text>85 izvrstan
72 vrlo dobar
60 dobar
50 dovoljan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Papratt13/Academic_Weapon/tree/mast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5BB1-5D44-4F3D-8F14-D97808DE5CC5}">
  <dimension ref="A1:L12"/>
  <sheetViews>
    <sheetView zoomScale="121" zoomScaleNormal="155" workbookViewId="0">
      <selection activeCell="I7" sqref="I7"/>
    </sheetView>
  </sheetViews>
  <sheetFormatPr defaultRowHeight="14.4" x14ac:dyDescent="0.3"/>
  <cols>
    <col min="1" max="1" width="8.88671875" style="43" customWidth="1"/>
    <col min="2" max="5" width="8.88671875" style="43"/>
    <col min="6" max="6" width="11" style="253" bestFit="1" customWidth="1"/>
    <col min="7" max="16384" width="8.88671875" style="43"/>
  </cols>
  <sheetData>
    <row r="1" spans="1:12" ht="15" thickBot="1" x14ac:dyDescent="0.35">
      <c r="A1" s="511" t="s">
        <v>51</v>
      </c>
      <c r="B1" s="511"/>
      <c r="C1" s="511"/>
      <c r="D1" s="511"/>
      <c r="E1" s="511"/>
      <c r="F1" s="293" t="s">
        <v>56</v>
      </c>
    </row>
    <row r="2" spans="1:12" ht="15" thickBot="1" x14ac:dyDescent="0.35">
      <c r="A2" s="294" t="s">
        <v>58</v>
      </c>
      <c r="B2" s="43" t="s">
        <v>57</v>
      </c>
      <c r="H2" s="281" t="s">
        <v>54</v>
      </c>
      <c r="I2" s="282">
        <f>SUM(F4,F9)</f>
        <v>0</v>
      </c>
    </row>
    <row r="3" spans="1:12" ht="15" thickBot="1" x14ac:dyDescent="0.35">
      <c r="A3" s="518" t="s">
        <v>52</v>
      </c>
      <c r="B3" s="518"/>
      <c r="C3" s="518"/>
      <c r="D3" s="518"/>
      <c r="E3" s="519"/>
      <c r="F3" s="292"/>
      <c r="H3" s="275"/>
      <c r="I3" s="275"/>
      <c r="J3" s="275"/>
      <c r="K3" s="275"/>
      <c r="L3" s="208"/>
    </row>
    <row r="4" spans="1:12" ht="15.6" thickTop="1" thickBot="1" x14ac:dyDescent="0.35">
      <c r="A4" s="284" t="s">
        <v>0</v>
      </c>
      <c r="B4" s="284" t="s">
        <v>9</v>
      </c>
      <c r="C4" s="284" t="s">
        <v>10</v>
      </c>
      <c r="D4" s="284" t="s">
        <v>16</v>
      </c>
      <c r="E4" s="290" t="s">
        <v>29</v>
      </c>
      <c r="F4" s="514">
        <f>SUM(A5:E5)</f>
        <v>0</v>
      </c>
      <c r="H4" s="275"/>
      <c r="I4" s="275"/>
      <c r="J4" s="275"/>
      <c r="K4" s="275"/>
      <c r="L4" s="275"/>
    </row>
    <row r="5" spans="1:12" ht="15" thickBot="1" x14ac:dyDescent="0.35">
      <c r="A5" s="285">
        <f>IF(SUM(A6:A7)&gt;0,6,0)</f>
        <v>0</v>
      </c>
      <c r="B5" s="285">
        <f>IF(SUM(B6:B7)&gt;0,7,0)</f>
        <v>0</v>
      </c>
      <c r="C5" s="285">
        <f>IF(SUM(C6:C7)&gt;0,5,0)</f>
        <v>0</v>
      </c>
      <c r="D5" s="285">
        <f>IF(SUM(D6:D7)&gt;0,8,0)</f>
        <v>0</v>
      </c>
      <c r="E5" s="291">
        <f>IF(SUM(E6:E7)&gt;0,4,0)</f>
        <v>0</v>
      </c>
      <c r="F5" s="515"/>
    </row>
    <row r="6" spans="1:12" ht="15" thickTop="1" x14ac:dyDescent="0.3">
      <c r="A6" s="254">
        <f>IF('SEM1'!E7 &gt;1, 1, 0)</f>
        <v>0</v>
      </c>
      <c r="B6" s="254">
        <f>IF('SEM1'!E13 &gt;1, 1, 0)</f>
        <v>0</v>
      </c>
      <c r="C6" s="254">
        <f>IF('SEM1'!E19 &gt;1, 1, 0)</f>
        <v>0</v>
      </c>
      <c r="D6" s="254">
        <f>IF('SEM1'!E25 &gt;1, 1, 0)</f>
        <v>0</v>
      </c>
      <c r="E6" s="254">
        <f>IF('SEM1'!E36 &gt;1, 1, 0)</f>
        <v>0</v>
      </c>
    </row>
    <row r="7" spans="1:12" ht="15" thickBot="1" x14ac:dyDescent="0.35">
      <c r="A7" s="283">
        <f>IF(SEM1_rokovi!E4 &gt;1, 1, 0)</f>
        <v>0</v>
      </c>
      <c r="B7" s="283">
        <f>IF(SEM1_rokovi!E9 &gt;1, 1, 0)</f>
        <v>0</v>
      </c>
      <c r="C7" s="283">
        <f>IF(SEM1_rokovi!E12 &gt;1, 1, 0)</f>
        <v>0</v>
      </c>
      <c r="D7" s="283">
        <f>IF(SEM1_rokovi!E15 &gt;1, 1, 0)</f>
        <v>0</v>
      </c>
      <c r="E7" s="283">
        <f>IF(SEM1_rokovi!E22 &gt;1, 1, 0)</f>
        <v>0</v>
      </c>
    </row>
    <row r="8" spans="1:12" ht="15.6" thickTop="1" thickBot="1" x14ac:dyDescent="0.35">
      <c r="A8" s="512" t="s">
        <v>53</v>
      </c>
      <c r="B8" s="513"/>
      <c r="C8" s="513"/>
      <c r="D8" s="513"/>
      <c r="E8" s="513"/>
      <c r="F8" s="292"/>
    </row>
    <row r="9" spans="1:12" ht="15.6" thickTop="1" thickBot="1" x14ac:dyDescent="0.35">
      <c r="A9" s="286" t="s">
        <v>44</v>
      </c>
      <c r="B9" s="288" t="s">
        <v>36</v>
      </c>
      <c r="C9" s="288" t="s">
        <v>37</v>
      </c>
      <c r="D9" s="288" t="s">
        <v>45</v>
      </c>
      <c r="E9" s="288" t="s">
        <v>41</v>
      </c>
      <c r="F9" s="516">
        <f>SUM(A10:E10)</f>
        <v>0</v>
      </c>
    </row>
    <row r="10" spans="1:12" ht="15" thickBot="1" x14ac:dyDescent="0.35">
      <c r="A10" s="287">
        <f>IF(SUM(A11:A12)&gt;0,6,0)</f>
        <v>0</v>
      </c>
      <c r="B10" s="289">
        <f>IF(SUM(B11:B12)&gt;0,8,0)</f>
        <v>0</v>
      </c>
      <c r="C10" s="289">
        <f>IF(SUM(C11:C12)&gt;0,7,0)</f>
        <v>0</v>
      </c>
      <c r="D10" s="289">
        <f>IF(SUM(D11:D12)&gt;0,7,0)</f>
        <v>0</v>
      </c>
      <c r="E10" s="289">
        <f>IF(SUM(E11:E12)&gt;0,2,0)</f>
        <v>0</v>
      </c>
      <c r="F10" s="517"/>
    </row>
    <row r="11" spans="1:12" ht="15" thickTop="1" x14ac:dyDescent="0.3">
      <c r="A11" s="254">
        <f>IF('SEM2'!E7 &gt;1, 1, 0)</f>
        <v>0</v>
      </c>
      <c r="B11" s="254">
        <f>IF('SEM2'!E14 &gt;1, 1, 0)</f>
        <v>0</v>
      </c>
      <c r="C11" s="254">
        <f>IF('SEM2'!E24 &gt;1, 1, 0)</f>
        <v>0</v>
      </c>
      <c r="D11" s="254">
        <f>IF('SEM2'!E30 &gt;1, 1, 0)</f>
        <v>0</v>
      </c>
      <c r="E11" s="254">
        <f>IF('SEM2'!E35 &gt;1, 1, 0)</f>
        <v>0</v>
      </c>
      <c r="H11" s="208"/>
      <c r="I11" s="208"/>
      <c r="J11" s="208"/>
      <c r="K11" s="208"/>
      <c r="L11" s="208"/>
    </row>
    <row r="12" spans="1:12" x14ac:dyDescent="0.3">
      <c r="A12" s="254">
        <f>IF(SEM2_rokovi!E6 &gt;1, 1, 0)</f>
        <v>0</v>
      </c>
      <c r="B12" s="254">
        <f>IF(SEM2_rokovi!E9 &gt;1, 1, 0)</f>
        <v>0</v>
      </c>
      <c r="C12" s="254">
        <f>IF(SEM2_rokovi!E18 &gt;1, 1, 0)</f>
        <v>0</v>
      </c>
      <c r="D12" s="254">
        <f>IF(SEM2_rokovi!E21 &gt;1, 1, 0)</f>
        <v>0</v>
      </c>
      <c r="E12" s="254">
        <f>IF(SEM2_rokovi!E24 &gt;1, 1, 0)</f>
        <v>0</v>
      </c>
      <c r="H12" s="208"/>
      <c r="I12" s="208"/>
      <c r="J12" s="208"/>
      <c r="K12" s="208"/>
      <c r="L12" s="208"/>
    </row>
  </sheetData>
  <mergeCells count="5">
    <mergeCell ref="A1:E1"/>
    <mergeCell ref="A8:E8"/>
    <mergeCell ref="F4:F5"/>
    <mergeCell ref="F9:F10"/>
    <mergeCell ref="A3:E3"/>
  </mergeCells>
  <hyperlinks>
    <hyperlink ref="A2" r:id="rId1" xr:uid="{AED85BA7-2BF7-44CB-B181-5EE3391179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686F-E63E-44C2-A9A0-5144938690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zoomScale="120" zoomScaleNormal="120" workbookViewId="0">
      <selection activeCell="B2" sqref="B2"/>
    </sheetView>
  </sheetViews>
  <sheetFormatPr defaultColWidth="8.88671875" defaultRowHeight="14.4" x14ac:dyDescent="0.3"/>
  <cols>
    <col min="1" max="1" width="13.5546875" style="43" customWidth="1"/>
    <col min="2" max="2" width="11.5546875" style="43" customWidth="1"/>
    <col min="3" max="3" width="9.109375" style="43" bestFit="1" customWidth="1"/>
    <col min="4" max="4" width="12.33203125" style="43" customWidth="1"/>
    <col min="5" max="16384" width="8.88671875" style="43"/>
  </cols>
  <sheetData>
    <row r="1" spans="1:20" ht="15" thickBot="1" x14ac:dyDescent="0.35">
      <c r="A1" s="8" t="s">
        <v>0</v>
      </c>
      <c r="B1" s="9" t="s">
        <v>6</v>
      </c>
      <c r="C1" s="10" t="s">
        <v>7</v>
      </c>
      <c r="D1" s="11" t="s">
        <v>13</v>
      </c>
      <c r="F1" s="279" t="s">
        <v>55</v>
      </c>
    </row>
    <row r="2" spans="1:20" ht="15" thickBot="1" x14ac:dyDescent="0.35">
      <c r="A2" s="12" t="s">
        <v>1</v>
      </c>
      <c r="B2" s="23"/>
      <c r="C2" s="24">
        <v>15</v>
      </c>
      <c r="D2" s="25">
        <f>B2/C2</f>
        <v>0</v>
      </c>
      <c r="E2" s="44"/>
      <c r="F2" s="277">
        <f>SUM(F7:F36)</f>
        <v>0</v>
      </c>
      <c r="M2" s="88"/>
      <c r="N2" s="88"/>
      <c r="O2" s="88"/>
      <c r="P2" s="88"/>
      <c r="Q2" s="88"/>
    </row>
    <row r="3" spans="1:20" x14ac:dyDescent="0.3">
      <c r="A3" s="13" t="s">
        <v>2</v>
      </c>
      <c r="B3" s="15"/>
      <c r="C3" s="16">
        <v>10</v>
      </c>
      <c r="D3" s="17">
        <f t="shared" ref="D3:D7" si="0">B3/C3</f>
        <v>0</v>
      </c>
      <c r="L3" s="88"/>
      <c r="M3" s="138" t="s">
        <v>15</v>
      </c>
      <c r="N3" s="138" t="s">
        <v>0</v>
      </c>
      <c r="O3" s="138" t="s">
        <v>9</v>
      </c>
      <c r="P3" s="138" t="s">
        <v>10</v>
      </c>
      <c r="Q3" s="138" t="s">
        <v>16</v>
      </c>
      <c r="R3" s="138" t="s">
        <v>29</v>
      </c>
    </row>
    <row r="4" spans="1:20" x14ac:dyDescent="0.3">
      <c r="A4" s="13" t="s">
        <v>3</v>
      </c>
      <c r="B4" s="20"/>
      <c r="C4" s="21">
        <v>5</v>
      </c>
      <c r="D4" s="22">
        <f t="shared" si="0"/>
        <v>0</v>
      </c>
      <c r="L4" s="88"/>
      <c r="M4" s="138">
        <v>1</v>
      </c>
      <c r="N4" s="138">
        <v>1</v>
      </c>
      <c r="O4" s="138">
        <v>1</v>
      </c>
      <c r="P4" s="138">
        <v>1</v>
      </c>
      <c r="Q4" s="138">
        <v>1</v>
      </c>
      <c r="R4" s="138">
        <v>1</v>
      </c>
      <c r="S4" s="88"/>
      <c r="T4" s="88"/>
    </row>
    <row r="5" spans="1:20" ht="15" thickBot="1" x14ac:dyDescent="0.35">
      <c r="A5" s="13" t="s">
        <v>4</v>
      </c>
      <c r="B5" s="15"/>
      <c r="C5" s="16">
        <v>30</v>
      </c>
      <c r="D5" s="17">
        <f t="shared" si="0"/>
        <v>0</v>
      </c>
      <c r="L5" s="88"/>
      <c r="M5" s="138">
        <v>2</v>
      </c>
      <c r="N5" s="138">
        <f>IF($B$7 &gt;= 50, 1, 0)</f>
        <v>0</v>
      </c>
      <c r="O5" s="138">
        <f>IF($B$13 &gt;= 50, 1, 0)</f>
        <v>0</v>
      </c>
      <c r="P5" s="138">
        <f>IF($B$19 &gt;= 45, 1, 0)</f>
        <v>0</v>
      </c>
      <c r="Q5" s="138">
        <f>IF($B$25 &gt;= 50, 1,)</f>
        <v>0</v>
      </c>
      <c r="R5" s="138">
        <f>IF($B$36 &gt;= 60, 1,)</f>
        <v>0</v>
      </c>
      <c r="S5" s="88"/>
      <c r="T5" s="88"/>
    </row>
    <row r="6" spans="1:20" x14ac:dyDescent="0.3">
      <c r="A6" s="13" t="s">
        <v>5</v>
      </c>
      <c r="B6" s="20"/>
      <c r="C6" s="21">
        <v>40</v>
      </c>
      <c r="D6" s="78">
        <f>B6/C6</f>
        <v>0</v>
      </c>
      <c r="E6" s="80" t="s">
        <v>14</v>
      </c>
      <c r="F6" s="279" t="s">
        <v>50</v>
      </c>
      <c r="L6" s="88"/>
      <c r="M6" s="138">
        <v>3</v>
      </c>
      <c r="N6" s="138">
        <f>IF($B$7 &gt;= 62, 1, 0)</f>
        <v>0</v>
      </c>
      <c r="O6" s="138">
        <f>IF($B$13 &gt;= 62.5, 1, 0)</f>
        <v>0</v>
      </c>
      <c r="P6" s="138">
        <f>IF($B$19 &gt;= 55, 1, )</f>
        <v>0</v>
      </c>
      <c r="Q6" s="138">
        <f>IF($B$25 &gt;= 58, 1, )</f>
        <v>0</v>
      </c>
      <c r="R6" s="138">
        <f>IF($B$36 &gt;= 70, 1,)</f>
        <v>0</v>
      </c>
      <c r="S6" s="88"/>
      <c r="T6" s="88"/>
    </row>
    <row r="7" spans="1:20" ht="15" thickBot="1" x14ac:dyDescent="0.35">
      <c r="A7" s="14" t="s">
        <v>8</v>
      </c>
      <c r="B7" s="18">
        <f>SUM(B2:B6)</f>
        <v>0</v>
      </c>
      <c r="C7" s="19">
        <v>100</v>
      </c>
      <c r="D7" s="79">
        <f t="shared" si="0"/>
        <v>0</v>
      </c>
      <c r="E7" s="84">
        <f>N9</f>
        <v>1</v>
      </c>
      <c r="F7" s="277">
        <f>IF($E$7 &gt;1, 6, 0)</f>
        <v>0</v>
      </c>
      <c r="L7" s="88"/>
      <c r="M7" s="138">
        <v>4</v>
      </c>
      <c r="N7" s="138">
        <f>IF($B$7 &gt;= 75, 1, 0)</f>
        <v>0</v>
      </c>
      <c r="O7" s="138">
        <f>IF($B$13 &gt;= 75, 1, 0)</f>
        <v>0</v>
      </c>
      <c r="P7" s="138">
        <f>IF($B$19 &gt;= 70, 1, 0)</f>
        <v>0</v>
      </c>
      <c r="Q7" s="138">
        <f>IF($B$25 &gt;= 72, 1, )</f>
        <v>0</v>
      </c>
      <c r="R7" s="138">
        <f>IF($B$36 &gt;= 80, 1,)</f>
        <v>0</v>
      </c>
      <c r="S7" s="88"/>
      <c r="T7" s="88"/>
    </row>
    <row r="8" spans="1:20" ht="15" thickBot="1" x14ac:dyDescent="0.35">
      <c r="L8" s="88"/>
      <c r="M8" s="138">
        <v>5</v>
      </c>
      <c r="N8" s="138">
        <f>IF($B$7 &gt;= 88, 1, 0)</f>
        <v>0</v>
      </c>
      <c r="O8" s="138">
        <f>IF($B$13 &gt;= 87.5, 1, 0)</f>
        <v>0</v>
      </c>
      <c r="P8" s="138">
        <f>IF($B$19 &gt;= 85, 1, 0)</f>
        <v>0</v>
      </c>
      <c r="Q8" s="138">
        <f>IF($B$25 &gt;= 86, 1, 0)</f>
        <v>0</v>
      </c>
      <c r="R8" s="138">
        <f>IF($B$36 &gt;= 90, 1,)</f>
        <v>0</v>
      </c>
      <c r="S8" s="88"/>
      <c r="T8" s="88"/>
    </row>
    <row r="9" spans="1:20" ht="15" thickBot="1" x14ac:dyDescent="0.35">
      <c r="A9" s="39" t="s">
        <v>9</v>
      </c>
      <c r="B9" s="40" t="s">
        <v>6</v>
      </c>
      <c r="C9" s="41" t="s">
        <v>7</v>
      </c>
      <c r="D9" s="42" t="s">
        <v>13</v>
      </c>
      <c r="L9" s="88"/>
      <c r="M9" s="138" t="s">
        <v>17</v>
      </c>
      <c r="N9" s="138">
        <f>SUM(N4:N8)</f>
        <v>1</v>
      </c>
      <c r="O9" s="138">
        <f t="shared" ref="O9" si="1">SUM(O4:O8)</f>
        <v>1</v>
      </c>
      <c r="P9" s="138">
        <f t="shared" ref="P9" si="2">SUM(P4:P8)</f>
        <v>1</v>
      </c>
      <c r="Q9" s="138">
        <f t="shared" ref="Q9" si="3">SUM(Q4:Q8)</f>
        <v>1</v>
      </c>
      <c r="R9" s="138">
        <f>SUM(R4:R8)</f>
        <v>1</v>
      </c>
      <c r="S9" s="88"/>
      <c r="T9" s="88"/>
    </row>
    <row r="10" spans="1:20" x14ac:dyDescent="0.3">
      <c r="A10" s="36" t="s">
        <v>1</v>
      </c>
      <c r="B10" s="33"/>
      <c r="C10" s="34">
        <v>30</v>
      </c>
      <c r="D10" s="35">
        <f>B10/C10</f>
        <v>0</v>
      </c>
      <c r="M10" s="88"/>
      <c r="N10" s="88"/>
      <c r="O10" s="88"/>
      <c r="P10" s="88"/>
      <c r="Q10" s="88"/>
      <c r="R10" s="88"/>
      <c r="S10" s="88"/>
      <c r="T10" s="88"/>
    </row>
    <row r="11" spans="1:20" ht="15" thickBot="1" x14ac:dyDescent="0.35">
      <c r="A11" s="37" t="s">
        <v>4</v>
      </c>
      <c r="B11" s="26"/>
      <c r="C11" s="27">
        <v>30</v>
      </c>
      <c r="D11" s="28">
        <f t="shared" ref="D11:D13" si="4">B11/C11</f>
        <v>0</v>
      </c>
      <c r="M11" s="88"/>
      <c r="N11" s="88"/>
      <c r="O11" s="88"/>
      <c r="P11" s="88"/>
      <c r="Q11" s="88"/>
      <c r="R11" s="88"/>
      <c r="S11" s="88"/>
      <c r="T11" s="88"/>
    </row>
    <row r="12" spans="1:20" x14ac:dyDescent="0.3">
      <c r="A12" s="37" t="s">
        <v>5</v>
      </c>
      <c r="B12" s="31"/>
      <c r="C12" s="32">
        <v>40</v>
      </c>
      <c r="D12" s="76">
        <f t="shared" si="4"/>
        <v>0</v>
      </c>
      <c r="E12" s="81" t="s">
        <v>14</v>
      </c>
      <c r="F12" s="279" t="s">
        <v>50</v>
      </c>
      <c r="N12" s="88"/>
      <c r="O12" s="88"/>
      <c r="P12" s="88"/>
      <c r="Q12" s="88"/>
      <c r="R12" s="88"/>
      <c r="S12" s="88"/>
      <c r="T12" s="88"/>
    </row>
    <row r="13" spans="1:20" ht="15" thickBot="1" x14ac:dyDescent="0.35">
      <c r="A13" s="38" t="s">
        <v>8</v>
      </c>
      <c r="B13" s="29">
        <f>SUM(B10:B12)</f>
        <v>0</v>
      </c>
      <c r="C13" s="30">
        <v>100</v>
      </c>
      <c r="D13" s="77">
        <f t="shared" si="4"/>
        <v>0</v>
      </c>
      <c r="E13" s="85">
        <f>O9</f>
        <v>1</v>
      </c>
      <c r="F13" s="277">
        <f>IF($E$13 &gt;1, 7, 0)</f>
        <v>0</v>
      </c>
      <c r="N13" s="88"/>
      <c r="O13" s="88"/>
      <c r="P13" s="88"/>
      <c r="Q13" s="88"/>
      <c r="R13" s="88"/>
      <c r="S13" s="88"/>
      <c r="T13" s="88"/>
    </row>
    <row r="14" spans="1:20" ht="15" thickBot="1" x14ac:dyDescent="0.35"/>
    <row r="15" spans="1:20" ht="15" thickBot="1" x14ac:dyDescent="0.35">
      <c r="A15" s="4" t="s">
        <v>10</v>
      </c>
      <c r="B15" s="5" t="s">
        <v>6</v>
      </c>
      <c r="C15" s="6" t="s">
        <v>7</v>
      </c>
      <c r="D15" s="7" t="s">
        <v>13</v>
      </c>
    </row>
    <row r="16" spans="1:20" x14ac:dyDescent="0.3">
      <c r="A16" s="1" t="s">
        <v>11</v>
      </c>
      <c r="B16" s="45"/>
      <c r="C16" s="46">
        <v>5</v>
      </c>
      <c r="D16" s="47">
        <f>B16/C16</f>
        <v>0</v>
      </c>
    </row>
    <row r="17" spans="1:6" ht="15" thickBot="1" x14ac:dyDescent="0.35">
      <c r="A17" s="2" t="s">
        <v>4</v>
      </c>
      <c r="B17" s="50"/>
      <c r="C17" s="51">
        <v>50</v>
      </c>
      <c r="D17" s="52">
        <f t="shared" ref="D17:D19" si="5">B17/C17</f>
        <v>0</v>
      </c>
    </row>
    <row r="18" spans="1:6" x14ac:dyDescent="0.3">
      <c r="A18" s="2" t="s">
        <v>5</v>
      </c>
      <c r="B18" s="48"/>
      <c r="C18" s="49">
        <v>50</v>
      </c>
      <c r="D18" s="74">
        <f t="shared" si="5"/>
        <v>0</v>
      </c>
      <c r="E18" s="82" t="s">
        <v>14</v>
      </c>
      <c r="F18" s="279" t="s">
        <v>50</v>
      </c>
    </row>
    <row r="19" spans="1:6" ht="15" thickBot="1" x14ac:dyDescent="0.35">
      <c r="A19" s="3" t="s">
        <v>8</v>
      </c>
      <c r="B19" s="53">
        <f>IF((B17+B18) &gt;= 45,SUM(B16:B18),(B17+B18))</f>
        <v>0</v>
      </c>
      <c r="C19" s="54">
        <v>100</v>
      </c>
      <c r="D19" s="75">
        <f t="shared" si="5"/>
        <v>0</v>
      </c>
      <c r="E19" s="86">
        <f>P9</f>
        <v>1</v>
      </c>
      <c r="F19" s="277">
        <f>IF($E$19 &gt;1, 5, 0)</f>
        <v>0</v>
      </c>
    </row>
    <row r="20" spans="1:6" ht="15" thickBot="1" x14ac:dyDescent="0.35"/>
    <row r="21" spans="1:6" ht="15" thickBot="1" x14ac:dyDescent="0.35">
      <c r="A21" s="55" t="s">
        <v>12</v>
      </c>
      <c r="B21" s="56" t="s">
        <v>6</v>
      </c>
      <c r="C21" s="57" t="s">
        <v>7</v>
      </c>
      <c r="D21" s="58" t="s">
        <v>13</v>
      </c>
    </row>
    <row r="22" spans="1:6" x14ac:dyDescent="0.3">
      <c r="A22" s="59" t="s">
        <v>3</v>
      </c>
      <c r="B22" s="62"/>
      <c r="C22" s="63">
        <v>6</v>
      </c>
      <c r="D22" s="64">
        <f>B22/C22</f>
        <v>0</v>
      </c>
    </row>
    <row r="23" spans="1:6" ht="15" thickBot="1" x14ac:dyDescent="0.35">
      <c r="A23" s="60" t="s">
        <v>4</v>
      </c>
      <c r="B23" s="67"/>
      <c r="C23" s="68">
        <v>47</v>
      </c>
      <c r="D23" s="69">
        <f t="shared" ref="D23:D25" si="6">B23/C23</f>
        <v>0</v>
      </c>
    </row>
    <row r="24" spans="1:6" x14ac:dyDescent="0.3">
      <c r="A24" s="60" t="s">
        <v>5</v>
      </c>
      <c r="B24" s="65"/>
      <c r="C24" s="66">
        <v>47</v>
      </c>
      <c r="D24" s="72">
        <f t="shared" si="6"/>
        <v>0</v>
      </c>
      <c r="E24" s="83" t="s">
        <v>14</v>
      </c>
      <c r="F24" s="279" t="s">
        <v>50</v>
      </c>
    </row>
    <row r="25" spans="1:6" ht="15" thickBot="1" x14ac:dyDescent="0.35">
      <c r="A25" s="61" t="s">
        <v>8</v>
      </c>
      <c r="B25" s="70">
        <f>SUM(B22:B24)</f>
        <v>0</v>
      </c>
      <c r="C25" s="71">
        <v>100</v>
      </c>
      <c r="D25" s="73">
        <f t="shared" si="6"/>
        <v>0</v>
      </c>
      <c r="E25" s="87">
        <f>Q9</f>
        <v>1</v>
      </c>
      <c r="F25" s="277">
        <f>IF($E$25 &gt;1, 8, 0)</f>
        <v>0</v>
      </c>
    </row>
    <row r="27" spans="1:6" ht="15" thickBot="1" x14ac:dyDescent="0.35"/>
    <row r="28" spans="1:6" ht="15" thickBot="1" x14ac:dyDescent="0.35">
      <c r="A28" s="132" t="s">
        <v>24</v>
      </c>
      <c r="B28" s="130" t="s">
        <v>6</v>
      </c>
      <c r="C28" s="123" t="s">
        <v>7</v>
      </c>
      <c r="D28" s="124" t="s">
        <v>13</v>
      </c>
    </row>
    <row r="29" spans="1:6" x14ac:dyDescent="0.3">
      <c r="A29" s="131" t="s">
        <v>25</v>
      </c>
      <c r="B29" s="125"/>
      <c r="C29" s="126">
        <v>10</v>
      </c>
      <c r="D29" s="133">
        <f>B29/C29</f>
        <v>0</v>
      </c>
    </row>
    <row r="30" spans="1:6" x14ac:dyDescent="0.3">
      <c r="A30" s="121" t="s">
        <v>27</v>
      </c>
      <c r="B30" s="127"/>
      <c r="C30" s="118">
        <v>5</v>
      </c>
      <c r="D30" s="134">
        <f t="shared" ref="D30:D36" si="7">B30/C30</f>
        <v>0</v>
      </c>
    </row>
    <row r="31" spans="1:6" x14ac:dyDescent="0.3">
      <c r="A31" s="121" t="s">
        <v>3</v>
      </c>
      <c r="B31" s="128"/>
      <c r="C31" s="117">
        <v>10</v>
      </c>
      <c r="D31" s="135">
        <f t="shared" si="7"/>
        <v>0</v>
      </c>
    </row>
    <row r="32" spans="1:6" x14ac:dyDescent="0.3">
      <c r="A32" s="121" t="s">
        <v>11</v>
      </c>
      <c r="B32" s="127"/>
      <c r="C32" s="118">
        <v>25</v>
      </c>
      <c r="D32" s="134">
        <f t="shared" si="7"/>
        <v>0</v>
      </c>
    </row>
    <row r="33" spans="1:6" x14ac:dyDescent="0.3">
      <c r="A33" s="121" t="s">
        <v>26</v>
      </c>
      <c r="B33" s="128"/>
      <c r="C33" s="117">
        <v>30</v>
      </c>
      <c r="D33" s="135">
        <f t="shared" si="7"/>
        <v>0</v>
      </c>
    </row>
    <row r="34" spans="1:6" ht="15" thickBot="1" x14ac:dyDescent="0.35">
      <c r="A34" s="121" t="s">
        <v>31</v>
      </c>
      <c r="B34" s="127"/>
      <c r="C34" s="118">
        <v>10</v>
      </c>
      <c r="D34" s="134">
        <f t="shared" si="7"/>
        <v>0</v>
      </c>
    </row>
    <row r="35" spans="1:6" x14ac:dyDescent="0.3">
      <c r="A35" s="121" t="s">
        <v>28</v>
      </c>
      <c r="B35" s="128"/>
      <c r="C35" s="117">
        <v>20</v>
      </c>
      <c r="D35" s="135">
        <f t="shared" si="7"/>
        <v>0</v>
      </c>
      <c r="E35" s="137" t="s">
        <v>14</v>
      </c>
      <c r="F35" s="279" t="s">
        <v>50</v>
      </c>
    </row>
    <row r="36" spans="1:6" ht="15" thickBot="1" x14ac:dyDescent="0.35">
      <c r="A36" s="122" t="s">
        <v>8</v>
      </c>
      <c r="B36" s="129">
        <f>SUM(B29:B35)</f>
        <v>0</v>
      </c>
      <c r="C36" s="120">
        <v>100</v>
      </c>
      <c r="D36" s="136">
        <f t="shared" si="7"/>
        <v>0</v>
      </c>
      <c r="E36" s="139">
        <f>R9</f>
        <v>1</v>
      </c>
      <c r="F36" s="277">
        <f>IF($E$36 &gt;1, 4, 0)</f>
        <v>0</v>
      </c>
    </row>
  </sheetData>
  <conditionalFormatting sqref="D2 D7 D13 D25 D29:D33 D35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2:D4 D12 D15 D29:D36 D6:D9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{09D29813-1A5F-4C87-9AD2-6D28F23B09B2}</x14:id>
        </ext>
      </extLst>
    </cfRule>
  </conditionalFormatting>
  <conditionalFormatting sqref="D6">
    <cfRule type="iconSet" priority="1">
      <iconSet iconSet="3Symbols2">
        <cfvo type="percent" val="0"/>
        <cfvo type="num" val="0.39"/>
        <cfvo type="num" val="0.39"/>
      </iconSet>
    </cfRule>
  </conditionalFormatting>
  <conditionalFormatting sqref="D10:D13 D16:D19 D22:D25 D2:D7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{BDEEF6D8-2305-47FF-8299-63F9DB48D21B}</x14:id>
        </ext>
      </extLst>
    </cfRule>
  </conditionalFormatting>
  <conditionalFormatting sqref="D12">
    <cfRule type="iconSet" priority="7">
      <iconSet iconSet="3Symbols2">
        <cfvo type="percent" val="0"/>
        <cfvo type="num" val="0.4"/>
        <cfvo type="num" val="0.4"/>
      </iconSet>
    </cfRule>
  </conditionalFormatting>
  <conditionalFormatting sqref="D19">
    <cfRule type="iconSet" priority="3">
      <iconSet iconSet="3Symbols2">
        <cfvo type="percent" val="0"/>
        <cfvo type="num" val="0.45"/>
        <cfvo type="num" val="0.45"/>
      </iconSet>
    </cfRule>
  </conditionalFormatting>
  <conditionalFormatting sqref="D36">
    <cfRule type="iconSet" priority="2">
      <iconSet iconSet="3Symbols2">
        <cfvo type="percent" val="0"/>
        <cfvo type="num" val="0.6"/>
        <cfvo type="num" val="0.6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29813-1A5F-4C87-9AD2-6D28F23B09B2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D2:D4 D12 D15 D29:D36 D6:D9</xm:sqref>
        </x14:conditionalFormatting>
        <x14:conditionalFormatting xmlns:xm="http://schemas.microsoft.com/office/excel/2006/main">
          <x14:cfRule type="dataBar" id="{BDEEF6D8-2305-47FF-8299-63F9DB48D21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D10:D13 D16:D19 D22:D25 D2:D7</xm:sqref>
        </x14:conditionalFormatting>
        <x14:conditionalFormatting xmlns:xm="http://schemas.microsoft.com/office/excel/2006/main">
          <x14:cfRule type="iconSet" priority="6" id="{22EE1DB6-E84D-464A-A597-8CB03284CDC0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E7 E13 E19 E25 E36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E857-27D0-4456-BD14-AA85986C9660}">
  <dimension ref="A1:X28"/>
  <sheetViews>
    <sheetView zoomScale="120" zoomScaleNormal="120" workbookViewId="0">
      <selection activeCell="B12" sqref="B12"/>
    </sheetView>
  </sheetViews>
  <sheetFormatPr defaultColWidth="8.88671875" defaultRowHeight="14.4" x14ac:dyDescent="0.3"/>
  <cols>
    <col min="1" max="1" width="8.88671875" style="43"/>
    <col min="2" max="2" width="10.77734375" style="43" customWidth="1"/>
    <col min="3" max="3" width="9.109375" style="43" customWidth="1"/>
    <col min="4" max="4" width="13.88671875" style="43" customWidth="1"/>
    <col min="5" max="16384" width="8.88671875" style="43"/>
  </cols>
  <sheetData>
    <row r="1" spans="1:24" ht="15" thickBot="1" x14ac:dyDescent="0.35">
      <c r="A1" s="8" t="s">
        <v>0</v>
      </c>
      <c r="B1" s="9" t="s">
        <v>6</v>
      </c>
      <c r="C1" s="10" t="s">
        <v>7</v>
      </c>
      <c r="D1" s="11" t="s">
        <v>13</v>
      </c>
      <c r="F1" s="279" t="s">
        <v>55</v>
      </c>
      <c r="H1" s="195"/>
      <c r="I1" s="195"/>
      <c r="J1" s="195"/>
      <c r="K1" s="254"/>
      <c r="L1" s="254"/>
      <c r="M1" s="254"/>
      <c r="N1" s="254"/>
      <c r="O1" s="254"/>
      <c r="P1" s="254"/>
      <c r="Q1" s="254"/>
      <c r="R1" s="195"/>
      <c r="S1" s="195"/>
      <c r="T1" s="195"/>
      <c r="U1" s="195"/>
      <c r="V1" s="195"/>
      <c r="W1" s="195"/>
      <c r="X1" s="195"/>
    </row>
    <row r="2" spans="1:24" ht="15" thickBot="1" x14ac:dyDescent="0.35">
      <c r="A2" s="12" t="s">
        <v>1</v>
      </c>
      <c r="B2" s="23">
        <f>'SEM1'!B2</f>
        <v>0</v>
      </c>
      <c r="C2" s="24">
        <v>15</v>
      </c>
      <c r="D2" s="25">
        <f t="shared" ref="D2:D4" si="0">B2/C2</f>
        <v>0</v>
      </c>
      <c r="F2" s="277">
        <f>SUM(F4:F34)</f>
        <v>0</v>
      </c>
      <c r="H2" s="195"/>
      <c r="I2" s="195"/>
      <c r="J2" s="195"/>
      <c r="K2" s="254"/>
      <c r="L2" s="254"/>
      <c r="M2" s="254"/>
      <c r="N2" s="254"/>
      <c r="O2" s="254"/>
      <c r="P2" s="254"/>
      <c r="Q2" s="254"/>
      <c r="R2" s="195"/>
      <c r="S2" s="195"/>
      <c r="T2" s="195"/>
      <c r="U2" s="195"/>
      <c r="V2" s="195"/>
      <c r="W2" s="195"/>
      <c r="X2" s="195"/>
    </row>
    <row r="3" spans="1:24" x14ac:dyDescent="0.3">
      <c r="A3" s="13" t="s">
        <v>18</v>
      </c>
      <c r="B3" s="15"/>
      <c r="C3" s="16">
        <v>85</v>
      </c>
      <c r="D3" s="111">
        <f t="shared" si="0"/>
        <v>0</v>
      </c>
      <c r="E3" s="105" t="s">
        <v>23</v>
      </c>
      <c r="F3" s="279" t="s">
        <v>50</v>
      </c>
      <c r="H3" s="195"/>
      <c r="I3" s="195"/>
      <c r="J3" s="195"/>
      <c r="K3" s="254"/>
      <c r="L3" s="89" t="s">
        <v>15</v>
      </c>
      <c r="M3" s="89" t="s">
        <v>0</v>
      </c>
      <c r="N3" s="89" t="s">
        <v>9</v>
      </c>
      <c r="O3" s="89" t="s">
        <v>10</v>
      </c>
      <c r="P3" s="89" t="s">
        <v>16</v>
      </c>
      <c r="Q3" s="138" t="s">
        <v>29</v>
      </c>
      <c r="R3" s="195"/>
      <c r="S3" s="195"/>
      <c r="T3" s="195"/>
      <c r="U3" s="195"/>
      <c r="V3" s="195"/>
      <c r="W3" s="195"/>
      <c r="X3" s="195"/>
    </row>
    <row r="4" spans="1:24" ht="15" thickBot="1" x14ac:dyDescent="0.35">
      <c r="A4" s="14" t="s">
        <v>21</v>
      </c>
      <c r="B4" s="94">
        <f>SUM(B2:B3)</f>
        <v>0</v>
      </c>
      <c r="C4" s="92">
        <v>100</v>
      </c>
      <c r="D4" s="112">
        <f t="shared" si="0"/>
        <v>0</v>
      </c>
      <c r="E4" s="110">
        <f>M9</f>
        <v>1</v>
      </c>
      <c r="F4" s="277">
        <f>IF($E$4 &gt;1, 6, 0)</f>
        <v>0</v>
      </c>
      <c r="H4" s="195"/>
      <c r="I4" s="195"/>
      <c r="J4" s="195"/>
      <c r="K4" s="254"/>
      <c r="L4" s="89">
        <v>1</v>
      </c>
      <c r="M4" s="89">
        <v>1</v>
      </c>
      <c r="N4" s="89">
        <v>1</v>
      </c>
      <c r="O4" s="89">
        <v>1</v>
      </c>
      <c r="P4" s="89">
        <v>1</v>
      </c>
      <c r="Q4" s="138">
        <v>1</v>
      </c>
      <c r="R4" s="195"/>
      <c r="S4" s="195"/>
      <c r="T4" s="195"/>
      <c r="U4" s="195"/>
      <c r="V4" s="195"/>
      <c r="W4" s="195"/>
      <c r="X4" s="195"/>
    </row>
    <row r="5" spans="1:24" ht="15" thickBot="1" x14ac:dyDescent="0.35">
      <c r="A5" s="90"/>
      <c r="B5" s="90"/>
      <c r="C5" s="90"/>
      <c r="D5" s="90"/>
      <c r="H5" s="195"/>
      <c r="I5" s="195"/>
      <c r="J5" s="195"/>
      <c r="K5" s="254"/>
      <c r="L5" s="89">
        <v>2</v>
      </c>
      <c r="M5" s="89">
        <f>IF($B$4 &gt;= 50, 1, 0)</f>
        <v>0</v>
      </c>
      <c r="N5" s="89">
        <f>IF($B$9 &gt;= 50, 1, 0)</f>
        <v>0</v>
      </c>
      <c r="O5" s="89">
        <f>IF($B$12 &gt;= 45, 1, 0)</f>
        <v>0</v>
      </c>
      <c r="P5" s="89">
        <f>IF($B$15 &gt;= 50, 1,)</f>
        <v>0</v>
      </c>
      <c r="Q5" s="138">
        <f>IF($B$23 &gt;= 60, 1,)</f>
        <v>0</v>
      </c>
      <c r="R5" s="195"/>
      <c r="S5" s="195"/>
      <c r="T5" s="195"/>
      <c r="U5" s="195"/>
      <c r="V5" s="195"/>
      <c r="W5" s="195"/>
      <c r="X5" s="195"/>
    </row>
    <row r="6" spans="1:24" ht="15" thickBot="1" x14ac:dyDescent="0.35">
      <c r="A6" s="39" t="s">
        <v>9</v>
      </c>
      <c r="B6" s="40" t="s">
        <v>6</v>
      </c>
      <c r="C6" s="41" t="s">
        <v>7</v>
      </c>
      <c r="D6" s="42" t="s">
        <v>13</v>
      </c>
      <c r="H6" s="195"/>
      <c r="I6" s="195"/>
      <c r="J6" s="195"/>
      <c r="K6" s="254"/>
      <c r="L6" s="89">
        <v>3</v>
      </c>
      <c r="M6" s="89">
        <f>IF($B$4 &gt;= 62, 1, 0)</f>
        <v>0</v>
      </c>
      <c r="N6" s="89">
        <f>IF($B$9 &gt;= 62.5, 1, 0)</f>
        <v>0</v>
      </c>
      <c r="O6" s="89">
        <f>IF($B$12 &gt;= 55, 1, )</f>
        <v>0</v>
      </c>
      <c r="P6" s="89">
        <f>IF($B$15 &gt;= 58, 1, )</f>
        <v>0</v>
      </c>
      <c r="Q6" s="138">
        <f>IF($B$23 &gt;= 70, 1,)</f>
        <v>0</v>
      </c>
      <c r="R6" s="195"/>
      <c r="S6" s="195"/>
      <c r="T6" s="195"/>
      <c r="U6" s="195"/>
      <c r="V6" s="195"/>
      <c r="W6" s="195"/>
      <c r="X6" s="195"/>
    </row>
    <row r="7" spans="1:24" ht="15" thickBot="1" x14ac:dyDescent="0.35">
      <c r="A7" s="36" t="s">
        <v>1</v>
      </c>
      <c r="B7" s="33">
        <f>'SEM1'!B10</f>
        <v>0</v>
      </c>
      <c r="C7" s="34">
        <v>30</v>
      </c>
      <c r="D7" s="35">
        <f>B7/C7</f>
        <v>0</v>
      </c>
      <c r="H7" s="195"/>
      <c r="I7" s="195"/>
      <c r="J7" s="195"/>
      <c r="K7" s="254"/>
      <c r="L7" s="89">
        <v>4</v>
      </c>
      <c r="M7" s="89">
        <f>IF($B$4 &gt;= 75, 1, 0)</f>
        <v>0</v>
      </c>
      <c r="N7" s="89">
        <f>IF($B$9 &gt;= 75, 1, 0)</f>
        <v>0</v>
      </c>
      <c r="O7" s="89">
        <f>IF($B$12&gt;= 70, 1, 0)</f>
        <v>0</v>
      </c>
      <c r="P7" s="89">
        <f>IF($B$15 &gt;= 72, 1, )</f>
        <v>0</v>
      </c>
      <c r="Q7" s="138">
        <f>IF($B$23 &gt;= 80, 1,)</f>
        <v>0</v>
      </c>
      <c r="R7" s="195"/>
      <c r="S7" s="195"/>
      <c r="T7" s="195"/>
      <c r="U7" s="195"/>
      <c r="V7" s="195"/>
      <c r="W7" s="195"/>
      <c r="X7" s="195"/>
    </row>
    <row r="8" spans="1:24" x14ac:dyDescent="0.3">
      <c r="A8" s="37" t="s">
        <v>18</v>
      </c>
      <c r="B8" s="26"/>
      <c r="C8" s="27">
        <v>70</v>
      </c>
      <c r="D8" s="113">
        <f t="shared" ref="D8:D9" si="1">B8/C8</f>
        <v>0</v>
      </c>
      <c r="E8" s="107" t="s">
        <v>23</v>
      </c>
      <c r="F8" s="279" t="s">
        <v>50</v>
      </c>
      <c r="H8" s="195"/>
      <c r="I8" s="195"/>
      <c r="J8" s="195"/>
      <c r="K8" s="254"/>
      <c r="L8" s="89">
        <v>5</v>
      </c>
      <c r="M8" s="89">
        <f>IF($B$4 &gt;= 88, 1, 0)</f>
        <v>0</v>
      </c>
      <c r="N8" s="89">
        <f>IF($B$9 &gt;= 87.5, 1, 0)</f>
        <v>0</v>
      </c>
      <c r="O8" s="89">
        <f>IF($B$12 &gt;= 85, 1, 0)</f>
        <v>0</v>
      </c>
      <c r="P8" s="89">
        <f>IF($B$15 &gt;= 86, 1, 0)</f>
        <v>0</v>
      </c>
      <c r="Q8" s="138">
        <f>IF($B$23 &gt;= 90, 1,)</f>
        <v>0</v>
      </c>
      <c r="R8" s="195"/>
      <c r="S8" s="195"/>
      <c r="T8" s="195"/>
      <c r="U8" s="195"/>
      <c r="V8" s="195"/>
      <c r="W8" s="195"/>
      <c r="X8" s="195"/>
    </row>
    <row r="9" spans="1:24" ht="15" thickBot="1" x14ac:dyDescent="0.35">
      <c r="A9" s="38" t="s">
        <v>21</v>
      </c>
      <c r="B9" s="93">
        <f>SUM(B7:B8)</f>
        <v>0</v>
      </c>
      <c r="C9" s="91">
        <v>100</v>
      </c>
      <c r="D9" s="114">
        <f t="shared" si="1"/>
        <v>0</v>
      </c>
      <c r="E9" s="106">
        <f>N9</f>
        <v>1</v>
      </c>
      <c r="F9" s="277">
        <f>IF($E$9 &gt;1, 7, 0)</f>
        <v>0</v>
      </c>
      <c r="H9" s="195"/>
      <c r="I9" s="195"/>
      <c r="J9" s="195"/>
      <c r="K9" s="254"/>
      <c r="L9" s="89" t="s">
        <v>17</v>
      </c>
      <c r="M9" s="89">
        <f>SUM(M4:M8)</f>
        <v>1</v>
      </c>
      <c r="N9" s="89">
        <f t="shared" ref="N9:P9" si="2">SUM(N4:N8)</f>
        <v>1</v>
      </c>
      <c r="O9" s="89">
        <f t="shared" si="2"/>
        <v>1</v>
      </c>
      <c r="P9" s="89">
        <f t="shared" si="2"/>
        <v>1</v>
      </c>
      <c r="Q9" s="138">
        <f>SUM(Q4:Q8)</f>
        <v>1</v>
      </c>
      <c r="R9" s="195"/>
      <c r="S9" s="195"/>
      <c r="T9" s="195"/>
      <c r="U9" s="195"/>
      <c r="V9" s="195"/>
      <c r="W9" s="195"/>
      <c r="X9" s="195"/>
    </row>
    <row r="10" spans="1:24" ht="15" thickBot="1" x14ac:dyDescent="0.35">
      <c r="A10" s="90"/>
      <c r="B10" s="90"/>
      <c r="C10" s="90"/>
      <c r="D10" s="90"/>
      <c r="H10" s="195"/>
      <c r="I10" s="195"/>
      <c r="J10" s="195"/>
      <c r="K10" s="254"/>
      <c r="L10" s="254"/>
      <c r="M10" s="254"/>
      <c r="N10" s="254"/>
      <c r="O10" s="254"/>
      <c r="P10" s="254"/>
      <c r="Q10" s="254"/>
      <c r="R10" s="195"/>
      <c r="S10" s="195"/>
      <c r="T10" s="195"/>
      <c r="U10" s="195"/>
      <c r="V10" s="195"/>
      <c r="W10" s="195"/>
      <c r="X10" s="195"/>
    </row>
    <row r="11" spans="1:24" ht="15" thickBot="1" x14ac:dyDescent="0.35">
      <c r="A11" s="4" t="s">
        <v>19</v>
      </c>
      <c r="B11" s="5" t="s">
        <v>6</v>
      </c>
      <c r="C11" s="6" t="s">
        <v>20</v>
      </c>
      <c r="D11" s="103" t="s">
        <v>13</v>
      </c>
      <c r="E11" s="82" t="s">
        <v>23</v>
      </c>
      <c r="F11" s="279" t="s">
        <v>50</v>
      </c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</row>
    <row r="12" spans="1:24" ht="15" thickBot="1" x14ac:dyDescent="0.35">
      <c r="A12" s="95" t="s">
        <v>18</v>
      </c>
      <c r="B12" s="96"/>
      <c r="C12" s="97">
        <v>100</v>
      </c>
      <c r="D12" s="115">
        <f>B12/C12</f>
        <v>0</v>
      </c>
      <c r="E12" s="109">
        <f>O9</f>
        <v>1</v>
      </c>
      <c r="F12" s="277">
        <f>IF($E$12 &gt;1, 5, 0)</f>
        <v>0</v>
      </c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</row>
    <row r="13" spans="1:24" ht="15" thickBot="1" x14ac:dyDescent="0.35">
      <c r="A13" s="90"/>
      <c r="B13" s="90"/>
      <c r="C13" s="90"/>
      <c r="D13" s="90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</row>
    <row r="14" spans="1:24" ht="15" thickBot="1" x14ac:dyDescent="0.35">
      <c r="A14" s="55" t="s">
        <v>22</v>
      </c>
      <c r="B14" s="98" t="s">
        <v>6</v>
      </c>
      <c r="C14" s="99" t="s">
        <v>7</v>
      </c>
      <c r="D14" s="104" t="s">
        <v>13</v>
      </c>
      <c r="E14" s="83" t="s">
        <v>23</v>
      </c>
      <c r="F14" s="279" t="s">
        <v>50</v>
      </c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</row>
    <row r="15" spans="1:24" ht="15" thickBot="1" x14ac:dyDescent="0.35">
      <c r="A15" s="100" t="s">
        <v>18</v>
      </c>
      <c r="B15" s="101"/>
      <c r="C15" s="102">
        <v>100</v>
      </c>
      <c r="D15" s="116">
        <f>B15/C15</f>
        <v>0</v>
      </c>
      <c r="E15" s="108">
        <f>P9</f>
        <v>1</v>
      </c>
      <c r="F15" s="277">
        <f>IF($E$15 &gt;1, 8, 0)</f>
        <v>0</v>
      </c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</row>
    <row r="16" spans="1:24" ht="15" thickBot="1" x14ac:dyDescent="0.35"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</row>
    <row r="17" spans="1:24" ht="15" thickBot="1" x14ac:dyDescent="0.35">
      <c r="A17" s="132" t="s">
        <v>30</v>
      </c>
      <c r="B17" s="130" t="s">
        <v>6</v>
      </c>
      <c r="C17" s="123" t="s">
        <v>7</v>
      </c>
      <c r="D17" s="124" t="s">
        <v>13</v>
      </c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</row>
    <row r="18" spans="1:24" x14ac:dyDescent="0.3">
      <c r="A18" s="131" t="s">
        <v>11</v>
      </c>
      <c r="B18" s="125">
        <f>('SEM1'!B32/25) * 40</f>
        <v>0</v>
      </c>
      <c r="C18" s="126">
        <v>40</v>
      </c>
      <c r="D18" s="133">
        <f>B18/C18</f>
        <v>0</v>
      </c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</row>
    <row r="19" spans="1:24" x14ac:dyDescent="0.3">
      <c r="A19" s="121" t="s">
        <v>3</v>
      </c>
      <c r="B19" s="127"/>
      <c r="C19" s="118">
        <v>10</v>
      </c>
      <c r="D19" s="134">
        <f t="shared" ref="D19:D21" si="3">B19/C19</f>
        <v>0</v>
      </c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</row>
    <row r="20" spans="1:24" ht="15" thickBot="1" x14ac:dyDescent="0.35">
      <c r="A20" s="121" t="s">
        <v>26</v>
      </c>
      <c r="B20" s="128">
        <f>'SEM1'!B33</f>
        <v>0</v>
      </c>
      <c r="C20" s="117">
        <v>30</v>
      </c>
      <c r="D20" s="135">
        <f t="shared" si="3"/>
        <v>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</row>
    <row r="21" spans="1:24" x14ac:dyDescent="0.3">
      <c r="A21" s="121" t="s">
        <v>18</v>
      </c>
      <c r="B21" s="127"/>
      <c r="C21" s="118">
        <v>20</v>
      </c>
      <c r="D21" s="134">
        <f t="shared" si="3"/>
        <v>0</v>
      </c>
      <c r="E21" s="140" t="s">
        <v>23</v>
      </c>
      <c r="F21" s="279" t="s">
        <v>50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</row>
    <row r="22" spans="1:24" ht="15" thickBot="1" x14ac:dyDescent="0.35">
      <c r="A22" s="122" t="s">
        <v>21</v>
      </c>
      <c r="B22" s="142">
        <f>SUM(B17:B21)</f>
        <v>0</v>
      </c>
      <c r="C22" s="120">
        <v>100</v>
      </c>
      <c r="D22" s="136">
        <f t="shared" ref="D22" si="4">B22/C22</f>
        <v>0</v>
      </c>
      <c r="E22" s="141">
        <f>Q9</f>
        <v>1</v>
      </c>
      <c r="F22" s="277">
        <f>IF($E$22 &gt;1, 4, 0)</f>
        <v>0</v>
      </c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</row>
    <row r="23" spans="1:24" x14ac:dyDescent="0.3">
      <c r="A23" s="119"/>
      <c r="B23" s="143"/>
      <c r="C23" s="90"/>
      <c r="D23" s="144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</row>
    <row r="24" spans="1:24" x14ac:dyDescent="0.3"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</row>
    <row r="25" spans="1:24" x14ac:dyDescent="0.3"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</row>
    <row r="26" spans="1:24" x14ac:dyDescent="0.3"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</row>
    <row r="27" spans="1:24" x14ac:dyDescent="0.3"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</row>
    <row r="28" spans="1:24" x14ac:dyDescent="0.3"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</row>
  </sheetData>
  <conditionalFormatting sqref="D2:D4 D7:D9 D12 D15 D18:D23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{1BC900FF-8DD7-4311-8CE5-25E2A253943D}</x14:id>
        </ext>
      </extLst>
    </cfRule>
  </conditionalFormatting>
  <conditionalFormatting sqref="D2:D4 D8:D9 D15 D18 D20:D21">
    <cfRule type="iconSet" priority="3">
      <iconSet iconSet="3Symbols2">
        <cfvo type="percent" val="0"/>
        <cfvo type="num" val="0.5"/>
        <cfvo type="num" val="0.5"/>
      </iconSet>
    </cfRule>
  </conditionalFormatting>
  <conditionalFormatting sqref="D12">
    <cfRule type="iconSet" priority="2">
      <iconSet iconSet="3Symbols2">
        <cfvo type="percent" val="0"/>
        <cfvo type="num" val="0.45"/>
        <cfvo type="num" val="0.45"/>
      </iconSet>
    </cfRule>
  </conditionalFormatting>
  <conditionalFormatting sqref="D22:D23">
    <cfRule type="iconSet" priority="1">
      <iconSet iconSet="3Symbols2">
        <cfvo type="percent" val="0"/>
        <cfvo type="num" val="0.6"/>
        <cfvo type="num" val="0.6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C900FF-8DD7-4311-8CE5-25E2A253943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D2:D4 D7:D9 D12 D15 D18:D23</xm:sqref>
        </x14:conditionalFormatting>
        <x14:conditionalFormatting xmlns:xm="http://schemas.microsoft.com/office/excel/2006/main">
          <x14:cfRule type="iconSet" priority="4" id="{31FEB6C0-6CE1-4A7D-8351-E0976F130F5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 E9 E12 E15 E22:E23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5292-5C2A-464C-A604-04024A6EF04E}">
  <dimension ref="A1:Y39"/>
  <sheetViews>
    <sheetView zoomScale="120" zoomScaleNormal="120" workbookViewId="0">
      <selection activeCell="B3" sqref="B3"/>
    </sheetView>
  </sheetViews>
  <sheetFormatPr defaultColWidth="8.88671875" defaultRowHeight="14.4" x14ac:dyDescent="0.3"/>
  <cols>
    <col min="1" max="1" width="13.5546875" style="43" customWidth="1"/>
    <col min="2" max="2" width="11.5546875" style="43" customWidth="1"/>
    <col min="3" max="3" width="9.109375" style="43" bestFit="1" customWidth="1"/>
    <col min="4" max="4" width="12.33203125" style="43" customWidth="1"/>
    <col min="5" max="5" width="10.5546875" style="43" bestFit="1" customWidth="1"/>
    <col min="6" max="6" width="8.88671875" style="195"/>
    <col min="7" max="16384" width="8.88671875" style="43"/>
  </cols>
  <sheetData>
    <row r="1" spans="1:21" ht="15" thickBot="1" x14ac:dyDescent="0.35">
      <c r="A1" s="172" t="s">
        <v>32</v>
      </c>
      <c r="B1" s="173" t="s">
        <v>6</v>
      </c>
      <c r="C1" s="174" t="s">
        <v>7</v>
      </c>
      <c r="D1" s="175" t="s">
        <v>13</v>
      </c>
      <c r="F1" s="279" t="s">
        <v>55</v>
      </c>
      <c r="G1" s="295"/>
      <c r="H1" s="295"/>
      <c r="I1" s="295"/>
      <c r="J1" s="295"/>
      <c r="K1" s="295"/>
      <c r="L1" s="254"/>
      <c r="M1" s="295"/>
      <c r="N1" s="295"/>
      <c r="O1" s="295"/>
      <c r="P1" s="295"/>
      <c r="Q1" s="295"/>
      <c r="R1" s="295"/>
      <c r="S1" s="295"/>
      <c r="T1" s="295"/>
    </row>
    <row r="2" spans="1:21" ht="15" thickBot="1" x14ac:dyDescent="0.35">
      <c r="A2" s="161" t="s">
        <v>1</v>
      </c>
      <c r="B2" s="152"/>
      <c r="C2" s="153">
        <v>10</v>
      </c>
      <c r="D2" s="157">
        <f>B2/C2</f>
        <v>0</v>
      </c>
      <c r="E2" s="44"/>
      <c r="F2" s="277">
        <f>SUM(F7:F35)</f>
        <v>0</v>
      </c>
      <c r="G2" s="295"/>
      <c r="H2" s="295"/>
      <c r="I2" s="295"/>
      <c r="J2" s="295"/>
      <c r="K2" s="295"/>
      <c r="L2" s="254"/>
      <c r="M2" s="295"/>
      <c r="N2" s="295"/>
      <c r="O2" s="295"/>
      <c r="P2" s="295"/>
      <c r="Q2" s="295"/>
      <c r="R2" s="295"/>
      <c r="S2" s="295"/>
      <c r="T2" s="295"/>
    </row>
    <row r="3" spans="1:21" x14ac:dyDescent="0.3">
      <c r="A3" s="162" t="s">
        <v>2</v>
      </c>
      <c r="B3" s="164"/>
      <c r="C3" s="165">
        <v>10</v>
      </c>
      <c r="D3" s="166">
        <f t="shared" ref="D3:D5" si="0">B3/C3</f>
        <v>0</v>
      </c>
      <c r="G3" s="295"/>
      <c r="H3" s="295"/>
      <c r="I3" s="295"/>
      <c r="J3" s="295"/>
      <c r="K3" s="295"/>
      <c r="L3" s="296"/>
      <c r="M3" s="297" t="s">
        <v>15</v>
      </c>
      <c r="N3" s="297" t="s">
        <v>44</v>
      </c>
      <c r="O3" s="297" t="s">
        <v>36</v>
      </c>
      <c r="P3" s="297" t="s">
        <v>37</v>
      </c>
      <c r="Q3" s="297" t="s">
        <v>45</v>
      </c>
      <c r="R3" s="297" t="s">
        <v>41</v>
      </c>
      <c r="S3" s="296"/>
      <c r="T3" s="295"/>
    </row>
    <row r="4" spans="1:21" x14ac:dyDescent="0.3">
      <c r="A4" s="162" t="s">
        <v>33</v>
      </c>
      <c r="B4" s="155"/>
      <c r="C4" s="156">
        <v>28</v>
      </c>
      <c r="D4" s="157">
        <f t="shared" si="0"/>
        <v>0</v>
      </c>
      <c r="G4" s="295"/>
      <c r="H4" s="295"/>
      <c r="I4" s="295"/>
      <c r="J4" s="295"/>
      <c r="K4" s="295"/>
      <c r="L4" s="296"/>
      <c r="M4" s="297">
        <v>1</v>
      </c>
      <c r="N4" s="297">
        <v>1</v>
      </c>
      <c r="O4" s="297">
        <v>1</v>
      </c>
      <c r="P4" s="297">
        <v>1</v>
      </c>
      <c r="Q4" s="297">
        <v>1</v>
      </c>
      <c r="R4" s="297">
        <v>1</v>
      </c>
      <c r="S4" s="296"/>
      <c r="T4" s="295"/>
    </row>
    <row r="5" spans="1:21" ht="15" thickBot="1" x14ac:dyDescent="0.35">
      <c r="A5" s="162" t="s">
        <v>34</v>
      </c>
      <c r="B5" s="164"/>
      <c r="C5" s="165">
        <v>28</v>
      </c>
      <c r="D5" s="166">
        <f t="shared" si="0"/>
        <v>0</v>
      </c>
      <c r="G5" s="295"/>
      <c r="H5" s="295"/>
      <c r="I5" s="295"/>
      <c r="J5" s="295"/>
      <c r="K5" s="295"/>
      <c r="L5" s="296"/>
      <c r="M5" s="297">
        <v>2</v>
      </c>
      <c r="N5" s="297">
        <f>IF($B$7 &gt;= 50, 1, 0)</f>
        <v>0</v>
      </c>
      <c r="O5" s="297">
        <f>IF($B$14 &gt;= 50, 1, 0)</f>
        <v>0</v>
      </c>
      <c r="P5" s="297">
        <f>IF($B$24 &gt;= 50, 1, 0)</f>
        <v>0</v>
      </c>
      <c r="Q5" s="297">
        <f>IF($B$30 &gt;= 50, 1,)</f>
        <v>0</v>
      </c>
      <c r="R5" s="297">
        <f>IF($B$35 &gt;= 20, 1,)</f>
        <v>0</v>
      </c>
      <c r="S5" s="296"/>
      <c r="T5" s="295"/>
    </row>
    <row r="6" spans="1:21" x14ac:dyDescent="0.3">
      <c r="A6" s="162" t="s">
        <v>35</v>
      </c>
      <c r="B6" s="155"/>
      <c r="C6" s="156">
        <v>24</v>
      </c>
      <c r="D6" s="158">
        <f>B6/C6</f>
        <v>0</v>
      </c>
      <c r="E6" s="194" t="s">
        <v>14</v>
      </c>
      <c r="F6" s="280" t="s">
        <v>50</v>
      </c>
      <c r="G6" s="295"/>
      <c r="H6" s="295"/>
      <c r="I6" s="295"/>
      <c r="J6" s="295"/>
      <c r="K6" s="295"/>
      <c r="L6" s="296"/>
      <c r="M6" s="297">
        <v>3</v>
      </c>
      <c r="N6" s="297">
        <f>IF($B$7 &gt;= 60, 1, 0)</f>
        <v>0</v>
      </c>
      <c r="O6" s="297">
        <f>IF($B$14 &gt;= 65, 1, 0)</f>
        <v>0</v>
      </c>
      <c r="P6" s="297">
        <f>IF($B$24 &gt;= 62, 1, )</f>
        <v>0</v>
      </c>
      <c r="Q6" s="297">
        <f>IF($B$30 &gt;= 58, 1, )</f>
        <v>0</v>
      </c>
      <c r="R6" s="297">
        <f>IF($B$35 &gt;= 24, 1,)</f>
        <v>0</v>
      </c>
      <c r="S6" s="296"/>
      <c r="T6" s="295"/>
    </row>
    <row r="7" spans="1:21" ht="15" thickBot="1" x14ac:dyDescent="0.35">
      <c r="A7" s="163" t="s">
        <v>8</v>
      </c>
      <c r="B7" s="167">
        <f>SUM(B2:B6)</f>
        <v>0</v>
      </c>
      <c r="C7" s="168">
        <v>100</v>
      </c>
      <c r="D7" s="169">
        <f>B7/C7</f>
        <v>0</v>
      </c>
      <c r="E7" s="171">
        <f>N9</f>
        <v>1</v>
      </c>
      <c r="F7" s="276">
        <f>IF($E$7 &gt;1, 6, 0)</f>
        <v>0</v>
      </c>
      <c r="G7" s="295"/>
      <c r="H7" s="295"/>
      <c r="I7" s="295"/>
      <c r="J7" s="295"/>
      <c r="K7" s="295"/>
      <c r="L7" s="296"/>
      <c r="M7" s="297">
        <v>4</v>
      </c>
      <c r="N7" s="297">
        <f>IF($B$7 &gt;= 70, 1, 0)</f>
        <v>0</v>
      </c>
      <c r="O7" s="297">
        <f>IF($B$14 &gt;= 80, 1, 0)</f>
        <v>0</v>
      </c>
      <c r="P7" s="297">
        <f>IF($B$24 &gt;= 74, 1, 0)</f>
        <v>0</v>
      </c>
      <c r="Q7" s="297">
        <f>IF($B$30 &gt;= 72, 1, )</f>
        <v>0</v>
      </c>
      <c r="R7" s="297">
        <f>IF($B$35 &gt;= 30, 1,)</f>
        <v>0</v>
      </c>
      <c r="S7" s="296"/>
      <c r="T7" s="295"/>
    </row>
    <row r="8" spans="1:21" ht="15" thickBot="1" x14ac:dyDescent="0.35">
      <c r="F8" s="88"/>
      <c r="G8" s="295"/>
      <c r="H8" s="295"/>
      <c r="I8" s="295"/>
      <c r="J8" s="295"/>
      <c r="K8" s="295"/>
      <c r="L8" s="296"/>
      <c r="M8" s="297">
        <v>5</v>
      </c>
      <c r="N8" s="297">
        <f>IF($B$7 &gt;= 85, 1, 0)</f>
        <v>0</v>
      </c>
      <c r="O8" s="297">
        <f>IF($B$14 &gt;= 90, 1, 0)</f>
        <v>0</v>
      </c>
      <c r="P8" s="297">
        <f>IF($B$24 &gt;= 86, 1, 0)</f>
        <v>0</v>
      </c>
      <c r="Q8" s="297">
        <f>IF($B$30 &gt;= 86, 1, 0)</f>
        <v>0</v>
      </c>
      <c r="R8" s="297">
        <f>IF($B$35 &gt;= 36, 1,)</f>
        <v>0</v>
      </c>
      <c r="S8" s="296"/>
      <c r="T8" s="295"/>
    </row>
    <row r="9" spans="1:21" ht="15" thickBot="1" x14ac:dyDescent="0.35">
      <c r="A9" s="179" t="s">
        <v>36</v>
      </c>
      <c r="B9" s="180" t="s">
        <v>6</v>
      </c>
      <c r="C9" s="181" t="s">
        <v>7</v>
      </c>
      <c r="D9" s="182" t="s">
        <v>13</v>
      </c>
      <c r="F9" s="88"/>
      <c r="G9" s="295"/>
      <c r="H9" s="295"/>
      <c r="I9" s="295"/>
      <c r="J9" s="295"/>
      <c r="K9" s="295"/>
      <c r="L9" s="296"/>
      <c r="M9" s="297" t="s">
        <v>17</v>
      </c>
      <c r="N9" s="297">
        <f>SUM(N4:N8)</f>
        <v>1</v>
      </c>
      <c r="O9" s="297">
        <f t="shared" ref="O9:Q9" si="1">SUM(O4:O8)</f>
        <v>1</v>
      </c>
      <c r="P9" s="297">
        <f t="shared" si="1"/>
        <v>1</v>
      </c>
      <c r="Q9" s="297">
        <f t="shared" si="1"/>
        <v>1</v>
      </c>
      <c r="R9" s="297">
        <f>SUM(R4:R8)</f>
        <v>1</v>
      </c>
      <c r="S9" s="296"/>
      <c r="T9" s="295"/>
    </row>
    <row r="10" spans="1:21" x14ac:dyDescent="0.3">
      <c r="A10" s="176" t="s">
        <v>1</v>
      </c>
      <c r="B10" s="183"/>
      <c r="C10" s="184">
        <v>10</v>
      </c>
      <c r="D10" s="185">
        <f>B10/C10</f>
        <v>0</v>
      </c>
      <c r="F10" s="88"/>
      <c r="G10" s="295"/>
      <c r="H10" s="295"/>
      <c r="I10" s="295"/>
      <c r="J10" s="295"/>
      <c r="K10" s="295"/>
      <c r="L10" s="296"/>
      <c r="M10" s="296"/>
      <c r="N10" s="296"/>
      <c r="O10" s="296"/>
      <c r="P10" s="296"/>
      <c r="Q10" s="296"/>
      <c r="R10" s="296"/>
      <c r="S10" s="296"/>
      <c r="T10" s="295"/>
    </row>
    <row r="11" spans="1:21" x14ac:dyDescent="0.3">
      <c r="A11" s="176" t="s">
        <v>3</v>
      </c>
      <c r="B11" s="145"/>
      <c r="C11" s="146">
        <v>10</v>
      </c>
      <c r="D11" s="147">
        <f>B11/C11</f>
        <v>0</v>
      </c>
      <c r="F11" s="88"/>
      <c r="G11" s="295"/>
      <c r="H11" s="295"/>
      <c r="I11" s="295"/>
      <c r="J11" s="295"/>
      <c r="K11" s="295"/>
      <c r="L11" s="254"/>
      <c r="M11" s="295"/>
      <c r="N11" s="295"/>
      <c r="O11" s="295"/>
      <c r="P11" s="295"/>
      <c r="Q11" s="295"/>
      <c r="R11" s="295"/>
      <c r="S11" s="295"/>
      <c r="T11" s="295"/>
    </row>
    <row r="12" spans="1:21" ht="15" thickBot="1" x14ac:dyDescent="0.35">
      <c r="A12" s="177" t="s">
        <v>4</v>
      </c>
      <c r="B12" s="26"/>
      <c r="C12" s="27">
        <v>40</v>
      </c>
      <c r="D12" s="150">
        <f t="shared" ref="D12:D14" si="2">B12/C12</f>
        <v>0</v>
      </c>
      <c r="F12" s="88"/>
      <c r="G12" s="295"/>
      <c r="H12" s="295"/>
      <c r="I12" s="295"/>
      <c r="J12" s="295"/>
      <c r="K12" s="295"/>
      <c r="L12" s="254"/>
      <c r="M12" s="295"/>
      <c r="N12" s="295"/>
      <c r="O12" s="295"/>
      <c r="P12" s="295"/>
      <c r="Q12" s="295"/>
      <c r="R12" s="295"/>
      <c r="S12" s="295"/>
      <c r="T12" s="295"/>
    </row>
    <row r="13" spans="1:21" x14ac:dyDescent="0.3">
      <c r="A13" s="177" t="s">
        <v>5</v>
      </c>
      <c r="B13" s="298"/>
      <c r="C13" s="32">
        <v>40</v>
      </c>
      <c r="D13" s="76">
        <f t="shared" si="2"/>
        <v>0</v>
      </c>
      <c r="E13" s="81" t="s">
        <v>14</v>
      </c>
      <c r="F13" s="280" t="s">
        <v>50</v>
      </c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</row>
    <row r="14" spans="1:21" ht="15" thickBot="1" x14ac:dyDescent="0.35">
      <c r="A14" s="178" t="s">
        <v>8</v>
      </c>
      <c r="B14" s="29">
        <f>SUM(B10:B13)</f>
        <v>0</v>
      </c>
      <c r="C14" s="30">
        <v>100</v>
      </c>
      <c r="D14" s="151">
        <f t="shared" si="2"/>
        <v>0</v>
      </c>
      <c r="E14" s="85">
        <f>O9</f>
        <v>1</v>
      </c>
      <c r="F14" s="276">
        <f>IF($E$14 &gt;1, 8, 0)</f>
        <v>0</v>
      </c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</row>
    <row r="15" spans="1:21" ht="15" thickBot="1" x14ac:dyDescent="0.35">
      <c r="F15" s="88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</row>
    <row r="16" spans="1:21" ht="15" thickBot="1" x14ac:dyDescent="0.35">
      <c r="A16" s="4" t="s">
        <v>42</v>
      </c>
      <c r="B16" s="5" t="s">
        <v>6</v>
      </c>
      <c r="C16" s="6" t="s">
        <v>7</v>
      </c>
      <c r="D16" s="7" t="s">
        <v>13</v>
      </c>
      <c r="F16" s="88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</row>
    <row r="17" spans="1:25" x14ac:dyDescent="0.3">
      <c r="A17" s="1" t="s">
        <v>38</v>
      </c>
      <c r="B17" s="45"/>
      <c r="C17" s="46">
        <v>6</v>
      </c>
      <c r="D17" s="47">
        <f>B17/C17</f>
        <v>0</v>
      </c>
      <c r="F17" s="88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</row>
    <row r="18" spans="1:25" x14ac:dyDescent="0.3">
      <c r="A18" s="2" t="s">
        <v>39</v>
      </c>
      <c r="B18" s="50"/>
      <c r="C18" s="51">
        <v>5</v>
      </c>
      <c r="D18" s="52">
        <f t="shared" ref="D18:D24" si="3">B18/C18</f>
        <v>0</v>
      </c>
      <c r="F18" s="88"/>
      <c r="G18" s="295"/>
      <c r="H18" s="295"/>
      <c r="I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</row>
    <row r="19" spans="1:25" x14ac:dyDescent="0.3">
      <c r="A19" s="2" t="s">
        <v>3</v>
      </c>
      <c r="B19" s="48"/>
      <c r="C19" s="49">
        <v>9</v>
      </c>
      <c r="D19" s="148">
        <f t="shared" si="3"/>
        <v>0</v>
      </c>
      <c r="F19" s="88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</row>
    <row r="20" spans="1:25" ht="15" thickBot="1" x14ac:dyDescent="0.35">
      <c r="A20" s="2" t="s">
        <v>40</v>
      </c>
      <c r="B20" s="50"/>
      <c r="C20" s="51">
        <v>4</v>
      </c>
      <c r="D20" s="52">
        <f t="shared" si="3"/>
        <v>0</v>
      </c>
      <c r="E20" s="273"/>
      <c r="F20" s="88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</row>
    <row r="21" spans="1:25" x14ac:dyDescent="0.3">
      <c r="A21" s="2" t="s">
        <v>33</v>
      </c>
      <c r="B21" s="48"/>
      <c r="C21" s="49">
        <v>26</v>
      </c>
      <c r="D21" s="74">
        <f t="shared" si="3"/>
        <v>0</v>
      </c>
      <c r="E21" s="520">
        <f>SUM(B21:B22)/52</f>
        <v>0</v>
      </c>
      <c r="F21" s="88"/>
      <c r="G21" s="522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</row>
    <row r="22" spans="1:25" ht="15" thickBot="1" x14ac:dyDescent="0.35">
      <c r="A22" s="2" t="s">
        <v>34</v>
      </c>
      <c r="B22" s="300"/>
      <c r="C22" s="51">
        <v>26</v>
      </c>
      <c r="D22" s="251">
        <f t="shared" si="3"/>
        <v>0</v>
      </c>
      <c r="E22" s="521"/>
      <c r="F22" s="88"/>
      <c r="G22" s="522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</row>
    <row r="23" spans="1:25" x14ac:dyDescent="0.3">
      <c r="A23" s="2" t="s">
        <v>35</v>
      </c>
      <c r="B23" s="301"/>
      <c r="C23" s="49">
        <v>24</v>
      </c>
      <c r="D23" s="148">
        <f>B23/C23</f>
        <v>0</v>
      </c>
      <c r="E23" s="252" t="s">
        <v>14</v>
      </c>
      <c r="F23" s="280" t="s">
        <v>50</v>
      </c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</row>
    <row r="24" spans="1:25" ht="15" thickBot="1" x14ac:dyDescent="0.35">
      <c r="A24" s="3" t="s">
        <v>8</v>
      </c>
      <c r="B24" s="53">
        <f>SUM(B17:B23)</f>
        <v>0</v>
      </c>
      <c r="C24" s="54">
        <v>100</v>
      </c>
      <c r="D24" s="149">
        <f t="shared" si="3"/>
        <v>0</v>
      </c>
      <c r="E24" s="86">
        <f>P9</f>
        <v>1</v>
      </c>
      <c r="F24" s="276">
        <f>IF($E$24 &gt;1, 7, 0)</f>
        <v>0</v>
      </c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</row>
    <row r="25" spans="1:25" ht="15" thickBot="1" x14ac:dyDescent="0.35">
      <c r="F25" s="88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</row>
    <row r="26" spans="1:25" ht="15" thickBot="1" x14ac:dyDescent="0.35">
      <c r="A26" s="189" t="s">
        <v>43</v>
      </c>
      <c r="B26" s="190" t="s">
        <v>6</v>
      </c>
      <c r="C26" s="191" t="s">
        <v>7</v>
      </c>
      <c r="D26" s="192" t="s">
        <v>13</v>
      </c>
      <c r="F26" s="88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</row>
    <row r="27" spans="1:25" x14ac:dyDescent="0.3">
      <c r="A27" s="186" t="s">
        <v>40</v>
      </c>
      <c r="B27" s="196"/>
      <c r="C27" s="197">
        <v>5</v>
      </c>
      <c r="D27" s="198">
        <f>B27/C27</f>
        <v>0</v>
      </c>
      <c r="E27" s="195"/>
      <c r="F27" s="88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</row>
    <row r="28" spans="1:25" ht="15" thickBot="1" x14ac:dyDescent="0.35">
      <c r="A28" s="187" t="s">
        <v>4</v>
      </c>
      <c r="B28" s="199"/>
      <c r="C28" s="200">
        <v>50</v>
      </c>
      <c r="D28" s="201">
        <f t="shared" ref="D28:D30" si="4">B28/C28</f>
        <v>0</v>
      </c>
      <c r="E28" s="195"/>
      <c r="F28" s="88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</row>
    <row r="29" spans="1:25" x14ac:dyDescent="0.3">
      <c r="A29" s="187" t="s">
        <v>5</v>
      </c>
      <c r="B29" s="299"/>
      <c r="C29" s="202">
        <v>50</v>
      </c>
      <c r="D29" s="203">
        <f t="shared" si="4"/>
        <v>0</v>
      </c>
      <c r="E29" s="193" t="s">
        <v>14</v>
      </c>
      <c r="F29" s="280" t="s">
        <v>50</v>
      </c>
      <c r="G29" s="295"/>
      <c r="H29" s="295"/>
      <c r="I29" s="295"/>
      <c r="J29" s="295"/>
      <c r="K29" s="295"/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</row>
    <row r="30" spans="1:25" ht="15" thickBot="1" x14ac:dyDescent="0.35">
      <c r="A30" s="188" t="s">
        <v>8</v>
      </c>
      <c r="B30" s="204">
        <f>SUM(B27:B29)</f>
        <v>0</v>
      </c>
      <c r="C30" s="205">
        <v>100</v>
      </c>
      <c r="D30" s="207">
        <f t="shared" si="4"/>
        <v>0</v>
      </c>
      <c r="E30" s="206">
        <f>Q9</f>
        <v>1</v>
      </c>
      <c r="F30" s="276">
        <f>IF($E$30 &gt;1, 7, 0)</f>
        <v>0</v>
      </c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</row>
    <row r="31" spans="1:25" x14ac:dyDescent="0.3">
      <c r="F31" s="88"/>
      <c r="G31" s="295"/>
      <c r="H31" s="295"/>
      <c r="I31" s="295"/>
      <c r="J31" s="295"/>
      <c r="K31" s="295"/>
      <c r="L31" s="295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</row>
    <row r="32" spans="1:25" ht="15" thickBot="1" x14ac:dyDescent="0.35">
      <c r="F32" s="88"/>
      <c r="I32" s="295"/>
      <c r="J32" s="295"/>
      <c r="K32" s="295"/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</row>
    <row r="33" spans="1:25" ht="15" thickBot="1" x14ac:dyDescent="0.35">
      <c r="A33" s="222" t="s">
        <v>41</v>
      </c>
      <c r="B33" s="223" t="s">
        <v>6</v>
      </c>
      <c r="C33" s="224" t="s">
        <v>7</v>
      </c>
      <c r="D33" s="225" t="s">
        <v>13</v>
      </c>
      <c r="F33" s="88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</row>
    <row r="34" spans="1:25" x14ac:dyDescent="0.3">
      <c r="A34" s="226" t="s">
        <v>5</v>
      </c>
      <c r="B34" s="228"/>
      <c r="C34" s="229">
        <v>40</v>
      </c>
      <c r="D34" s="230">
        <f>B34/C34</f>
        <v>0</v>
      </c>
      <c r="E34" s="231" t="s">
        <v>14</v>
      </c>
      <c r="F34" s="280" t="s">
        <v>50</v>
      </c>
      <c r="I34" s="295"/>
      <c r="J34" s="295"/>
      <c r="K34" s="295"/>
      <c r="L34" s="295"/>
      <c r="M34" s="295"/>
      <c r="N34" s="295"/>
      <c r="O34" s="295"/>
      <c r="P34" s="295"/>
      <c r="Q34" s="295"/>
      <c r="R34" s="295"/>
      <c r="S34" s="295"/>
      <c r="T34" s="295"/>
      <c r="U34" s="295"/>
      <c r="V34" s="295"/>
      <c r="W34" s="295"/>
      <c r="X34" s="295"/>
      <c r="Y34" s="295"/>
    </row>
    <row r="35" spans="1:25" ht="15" thickBot="1" x14ac:dyDescent="0.35">
      <c r="A35" s="227" t="s">
        <v>8</v>
      </c>
      <c r="B35" s="232">
        <f>B34</f>
        <v>0</v>
      </c>
      <c r="C35" s="233">
        <v>50</v>
      </c>
      <c r="D35" s="234">
        <f>B35/C35</f>
        <v>0</v>
      </c>
      <c r="E35" s="235">
        <f>R9</f>
        <v>1</v>
      </c>
      <c r="F35" s="276">
        <f>IF($E$35 &gt;1, 2, 0)</f>
        <v>0</v>
      </c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</row>
    <row r="36" spans="1:25" x14ac:dyDescent="0.3"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</row>
    <row r="37" spans="1:25" x14ac:dyDescent="0.3"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</row>
    <row r="38" spans="1:25" x14ac:dyDescent="0.3"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</row>
    <row r="39" spans="1:25" x14ac:dyDescent="0.3"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</row>
  </sheetData>
  <mergeCells count="2">
    <mergeCell ref="E21:E22"/>
    <mergeCell ref="G21:G22"/>
  </mergeCells>
  <conditionalFormatting sqref="D2">
    <cfRule type="iconSet" priority="3">
      <iconSet iconSet="3Symbols2">
        <cfvo type="percent" val="0"/>
        <cfvo type="num" val="0.5"/>
        <cfvo type="num" val="0.5"/>
      </iconSet>
    </cfRule>
  </conditionalFormatting>
  <conditionalFormatting sqref="D2:D35">
    <cfRule type="dataBar" priority="1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{EEF1AEBF-34A8-439D-BF23-CA91530FCC6D}</x14:id>
        </ext>
      </extLst>
    </cfRule>
  </conditionalFormatting>
  <conditionalFormatting sqref="D6">
    <cfRule type="iconSet" priority="6">
      <iconSet iconSet="3Symbols2">
        <cfvo type="percent" val="0"/>
        <cfvo type="num" val="0.33"/>
        <cfvo type="num" val="0.33"/>
      </iconSet>
    </cfRule>
  </conditionalFormatting>
  <conditionalFormatting sqref="D7">
    <cfRule type="iconSet" priority="5">
      <iconSet iconSet="3Symbols2">
        <cfvo type="percent" val="0"/>
        <cfvo type="num" val="0.5"/>
        <cfvo type="num" val="0.5"/>
      </iconSet>
    </cfRule>
  </conditionalFormatting>
  <conditionalFormatting sqref="D12:D13">
    <cfRule type="iconSet" priority="17">
      <iconSet iconSet="3Symbols2">
        <cfvo type="percent" val="0"/>
        <cfvo type="num" val="0.25"/>
        <cfvo type="num" val="0.25"/>
      </iconSet>
    </cfRule>
  </conditionalFormatting>
  <conditionalFormatting sqref="D14">
    <cfRule type="iconSet" priority="1">
      <iconSet iconSet="3Symbols2">
        <cfvo type="percent" val="0"/>
        <cfvo type="num" val="0.5"/>
        <cfvo type="num" val="0.5"/>
      </iconSet>
    </cfRule>
  </conditionalFormatting>
  <conditionalFormatting sqref="D23">
    <cfRule type="iconSet" priority="11">
      <iconSet iconSet="3Symbols2">
        <cfvo type="percent" val="0"/>
        <cfvo type="num" val="0.33"/>
        <cfvo type="num" val="0.33"/>
      </iconSet>
    </cfRule>
  </conditionalFormatting>
  <conditionalFormatting sqref="D24">
    <cfRule type="iconSet" priority="14">
      <iconSet iconSet="3Symbols2">
        <cfvo type="percent" val="0"/>
        <cfvo type="num" val="0.5"/>
        <cfvo type="num" val="0.5"/>
      </iconSet>
    </cfRule>
  </conditionalFormatting>
  <conditionalFormatting sqref="D30">
    <cfRule type="iconSet" priority="10">
      <iconSet iconSet="3Symbols2">
        <cfvo type="percent" val="0"/>
        <cfvo type="num" val="0.5"/>
        <cfvo type="num" val="0.5"/>
      </iconSet>
    </cfRule>
  </conditionalFormatting>
  <conditionalFormatting sqref="D35">
    <cfRule type="iconSet" priority="13">
      <iconSet iconSet="3Symbols2">
        <cfvo type="percent" val="0"/>
        <cfvo type="num" val="0.5"/>
        <cfvo type="num" val="0.5"/>
      </iconSet>
    </cfRule>
  </conditionalFormatting>
  <conditionalFormatting sqref="E21:E22">
    <cfRule type="iconSet" priority="2">
      <iconSet iconSet="3Symbols2">
        <cfvo type="percent" val="0"/>
        <cfvo type="num" val="0.34599999999999997"/>
        <cfvo type="num" val="0.34599999999999997"/>
      </iconSe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F1AEBF-34A8-439D-BF23-CA91530FCC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D2:D35</xm:sqref>
        </x14:conditionalFormatting>
        <x14:conditionalFormatting xmlns:xm="http://schemas.microsoft.com/office/excel/2006/main">
          <x14:cfRule type="iconSet" priority="16" id="{0AD91399-3209-483E-B706-8D9A04F2B29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E35 E7 E14 E24 E30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6038-55AB-4B0D-A728-14CD33811049}">
  <dimension ref="A1:W35"/>
  <sheetViews>
    <sheetView zoomScale="120" zoomScaleNormal="120" workbookViewId="0">
      <selection activeCell="L1" sqref="L1:Q9"/>
    </sheetView>
  </sheetViews>
  <sheetFormatPr defaultColWidth="8.88671875" defaultRowHeight="14.4" x14ac:dyDescent="0.3"/>
  <cols>
    <col min="1" max="1" width="10.109375" style="43" customWidth="1"/>
    <col min="2" max="2" width="10.77734375" style="43" customWidth="1"/>
    <col min="3" max="3" width="9.109375" style="43" customWidth="1"/>
    <col min="4" max="4" width="13.88671875" style="43" customWidth="1"/>
    <col min="5" max="16384" width="8.88671875" style="43"/>
  </cols>
  <sheetData>
    <row r="1" spans="1:23" ht="15" thickBot="1" x14ac:dyDescent="0.35">
      <c r="A1" s="172" t="s">
        <v>32</v>
      </c>
      <c r="B1" s="173" t="s">
        <v>6</v>
      </c>
      <c r="C1" s="174" t="s">
        <v>7</v>
      </c>
      <c r="D1" s="175" t="s">
        <v>13</v>
      </c>
      <c r="F1" s="279" t="s">
        <v>55</v>
      </c>
      <c r="H1" s="195"/>
      <c r="I1" s="195"/>
      <c r="J1" s="254"/>
      <c r="K1" s="254"/>
      <c r="L1" s="254"/>
      <c r="M1" s="254"/>
      <c r="N1" s="254"/>
      <c r="O1" s="254"/>
      <c r="P1" s="254"/>
      <c r="Q1" s="254"/>
      <c r="R1" s="195"/>
      <c r="S1" s="195"/>
      <c r="T1" s="195"/>
      <c r="U1" s="195"/>
      <c r="V1" s="195"/>
      <c r="W1" s="195"/>
    </row>
    <row r="2" spans="1:23" ht="15" thickBot="1" x14ac:dyDescent="0.35">
      <c r="A2" s="161" t="s">
        <v>1</v>
      </c>
      <c r="B2" s="152">
        <f>'SEM2'!B2</f>
        <v>0</v>
      </c>
      <c r="C2" s="153">
        <v>10</v>
      </c>
      <c r="D2" s="154">
        <f>B2/C2</f>
        <v>0</v>
      </c>
      <c r="F2" s="277">
        <f>SUM(F6:F23)</f>
        <v>0</v>
      </c>
      <c r="H2" s="195"/>
      <c r="I2" s="195"/>
      <c r="J2" s="254"/>
      <c r="K2" s="254"/>
      <c r="L2" s="138" t="s">
        <v>15</v>
      </c>
      <c r="M2" s="138" t="s">
        <v>44</v>
      </c>
      <c r="N2" s="138" t="s">
        <v>36</v>
      </c>
      <c r="O2" s="138" t="s">
        <v>37</v>
      </c>
      <c r="P2" s="138" t="s">
        <v>45</v>
      </c>
      <c r="Q2" s="138" t="s">
        <v>41</v>
      </c>
      <c r="R2" s="195"/>
      <c r="S2" s="195"/>
      <c r="T2" s="195"/>
      <c r="U2" s="195"/>
      <c r="V2" s="195"/>
      <c r="W2" s="195"/>
    </row>
    <row r="3" spans="1:23" x14ac:dyDescent="0.3">
      <c r="A3" s="161" t="s">
        <v>39</v>
      </c>
      <c r="B3" s="164">
        <f>'SEM2'!B3</f>
        <v>0</v>
      </c>
      <c r="C3" s="165">
        <v>10</v>
      </c>
      <c r="D3" s="257">
        <f>B3/C3</f>
        <v>0</v>
      </c>
      <c r="F3" s="195"/>
      <c r="H3" s="195"/>
      <c r="I3" s="195"/>
      <c r="J3" s="295"/>
      <c r="K3" s="295"/>
      <c r="L3" s="138">
        <v>1</v>
      </c>
      <c r="M3" s="138">
        <v>1</v>
      </c>
      <c r="N3" s="138">
        <v>1</v>
      </c>
      <c r="O3" s="138">
        <v>1</v>
      </c>
      <c r="P3" s="138">
        <v>1</v>
      </c>
      <c r="Q3" s="138">
        <v>1</v>
      </c>
      <c r="R3" s="295"/>
      <c r="S3" s="195"/>
      <c r="T3" s="195"/>
      <c r="U3" s="195"/>
      <c r="V3" s="195"/>
      <c r="W3" s="195"/>
    </row>
    <row r="4" spans="1:23" ht="15" thickBot="1" x14ac:dyDescent="0.35">
      <c r="A4" s="161" t="s">
        <v>48</v>
      </c>
      <c r="B4" s="155"/>
      <c r="C4" s="156">
        <v>56</v>
      </c>
      <c r="D4" s="256">
        <f>B4/C4</f>
        <v>0</v>
      </c>
      <c r="F4" s="195"/>
      <c r="H4" s="195"/>
      <c r="I4" s="195"/>
      <c r="J4" s="295"/>
      <c r="K4" s="295"/>
      <c r="L4" s="138">
        <v>2</v>
      </c>
      <c r="M4" s="138">
        <f>IF($B$6 &gt;= 50, 1, 0)</f>
        <v>0</v>
      </c>
      <c r="N4" s="138">
        <f>IF($B$9 &gt;= 50, 1, 0)</f>
        <v>0</v>
      </c>
      <c r="O4" s="138">
        <f>IF($B$18 &gt;= 50, 1, 0)</f>
        <v>0</v>
      </c>
      <c r="P4" s="138">
        <f>IF($B$21 &gt;= 50, 1,)</f>
        <v>0</v>
      </c>
      <c r="Q4" s="138">
        <f>IF($B$24 &gt;= 25.5, 1,)</f>
        <v>0</v>
      </c>
      <c r="R4" s="295"/>
      <c r="S4" s="195"/>
      <c r="T4" s="195"/>
      <c r="U4" s="195"/>
      <c r="V4" s="195"/>
      <c r="W4" s="195"/>
    </row>
    <row r="5" spans="1:23" x14ac:dyDescent="0.3">
      <c r="A5" s="162" t="s">
        <v>49</v>
      </c>
      <c r="B5" s="255"/>
      <c r="C5" s="165">
        <v>24</v>
      </c>
      <c r="D5" s="210">
        <f t="shared" ref="D5" si="0">B5/C5</f>
        <v>0</v>
      </c>
      <c r="E5" s="209" t="s">
        <v>23</v>
      </c>
      <c r="F5" s="280" t="s">
        <v>50</v>
      </c>
      <c r="H5" s="195"/>
      <c r="I5" s="195"/>
      <c r="J5" s="295"/>
      <c r="K5" s="295"/>
      <c r="L5" s="138">
        <v>3</v>
      </c>
      <c r="M5" s="138">
        <f>IF($B$6 &gt;= 60, 1, 0)</f>
        <v>0</v>
      </c>
      <c r="N5" s="138">
        <f>IF($B$9 &gt;= 65, 1, 0)</f>
        <v>0</v>
      </c>
      <c r="O5" s="138">
        <f>IF($B$18 &gt;= 62, 1, )</f>
        <v>0</v>
      </c>
      <c r="P5" s="138">
        <f>IF($B$21 &gt;= 58, 1, )</f>
        <v>0</v>
      </c>
      <c r="Q5" s="138">
        <f>IF($B$24 &gt;= 30.5, 1,)</f>
        <v>0</v>
      </c>
      <c r="R5" s="295"/>
      <c r="S5" s="195"/>
      <c r="T5" s="195"/>
      <c r="U5" s="195"/>
      <c r="V5" s="195"/>
      <c r="W5" s="195"/>
    </row>
    <row r="6" spans="1:23" ht="15" thickBot="1" x14ac:dyDescent="0.35">
      <c r="A6" s="163" t="s">
        <v>21</v>
      </c>
      <c r="B6" s="159">
        <f>SUM(B2:B5)</f>
        <v>0</v>
      </c>
      <c r="C6" s="160">
        <v>100</v>
      </c>
      <c r="D6" s="211">
        <f>B6/C6</f>
        <v>0</v>
      </c>
      <c r="E6" s="170">
        <f>M8</f>
        <v>1</v>
      </c>
      <c r="F6" s="276">
        <f>IF($E$6 &gt;1, 6, 0)</f>
        <v>0</v>
      </c>
      <c r="H6" s="195"/>
      <c r="I6" s="195"/>
      <c r="J6" s="295"/>
      <c r="K6" s="295"/>
      <c r="L6" s="138">
        <v>4</v>
      </c>
      <c r="M6" s="138">
        <f>IF($B$6 &gt;= 70, 1, 0)</f>
        <v>0</v>
      </c>
      <c r="N6" s="138">
        <f>IF($B$9 &gt;= 80, 1, 0)</f>
        <v>0</v>
      </c>
      <c r="O6" s="138">
        <f>IF($B$18 &gt;= 74, 1, 0)</f>
        <v>0</v>
      </c>
      <c r="P6" s="138">
        <f>IF($B$21 &gt;= 72, 1, )</f>
        <v>0</v>
      </c>
      <c r="Q6" s="138">
        <f>IF($B$24 &gt;= 38.5, 1,)</f>
        <v>0</v>
      </c>
      <c r="R6" s="295"/>
      <c r="S6" s="195"/>
      <c r="T6" s="195"/>
      <c r="U6" s="195"/>
      <c r="V6" s="195"/>
      <c r="W6" s="195"/>
    </row>
    <row r="7" spans="1:23" ht="15" thickBot="1" x14ac:dyDescent="0.35">
      <c r="A7" s="90"/>
      <c r="B7" s="90"/>
      <c r="C7" s="90"/>
      <c r="D7" s="90"/>
      <c r="H7" s="195"/>
      <c r="I7" s="195"/>
      <c r="J7" s="295"/>
      <c r="K7" s="295"/>
      <c r="L7" s="138">
        <v>5</v>
      </c>
      <c r="M7" s="138">
        <f>IF($B$6 &gt;= 85, 1, 0)</f>
        <v>0</v>
      </c>
      <c r="N7" s="138">
        <f>IF($B$9 &gt;= 90, 1, 0)</f>
        <v>0</v>
      </c>
      <c r="O7" s="138">
        <f>IF($B$18 &gt;= 86, 1, 0)</f>
        <v>0</v>
      </c>
      <c r="P7" s="138">
        <f>IF($B$21 &gt;= 86, 1, 0)</f>
        <v>0</v>
      </c>
      <c r="Q7" s="138">
        <f>IF($B$24 &gt;= 45.5, 1,)</f>
        <v>0</v>
      </c>
      <c r="R7" s="295"/>
      <c r="S7" s="195"/>
      <c r="T7" s="195"/>
      <c r="U7" s="195"/>
      <c r="V7" s="195"/>
      <c r="W7" s="195"/>
    </row>
    <row r="8" spans="1:23" ht="15" thickBot="1" x14ac:dyDescent="0.35">
      <c r="A8" s="39" t="s">
        <v>36</v>
      </c>
      <c r="B8" s="40" t="s">
        <v>6</v>
      </c>
      <c r="C8" s="41" t="s">
        <v>7</v>
      </c>
      <c r="D8" s="42" t="s">
        <v>13</v>
      </c>
      <c r="E8" s="107" t="s">
        <v>23</v>
      </c>
      <c r="F8" s="280" t="s">
        <v>50</v>
      </c>
      <c r="H8" s="195"/>
      <c r="I8" s="195"/>
      <c r="J8" s="295"/>
      <c r="K8" s="295"/>
      <c r="L8" s="138" t="s">
        <v>17</v>
      </c>
      <c r="M8" s="138">
        <f>SUM(M3:M7)</f>
        <v>1</v>
      </c>
      <c r="N8" s="138">
        <f t="shared" ref="N8:P8" si="1">SUM(N3:N7)</f>
        <v>1</v>
      </c>
      <c r="O8" s="138">
        <f t="shared" si="1"/>
        <v>1</v>
      </c>
      <c r="P8" s="138">
        <f t="shared" si="1"/>
        <v>1</v>
      </c>
      <c r="Q8" s="138">
        <f>SUM(Q3:Q7)</f>
        <v>1</v>
      </c>
      <c r="R8" s="295"/>
      <c r="S8" s="195"/>
      <c r="T8" s="195"/>
      <c r="U8" s="195"/>
      <c r="V8" s="195"/>
      <c r="W8" s="195"/>
    </row>
    <row r="9" spans="1:23" ht="15" thickBot="1" x14ac:dyDescent="0.35">
      <c r="A9" s="38" t="s">
        <v>18</v>
      </c>
      <c r="B9" s="258"/>
      <c r="C9" s="259">
        <v>100</v>
      </c>
      <c r="D9" s="261">
        <f>B9/C9</f>
        <v>0</v>
      </c>
      <c r="E9" s="260">
        <f>N8</f>
        <v>1</v>
      </c>
      <c r="F9" s="276">
        <f>IF($E$9 &gt;1, 8, 0)</f>
        <v>0</v>
      </c>
      <c r="H9" s="195"/>
      <c r="I9" s="195"/>
      <c r="J9" s="295"/>
      <c r="K9" s="295"/>
      <c r="L9" s="254"/>
      <c r="M9" s="254"/>
      <c r="N9" s="254"/>
      <c r="O9" s="254"/>
      <c r="P9" s="254"/>
      <c r="Q9" s="254"/>
      <c r="R9" s="295"/>
      <c r="S9" s="195"/>
      <c r="T9" s="195"/>
      <c r="U9" s="195"/>
      <c r="V9" s="195"/>
      <c r="W9" s="195"/>
    </row>
    <row r="10" spans="1:23" ht="15" thickBot="1" x14ac:dyDescent="0.35">
      <c r="A10" s="90"/>
      <c r="B10" s="90"/>
      <c r="C10" s="90"/>
      <c r="D10" s="90"/>
      <c r="F10" s="88"/>
      <c r="H10" s="195"/>
      <c r="I10" s="195"/>
      <c r="J10" s="295"/>
      <c r="K10" s="295"/>
      <c r="L10" s="295"/>
      <c r="M10" s="295"/>
      <c r="N10" s="295"/>
      <c r="O10" s="295"/>
      <c r="P10" s="295"/>
      <c r="Q10" s="295"/>
      <c r="R10" s="295"/>
      <c r="S10" s="195"/>
      <c r="T10" s="195"/>
      <c r="U10" s="195"/>
      <c r="V10" s="195"/>
      <c r="W10" s="195"/>
    </row>
    <row r="11" spans="1:23" ht="15" thickBot="1" x14ac:dyDescent="0.35">
      <c r="A11" s="4" t="s">
        <v>37</v>
      </c>
      <c r="B11" s="5" t="s">
        <v>6</v>
      </c>
      <c r="C11" s="6" t="s">
        <v>20</v>
      </c>
      <c r="D11" s="7" t="s">
        <v>13</v>
      </c>
      <c r="F11" s="88"/>
      <c r="H11" s="195"/>
      <c r="I11" s="195"/>
      <c r="J11" s="295"/>
      <c r="K11" s="295"/>
      <c r="L11" s="295"/>
      <c r="M11" s="295"/>
      <c r="N11" s="295"/>
      <c r="O11" s="295"/>
      <c r="P11" s="295"/>
      <c r="Q11" s="295"/>
      <c r="R11" s="295"/>
      <c r="S11" s="195"/>
      <c r="T11" s="195"/>
      <c r="U11" s="195"/>
      <c r="V11" s="195"/>
      <c r="W11" s="195"/>
    </row>
    <row r="12" spans="1:23" ht="15" thickBot="1" x14ac:dyDescent="0.35">
      <c r="A12" s="265" t="s">
        <v>1</v>
      </c>
      <c r="B12" s="246">
        <f>'SEM2'!B17</f>
        <v>0</v>
      </c>
      <c r="C12" s="244">
        <v>6</v>
      </c>
      <c r="D12" s="266">
        <f>B12/C12</f>
        <v>0</v>
      </c>
      <c r="F12" s="88"/>
      <c r="H12" s="195"/>
      <c r="I12" s="195"/>
      <c r="J12" s="295"/>
      <c r="K12" s="295"/>
      <c r="L12" s="303"/>
      <c r="M12" s="303"/>
      <c r="N12" s="303"/>
      <c r="O12" s="303"/>
      <c r="P12" s="303"/>
      <c r="Q12" s="305"/>
      <c r="R12" s="295"/>
      <c r="S12" s="195"/>
      <c r="T12" s="195"/>
      <c r="U12" s="195"/>
      <c r="V12" s="195"/>
      <c r="W12" s="195"/>
    </row>
    <row r="13" spans="1:23" ht="15" thickBot="1" x14ac:dyDescent="0.35">
      <c r="A13" s="265" t="s">
        <v>39</v>
      </c>
      <c r="B13" s="272">
        <f>'SEM2'!B18</f>
        <v>0</v>
      </c>
      <c r="C13" s="269">
        <v>5</v>
      </c>
      <c r="D13" s="270">
        <f>B13/C13</f>
        <v>0</v>
      </c>
      <c r="H13" s="195"/>
      <c r="I13" s="195"/>
      <c r="J13" s="295"/>
      <c r="K13" s="295"/>
      <c r="L13" s="303"/>
      <c r="M13" s="303"/>
      <c r="N13" s="303"/>
      <c r="O13" s="303"/>
      <c r="P13" s="303"/>
      <c r="Q13" s="305"/>
      <c r="R13" s="295"/>
      <c r="S13" s="195"/>
      <c r="T13" s="195"/>
      <c r="U13" s="195"/>
      <c r="V13" s="195"/>
      <c r="W13" s="195"/>
    </row>
    <row r="14" spans="1:23" ht="15" thickBot="1" x14ac:dyDescent="0.35">
      <c r="A14" s="265" t="s">
        <v>3</v>
      </c>
      <c r="B14" s="262">
        <f>'SEM2'!B19</f>
        <v>0</v>
      </c>
      <c r="C14" s="268">
        <v>9</v>
      </c>
      <c r="D14" s="267">
        <f>B14/C14</f>
        <v>0</v>
      </c>
      <c r="H14" s="195"/>
      <c r="I14" s="195"/>
      <c r="J14" s="295"/>
      <c r="K14" s="295"/>
      <c r="L14" s="303"/>
      <c r="M14" s="303"/>
      <c r="N14" s="303"/>
      <c r="O14" s="303"/>
      <c r="P14" s="303"/>
      <c r="Q14" s="305"/>
      <c r="R14" s="295"/>
      <c r="S14" s="195"/>
      <c r="T14" s="195"/>
      <c r="U14" s="195"/>
      <c r="V14" s="195"/>
      <c r="W14" s="195"/>
    </row>
    <row r="15" spans="1:23" ht="15" thickBot="1" x14ac:dyDescent="0.35">
      <c r="A15" s="265" t="s">
        <v>40</v>
      </c>
      <c r="B15" s="272">
        <f>'SEM2'!B20</f>
        <v>0</v>
      </c>
      <c r="C15" s="269">
        <v>4</v>
      </c>
      <c r="D15" s="271">
        <f>B15/C15</f>
        <v>0</v>
      </c>
      <c r="F15" s="88"/>
      <c r="H15" s="195"/>
      <c r="I15" s="195"/>
      <c r="J15" s="295"/>
      <c r="K15" s="295"/>
      <c r="L15" s="303"/>
      <c r="M15" s="303"/>
      <c r="N15" s="303"/>
      <c r="O15" s="303"/>
      <c r="P15" s="303"/>
      <c r="Q15" s="305"/>
      <c r="R15" s="295"/>
      <c r="S15" s="195"/>
      <c r="T15" s="195"/>
      <c r="U15" s="195"/>
      <c r="V15" s="195"/>
      <c r="W15" s="195"/>
    </row>
    <row r="16" spans="1:23" ht="15" thickBot="1" x14ac:dyDescent="0.35">
      <c r="A16" s="240" t="s">
        <v>48</v>
      </c>
      <c r="B16" s="262"/>
      <c r="C16" s="263">
        <v>52</v>
      </c>
      <c r="D16" s="264">
        <f t="shared" ref="D16" si="2">B16/C16</f>
        <v>0</v>
      </c>
      <c r="F16" s="88"/>
      <c r="H16" s="195"/>
      <c r="I16" s="195"/>
      <c r="J16" s="295"/>
      <c r="K16" s="295"/>
      <c r="L16" s="303"/>
      <c r="M16" s="303"/>
      <c r="N16" s="303"/>
      <c r="O16" s="303"/>
      <c r="P16" s="303"/>
      <c r="Q16" s="305"/>
      <c r="R16" s="295"/>
      <c r="S16" s="195"/>
      <c r="T16" s="195"/>
      <c r="U16" s="195"/>
      <c r="V16" s="195"/>
      <c r="W16" s="195"/>
    </row>
    <row r="17" spans="1:23" ht="15" thickBot="1" x14ac:dyDescent="0.35">
      <c r="A17" s="95" t="s">
        <v>49</v>
      </c>
      <c r="B17" s="302">
        <f>C17*(B16/C16)</f>
        <v>0</v>
      </c>
      <c r="C17" s="51">
        <v>24</v>
      </c>
      <c r="D17" s="243">
        <f t="shared" ref="D17" si="3">B17/C17</f>
        <v>0</v>
      </c>
      <c r="E17" s="82" t="s">
        <v>23</v>
      </c>
      <c r="F17" s="280" t="s">
        <v>50</v>
      </c>
      <c r="H17" s="195"/>
      <c r="I17" s="195"/>
      <c r="J17" s="195"/>
      <c r="K17" s="195"/>
      <c r="L17" s="275"/>
      <c r="M17" s="275"/>
      <c r="N17" s="275"/>
      <c r="O17" s="275"/>
      <c r="P17" s="275"/>
      <c r="Q17" s="208"/>
      <c r="R17" s="195"/>
      <c r="S17" s="195"/>
      <c r="T17" s="195"/>
      <c r="U17" s="195"/>
      <c r="V17" s="195"/>
      <c r="W17" s="195"/>
    </row>
    <row r="18" spans="1:23" ht="15" thickBot="1" x14ac:dyDescent="0.35">
      <c r="A18" s="241" t="s">
        <v>21</v>
      </c>
      <c r="B18" s="247">
        <f>SUM(B12:B17)</f>
        <v>0</v>
      </c>
      <c r="C18" s="245">
        <v>100</v>
      </c>
      <c r="D18" s="242">
        <f>B18/C18</f>
        <v>0</v>
      </c>
      <c r="E18" s="109">
        <f>O8</f>
        <v>1</v>
      </c>
      <c r="F18" s="276">
        <f>IF($E$18 &gt;1, 7, 0)</f>
        <v>0</v>
      </c>
      <c r="H18" s="195"/>
      <c r="I18" s="195"/>
      <c r="J18" s="195"/>
      <c r="K18" s="195"/>
      <c r="L18" s="275"/>
      <c r="M18" s="275"/>
      <c r="N18" s="275"/>
      <c r="O18" s="275"/>
      <c r="P18" s="275"/>
      <c r="Q18" s="208"/>
      <c r="R18" s="195"/>
      <c r="S18" s="195"/>
      <c r="T18" s="195"/>
      <c r="U18" s="195"/>
      <c r="V18" s="195"/>
      <c r="W18" s="195"/>
    </row>
    <row r="19" spans="1:23" ht="15" thickBot="1" x14ac:dyDescent="0.35">
      <c r="A19" s="90"/>
      <c r="B19" s="90"/>
      <c r="C19" s="90"/>
      <c r="D19" s="90"/>
      <c r="F19" s="88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</row>
    <row r="20" spans="1:23" ht="15" thickBot="1" x14ac:dyDescent="0.35">
      <c r="A20" s="212" t="s">
        <v>46</v>
      </c>
      <c r="B20" s="213" t="s">
        <v>6</v>
      </c>
      <c r="C20" s="214" t="s">
        <v>7</v>
      </c>
      <c r="D20" s="215" t="s">
        <v>13</v>
      </c>
      <c r="E20" s="216" t="s">
        <v>23</v>
      </c>
      <c r="F20" s="280" t="s">
        <v>50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</row>
    <row r="21" spans="1:23" ht="15" thickBot="1" x14ac:dyDescent="0.35">
      <c r="A21" s="217" t="s">
        <v>18</v>
      </c>
      <c r="B21" s="218"/>
      <c r="C21" s="219">
        <v>100</v>
      </c>
      <c r="D21" s="220">
        <f>B21/C21</f>
        <v>0</v>
      </c>
      <c r="E21" s="221">
        <f>P8</f>
        <v>1</v>
      </c>
      <c r="F21" s="276">
        <f>IF($E$21 &gt;1, 6, 0)</f>
        <v>0</v>
      </c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</row>
    <row r="22" spans="1:23" ht="15" thickBot="1" x14ac:dyDescent="0.35">
      <c r="F22" s="88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</row>
    <row r="23" spans="1:23" ht="15" thickBot="1" x14ac:dyDescent="0.35">
      <c r="A23" s="222" t="s">
        <v>47</v>
      </c>
      <c r="B23" s="249" t="s">
        <v>6</v>
      </c>
      <c r="C23" s="250" t="s">
        <v>7</v>
      </c>
      <c r="D23" s="248" t="s">
        <v>13</v>
      </c>
      <c r="E23" s="222" t="s">
        <v>23</v>
      </c>
      <c r="F23" s="280" t="s">
        <v>50</v>
      </c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</row>
    <row r="24" spans="1:23" ht="15" thickBot="1" x14ac:dyDescent="0.35">
      <c r="A24" s="274" t="s">
        <v>18</v>
      </c>
      <c r="B24" s="236"/>
      <c r="C24" s="237">
        <v>100</v>
      </c>
      <c r="D24" s="238">
        <f t="shared" ref="D24" si="4">B24/C24</f>
        <v>0</v>
      </c>
      <c r="E24" s="239">
        <f>Q8</f>
        <v>1</v>
      </c>
      <c r="F24" s="276">
        <f>IF($E$24 &gt;1, 37, 0)</f>
        <v>0</v>
      </c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</row>
    <row r="25" spans="1:23" x14ac:dyDescent="0.3">
      <c r="A25" s="278"/>
      <c r="B25" s="195"/>
      <c r="C25" s="195"/>
      <c r="D25" s="195"/>
      <c r="E25" s="195"/>
      <c r="F25" s="88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</row>
    <row r="26" spans="1:23" x14ac:dyDescent="0.3">
      <c r="F26" s="88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</row>
    <row r="27" spans="1:23" x14ac:dyDescent="0.3">
      <c r="F27" s="88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</row>
    <row r="28" spans="1:23" x14ac:dyDescent="0.3">
      <c r="F28" s="88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</row>
    <row r="29" spans="1:23" x14ac:dyDescent="0.3"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</row>
    <row r="30" spans="1:23" x14ac:dyDescent="0.3"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</row>
    <row r="31" spans="1:23" x14ac:dyDescent="0.3">
      <c r="F31" s="88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</row>
    <row r="32" spans="1:23" x14ac:dyDescent="0.3">
      <c r="F32" s="88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</row>
    <row r="33" spans="6:21" x14ac:dyDescent="0.3">
      <c r="F33" s="88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</row>
    <row r="34" spans="6:21" x14ac:dyDescent="0.3">
      <c r="F34" s="88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</row>
    <row r="35" spans="6:21" x14ac:dyDescent="0.3">
      <c r="F35" s="88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</row>
  </sheetData>
  <conditionalFormatting sqref="D2">
    <cfRule type="iconSet" priority="10">
      <iconSet iconSet="3Symbols2">
        <cfvo type="percent" val="0"/>
        <cfvo type="num" val="0.05"/>
        <cfvo type="num" val="0.05"/>
      </iconSet>
    </cfRule>
  </conditionalFormatting>
  <conditionalFormatting sqref="D2:D24"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{AD881D0A-C5B6-4073-8975-86106FAA753E}</x14:id>
        </ext>
      </extLst>
    </cfRule>
  </conditionalFormatting>
  <conditionalFormatting sqref="D5">
    <cfRule type="iconSet" priority="23">
      <iconSet iconSet="3Symbols2">
        <cfvo type="percent" val="0"/>
        <cfvo type="num" val="0.33"/>
        <cfvo type="num" val="0.33"/>
      </iconSet>
    </cfRule>
  </conditionalFormatting>
  <conditionalFormatting sqref="D6">
    <cfRule type="iconSet" priority="9">
      <iconSet iconSet="3Symbols2">
        <cfvo type="percent" val="0"/>
        <cfvo type="num" val="0.5"/>
        <cfvo type="num" val="0.5"/>
      </iconSet>
    </cfRule>
  </conditionalFormatting>
  <conditionalFormatting sqref="D9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16">
    <cfRule type="iconSet" priority="7">
      <iconSet iconSet="3Symbols2">
        <cfvo type="percent" val="0"/>
        <cfvo type="num" val="0.34599999999999997"/>
        <cfvo type="num" val="0.34599999999999997"/>
      </iconSet>
    </cfRule>
  </conditionalFormatting>
  <conditionalFormatting sqref="D17">
    <cfRule type="iconSet" priority="6">
      <iconSet iconSet="3Symbols2">
        <cfvo type="percent" val="0"/>
        <cfvo type="num" val="0.33"/>
        <cfvo type="num" val="0.33"/>
      </iconSet>
    </cfRule>
  </conditionalFormatting>
  <conditionalFormatting sqref="D24">
    <cfRule type="iconSet" priority="29">
      <iconSet iconSet="3Symbols2">
        <cfvo type="percent" val="0"/>
        <cfvo type="num" val="0.255"/>
        <cfvo type="num" val="0.25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881D0A-C5B6-4073-8975-86106FAA753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iconSet" priority="25" id="{05BB4F28-4A0E-4EE5-8383-DA6B67924B5A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E9 E6 E18 E21 E24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C7EC-69A2-435A-9F22-6649C8815B29}">
  <dimension ref="A1:O45"/>
  <sheetViews>
    <sheetView tabSelected="1" zoomScale="109" workbookViewId="0">
      <selection activeCell="B42" sqref="B42"/>
    </sheetView>
  </sheetViews>
  <sheetFormatPr defaultRowHeight="14.4" x14ac:dyDescent="0.3"/>
  <cols>
    <col min="1" max="1" width="13.6640625" style="311" customWidth="1"/>
    <col min="2" max="2" width="12.33203125" style="342" bestFit="1" customWidth="1"/>
    <col min="3" max="3" width="8.88671875" style="342"/>
    <col min="4" max="4" width="15.77734375" style="342" customWidth="1"/>
    <col min="5" max="5" width="10.21875" style="304" bestFit="1" customWidth="1"/>
    <col min="6" max="16384" width="8.88671875" style="304"/>
  </cols>
  <sheetData>
    <row r="1" spans="1:15" ht="15" thickBot="1" x14ac:dyDescent="0.35">
      <c r="A1" s="408" t="s">
        <v>60</v>
      </c>
      <c r="B1" s="409" t="s">
        <v>62</v>
      </c>
      <c r="C1" s="410" t="s">
        <v>61</v>
      </c>
      <c r="D1" s="415" t="s">
        <v>13</v>
      </c>
      <c r="F1" s="279" t="s">
        <v>55</v>
      </c>
      <c r="I1" s="320" t="s">
        <v>15</v>
      </c>
      <c r="J1" s="320" t="s">
        <v>66</v>
      </c>
      <c r="K1" s="320" t="s">
        <v>63</v>
      </c>
      <c r="L1" s="320" t="s">
        <v>64</v>
      </c>
      <c r="M1" s="320" t="s">
        <v>45</v>
      </c>
      <c r="N1" s="320" t="s">
        <v>65</v>
      </c>
      <c r="O1" s="320" t="s">
        <v>67</v>
      </c>
    </row>
    <row r="2" spans="1:15" ht="15" thickBot="1" x14ac:dyDescent="0.35">
      <c r="A2" s="308" t="s">
        <v>38</v>
      </c>
      <c r="B2" s="396">
        <f>0.5+3.25</f>
        <v>3.75</v>
      </c>
      <c r="C2" s="414">
        <v>12</v>
      </c>
      <c r="D2" s="397">
        <f>B2/C2</f>
        <v>0.3125</v>
      </c>
      <c r="E2" s="435"/>
      <c r="F2" s="277">
        <f>SUM(F5:F45)</f>
        <v>0</v>
      </c>
      <c r="I2" s="320">
        <v>1</v>
      </c>
      <c r="J2" s="320">
        <v>1</v>
      </c>
      <c r="K2" s="320">
        <v>1</v>
      </c>
      <c r="L2" s="320">
        <v>1</v>
      </c>
      <c r="M2" s="320">
        <v>1</v>
      </c>
      <c r="N2" s="320">
        <v>1</v>
      </c>
      <c r="O2" s="320">
        <v>1</v>
      </c>
    </row>
    <row r="3" spans="1:15" ht="15" thickBot="1" x14ac:dyDescent="0.35">
      <c r="A3" s="309" t="s">
        <v>4</v>
      </c>
      <c r="B3" s="401"/>
      <c r="C3" s="402">
        <v>44</v>
      </c>
      <c r="D3" s="403">
        <f>B3/C3</f>
        <v>0</v>
      </c>
      <c r="F3" s="318"/>
      <c r="I3" s="320">
        <v>2</v>
      </c>
      <c r="J3" s="320">
        <f>IF($B5 &gt;= 50, 1, 0)</f>
        <v>0</v>
      </c>
      <c r="K3" s="320">
        <f>IF($B$14 &gt;= 50, 1, 0)</f>
        <v>0</v>
      </c>
      <c r="L3" s="320">
        <f>IF($B$22 &gt;= 50, 1, 0)</f>
        <v>0</v>
      </c>
      <c r="M3" s="320">
        <f>IF($B$29 &gt;= 45, 1,)</f>
        <v>0</v>
      </c>
      <c r="N3" s="320">
        <f>IF($B$37 &gt;= 50, 1,)</f>
        <v>0</v>
      </c>
      <c r="O3" s="320">
        <f>IF($B$45 &gt;= 50, 1,)</f>
        <v>0</v>
      </c>
    </row>
    <row r="4" spans="1:15" ht="15" thickBot="1" x14ac:dyDescent="0.35">
      <c r="A4" s="309" t="s">
        <v>5</v>
      </c>
      <c r="B4" s="398"/>
      <c r="C4" s="399">
        <v>44</v>
      </c>
      <c r="D4" s="400">
        <f>B4/C4</f>
        <v>0</v>
      </c>
      <c r="E4" s="412" t="s">
        <v>23</v>
      </c>
      <c r="F4" s="280" t="s">
        <v>50</v>
      </c>
      <c r="I4" s="320">
        <v>3</v>
      </c>
      <c r="J4" s="320">
        <f>IF($B$5 &gt;= 62, 1, 0)</f>
        <v>0</v>
      </c>
      <c r="K4" s="320">
        <f>IF($B$14 &gt;= 62, 1, 0)</f>
        <v>0</v>
      </c>
      <c r="L4" s="320">
        <f>IF($B$22 &gt;= 60, 1, )</f>
        <v>0</v>
      </c>
      <c r="M4" s="320">
        <f>IF($B$29 &gt;= 55, 1, )</f>
        <v>0</v>
      </c>
      <c r="N4" s="320">
        <f>IF($B$37 &gt;= 63, 1,)</f>
        <v>0</v>
      </c>
      <c r="O4" s="320">
        <f>IF($B$45 &gt;= 60, 1,)</f>
        <v>0</v>
      </c>
    </row>
    <row r="5" spans="1:15" ht="15" thickBot="1" x14ac:dyDescent="0.35">
      <c r="A5" s="310" t="s">
        <v>8</v>
      </c>
      <c r="B5" s="404">
        <f>SUM(B2:B4)</f>
        <v>3.75</v>
      </c>
      <c r="C5" s="405">
        <v>100</v>
      </c>
      <c r="D5" s="406">
        <f>B5/C5</f>
        <v>3.7499999999999999E-2</v>
      </c>
      <c r="E5" s="407">
        <f>J7</f>
        <v>1</v>
      </c>
      <c r="F5" s="276">
        <f>IF($E$5 &gt;1, 6, 0)</f>
        <v>0</v>
      </c>
      <c r="I5" s="320">
        <v>4</v>
      </c>
      <c r="J5" s="320">
        <f>IF($B$5 &gt;= 75, 1, 0)</f>
        <v>0</v>
      </c>
      <c r="K5" s="320">
        <f>IF($B$14 &gt;= 75, 1, 0)</f>
        <v>0</v>
      </c>
      <c r="L5" s="320">
        <f>IF($B$22 &gt;= 70, 1, 0)</f>
        <v>0</v>
      </c>
      <c r="M5" s="320">
        <f>IF($B$29 &gt;= 70, 1, )</f>
        <v>0</v>
      </c>
      <c r="N5" s="320">
        <f>IF($B$37 &gt;= 76, 1,)</f>
        <v>0</v>
      </c>
      <c r="O5" s="320">
        <f>IF($B$45 &gt;= 72, 1,)</f>
        <v>0</v>
      </c>
    </row>
    <row r="6" spans="1:15" x14ac:dyDescent="0.3">
      <c r="I6" s="320">
        <v>5</v>
      </c>
      <c r="J6" s="320">
        <f>IF($B$5 &gt;= 87, 1, 0)</f>
        <v>0</v>
      </c>
      <c r="K6" s="320">
        <f>IF($B$14 &gt;= 90, 1, 0)</f>
        <v>0</v>
      </c>
      <c r="L6" s="320">
        <f>IF($B$22 &gt;= 85, 1, 0)</f>
        <v>0</v>
      </c>
      <c r="M6" s="320">
        <f>IF($B$29 &gt;= 85, 1, 0)</f>
        <v>0</v>
      </c>
      <c r="N6" s="320">
        <f>IF($B$37 &gt;= 89, 1,)</f>
        <v>0</v>
      </c>
      <c r="O6" s="320">
        <f>IF($B$45 &gt;= 85, 1,)</f>
        <v>0</v>
      </c>
    </row>
    <row r="7" spans="1:15" ht="15" thickBot="1" x14ac:dyDescent="0.35">
      <c r="I7" s="320" t="s">
        <v>17</v>
      </c>
      <c r="J7" s="320">
        <f>SUM(J2:J6)</f>
        <v>1</v>
      </c>
      <c r="K7" s="320">
        <f t="shared" ref="K7:M7" si="0">SUM(K2:K6)</f>
        <v>1</v>
      </c>
      <c r="L7" s="320">
        <f t="shared" si="0"/>
        <v>1</v>
      </c>
      <c r="M7" s="320">
        <f t="shared" si="0"/>
        <v>1</v>
      </c>
      <c r="N7" s="320">
        <f>SUM(N2:N6)</f>
        <v>1</v>
      </c>
      <c r="O7" s="320">
        <f>SUM(O2:O6)</f>
        <v>1</v>
      </c>
    </row>
    <row r="8" spans="1:15" ht="15" thickBot="1" x14ac:dyDescent="0.35">
      <c r="A8" s="312" t="s">
        <v>59</v>
      </c>
      <c r="B8" s="343" t="s">
        <v>62</v>
      </c>
      <c r="C8" s="343" t="s">
        <v>61</v>
      </c>
      <c r="D8" s="343" t="s">
        <v>13</v>
      </c>
    </row>
    <row r="9" spans="1:15" x14ac:dyDescent="0.3">
      <c r="A9" s="313" t="s">
        <v>38</v>
      </c>
      <c r="B9" s="344">
        <f>2.5*3</f>
        <v>7.5</v>
      </c>
      <c r="C9" s="345">
        <v>15</v>
      </c>
      <c r="D9" s="306">
        <f>B9/C9</f>
        <v>0.5</v>
      </c>
      <c r="F9" s="317"/>
    </row>
    <row r="10" spans="1:15" x14ac:dyDescent="0.3">
      <c r="A10" s="314" t="s">
        <v>39</v>
      </c>
      <c r="B10" s="346">
        <f>(1+0.5+1+0.9)*0.8</f>
        <v>2.72</v>
      </c>
      <c r="C10" s="347">
        <v>8</v>
      </c>
      <c r="D10" s="416">
        <f t="shared" ref="D10:D12" si="1">B10/C10</f>
        <v>0.34</v>
      </c>
      <c r="F10" s="317"/>
    </row>
    <row r="11" spans="1:15" x14ac:dyDescent="0.3">
      <c r="A11" s="314" t="s">
        <v>68</v>
      </c>
      <c r="B11" s="348">
        <v>0</v>
      </c>
      <c r="C11" s="349">
        <v>2</v>
      </c>
      <c r="D11" s="417">
        <f t="shared" si="1"/>
        <v>0</v>
      </c>
      <c r="F11" s="317"/>
    </row>
    <row r="12" spans="1:15" ht="15" thickBot="1" x14ac:dyDescent="0.35">
      <c r="A12" s="314" t="s">
        <v>4</v>
      </c>
      <c r="B12" s="346"/>
      <c r="C12" s="347">
        <v>35</v>
      </c>
      <c r="D12" s="416">
        <f t="shared" si="1"/>
        <v>0</v>
      </c>
      <c r="E12" s="307">
        <f>(B13+B12)/(C12+C13)</f>
        <v>0</v>
      </c>
    </row>
    <row r="13" spans="1:15" ht="15" thickBot="1" x14ac:dyDescent="0.35">
      <c r="A13" s="314" t="s">
        <v>5</v>
      </c>
      <c r="B13" s="348"/>
      <c r="C13" s="349">
        <v>40</v>
      </c>
      <c r="D13" s="418">
        <f>B13/C13</f>
        <v>0</v>
      </c>
      <c r="E13" s="411" t="s">
        <v>23</v>
      </c>
      <c r="F13" s="280" t="s">
        <v>50</v>
      </c>
    </row>
    <row r="14" spans="1:15" ht="15" thickBot="1" x14ac:dyDescent="0.35">
      <c r="A14" s="315" t="s">
        <v>8</v>
      </c>
      <c r="B14" s="350">
        <f>SUM(B9:B13)</f>
        <v>10.220000000000001</v>
      </c>
      <c r="C14" s="350">
        <f>SUM(C9:C13)</f>
        <v>100</v>
      </c>
      <c r="D14" s="419">
        <f>B14/C14</f>
        <v>0.10220000000000001</v>
      </c>
      <c r="E14" s="316">
        <f>K7</f>
        <v>1</v>
      </c>
      <c r="F14" s="276">
        <f>IF($E$14 &gt;1, 5, 0)</f>
        <v>0</v>
      </c>
    </row>
    <row r="16" spans="1:15" ht="15" thickBot="1" x14ac:dyDescent="0.35"/>
    <row r="17" spans="1:6" ht="15" thickBot="1" x14ac:dyDescent="0.35">
      <c r="A17" s="323" t="s">
        <v>32</v>
      </c>
      <c r="B17" s="324" t="s">
        <v>6</v>
      </c>
      <c r="C17" s="325" t="s">
        <v>61</v>
      </c>
      <c r="D17" s="326" t="s">
        <v>13</v>
      </c>
      <c r="F17" s="317"/>
    </row>
    <row r="18" spans="1:6" x14ac:dyDescent="0.3">
      <c r="A18" s="327" t="s">
        <v>1</v>
      </c>
      <c r="B18" s="328"/>
      <c r="C18" s="329">
        <v>10</v>
      </c>
      <c r="D18" s="330">
        <f>B18/C18</f>
        <v>0</v>
      </c>
      <c r="E18" s="331" t="s">
        <v>81</v>
      </c>
      <c r="F18" s="317"/>
    </row>
    <row r="19" spans="1:6" x14ac:dyDescent="0.3">
      <c r="A19" s="332" t="s">
        <v>39</v>
      </c>
      <c r="B19" s="333">
        <f>0.98+0.96+0.95+0.975</f>
        <v>3.8649999999999998</v>
      </c>
      <c r="C19" s="321">
        <v>10</v>
      </c>
      <c r="D19" s="334">
        <f t="shared" ref="D19:D20" si="2">B19/C19</f>
        <v>0.38649999999999995</v>
      </c>
      <c r="F19" s="317"/>
    </row>
    <row r="20" spans="1:6" ht="15" thickBot="1" x14ac:dyDescent="0.35">
      <c r="A20" s="332" t="s">
        <v>4</v>
      </c>
      <c r="B20" s="335"/>
      <c r="C20" s="322">
        <v>40</v>
      </c>
      <c r="D20" s="330">
        <f t="shared" si="2"/>
        <v>0</v>
      </c>
      <c r="F20" s="317"/>
    </row>
    <row r="21" spans="1:6" x14ac:dyDescent="0.3">
      <c r="A21" s="332" t="s">
        <v>5</v>
      </c>
      <c r="B21" s="333"/>
      <c r="C21" s="321">
        <v>40</v>
      </c>
      <c r="D21" s="334">
        <f>B21/C21</f>
        <v>0</v>
      </c>
      <c r="E21" s="336" t="s">
        <v>14</v>
      </c>
      <c r="F21" s="280" t="s">
        <v>50</v>
      </c>
    </row>
    <row r="22" spans="1:6" ht="15" thickBot="1" x14ac:dyDescent="0.35">
      <c r="A22" s="337" t="s">
        <v>8</v>
      </c>
      <c r="B22" s="338">
        <f>SUM(B18:B21)</f>
        <v>3.8649999999999998</v>
      </c>
      <c r="C22" s="339">
        <v>100</v>
      </c>
      <c r="D22" s="340">
        <f>B22/C22</f>
        <v>3.8649999999999997E-2</v>
      </c>
      <c r="E22" s="341">
        <f>L7</f>
        <v>1</v>
      </c>
      <c r="F22" s="276">
        <f>IF($E$22 &gt;1, 6, 0)</f>
        <v>0</v>
      </c>
    </row>
    <row r="23" spans="1:6" x14ac:dyDescent="0.3">
      <c r="F23" s="317"/>
    </row>
    <row r="24" spans="1:6" ht="15" thickBot="1" x14ac:dyDescent="0.35"/>
    <row r="25" spans="1:6" ht="15" thickBot="1" x14ac:dyDescent="0.35">
      <c r="A25" s="189" t="s">
        <v>69</v>
      </c>
      <c r="B25" s="190" t="s">
        <v>6</v>
      </c>
      <c r="C25" s="191" t="s">
        <v>7</v>
      </c>
      <c r="D25" s="192" t="s">
        <v>13</v>
      </c>
      <c r="F25" s="317"/>
    </row>
    <row r="26" spans="1:6" x14ac:dyDescent="0.3">
      <c r="A26" s="186" t="s">
        <v>39</v>
      </c>
      <c r="B26" s="196"/>
      <c r="C26" s="197">
        <v>5</v>
      </c>
      <c r="D26" s="198">
        <f>B26/C26</f>
        <v>0</v>
      </c>
      <c r="E26" s="318"/>
    </row>
    <row r="27" spans="1:6" ht="15" thickBot="1" x14ac:dyDescent="0.35">
      <c r="A27" s="187" t="s">
        <v>4</v>
      </c>
      <c r="B27" s="199"/>
      <c r="C27" s="200">
        <v>50</v>
      </c>
      <c r="D27" s="201">
        <f t="shared" ref="D27:D29" si="3">B27/C27</f>
        <v>0</v>
      </c>
      <c r="E27" s="318"/>
    </row>
    <row r="28" spans="1:6" x14ac:dyDescent="0.3">
      <c r="A28" s="187" t="s">
        <v>5</v>
      </c>
      <c r="B28" s="299"/>
      <c r="C28" s="202">
        <v>50</v>
      </c>
      <c r="D28" s="203">
        <f t="shared" si="3"/>
        <v>0</v>
      </c>
      <c r="E28" s="193" t="s">
        <v>14</v>
      </c>
      <c r="F28" s="280" t="s">
        <v>50</v>
      </c>
    </row>
    <row r="29" spans="1:6" ht="15" thickBot="1" x14ac:dyDescent="0.35">
      <c r="A29" s="188" t="s">
        <v>8</v>
      </c>
      <c r="B29" s="204">
        <f>SUM(B26:B28)</f>
        <v>0</v>
      </c>
      <c r="C29" s="205">
        <v>100</v>
      </c>
      <c r="D29" s="207">
        <f t="shared" si="3"/>
        <v>0</v>
      </c>
      <c r="E29" s="206">
        <f>M7</f>
        <v>1</v>
      </c>
      <c r="F29" s="276">
        <f>IF($E$29 &gt;1, 7, 0)</f>
        <v>0</v>
      </c>
    </row>
    <row r="30" spans="1:6" x14ac:dyDescent="0.3">
      <c r="F30" s="317"/>
    </row>
    <row r="31" spans="1:6" ht="15" thickBot="1" x14ac:dyDescent="0.35"/>
    <row r="32" spans="1:6" ht="15" thickBot="1" x14ac:dyDescent="0.35">
      <c r="A32" s="362" t="s">
        <v>70</v>
      </c>
      <c r="B32" s="357" t="s">
        <v>62</v>
      </c>
      <c r="C32" s="355" t="s">
        <v>61</v>
      </c>
      <c r="D32" s="356" t="s">
        <v>13</v>
      </c>
      <c r="F32" s="317"/>
    </row>
    <row r="33" spans="1:6" ht="15" thickBot="1" x14ac:dyDescent="0.35">
      <c r="A33" s="363" t="s">
        <v>38</v>
      </c>
      <c r="B33" s="358">
        <f>5</f>
        <v>5</v>
      </c>
      <c r="C33" s="354">
        <v>20</v>
      </c>
      <c r="D33" s="366">
        <f>B33/C33</f>
        <v>0.25</v>
      </c>
      <c r="E33" s="368"/>
    </row>
    <row r="34" spans="1:6" x14ac:dyDescent="0.3">
      <c r="A34" s="364" t="s">
        <v>4</v>
      </c>
      <c r="B34" s="359"/>
      <c r="C34" s="352">
        <v>10</v>
      </c>
      <c r="D34" s="17">
        <f t="shared" ref="D34:D37" si="4">B34/C34</f>
        <v>0</v>
      </c>
      <c r="E34" s="523">
        <f>(B34+B35)/(C34+C35)</f>
        <v>0</v>
      </c>
    </row>
    <row r="35" spans="1:6" ht="15" thickBot="1" x14ac:dyDescent="0.35">
      <c r="A35" s="364" t="s">
        <v>34</v>
      </c>
      <c r="B35" s="360"/>
      <c r="C35" s="351">
        <v>30</v>
      </c>
      <c r="D35" s="22">
        <f t="shared" si="4"/>
        <v>0</v>
      </c>
      <c r="E35" s="524"/>
      <c r="F35" s="317"/>
    </row>
    <row r="36" spans="1:6" x14ac:dyDescent="0.3">
      <c r="A36" s="364" t="s">
        <v>35</v>
      </c>
      <c r="B36" s="359"/>
      <c r="C36" s="352">
        <v>40</v>
      </c>
      <c r="D36" s="17">
        <f t="shared" si="4"/>
        <v>0</v>
      </c>
      <c r="E36" s="369" t="s">
        <v>23</v>
      </c>
      <c r="F36" s="280" t="s">
        <v>50</v>
      </c>
    </row>
    <row r="37" spans="1:6" ht="15" thickBot="1" x14ac:dyDescent="0.35">
      <c r="A37" s="365" t="s">
        <v>8</v>
      </c>
      <c r="B37" s="361">
        <f>SUM(B32:B36)</f>
        <v>5</v>
      </c>
      <c r="C37" s="353">
        <f>SUM(C33:C36)</f>
        <v>100</v>
      </c>
      <c r="D37" s="367">
        <f t="shared" si="4"/>
        <v>0.05</v>
      </c>
      <c r="E37" s="110">
        <f>N7</f>
        <v>1</v>
      </c>
      <c r="F37" s="276">
        <f>IF($E$37 &gt;1, 4, 0)</f>
        <v>0</v>
      </c>
    </row>
    <row r="39" spans="1:6" ht="15" thickBot="1" x14ac:dyDescent="0.35"/>
    <row r="40" spans="1:6" ht="15" thickBot="1" x14ac:dyDescent="0.35">
      <c r="A40" s="371" t="s">
        <v>71</v>
      </c>
      <c r="B40" s="374" t="s">
        <v>62</v>
      </c>
      <c r="C40" s="376" t="s">
        <v>61</v>
      </c>
      <c r="D40" s="375" t="s">
        <v>13</v>
      </c>
      <c r="E40" s="370"/>
    </row>
    <row r="41" spans="1:6" x14ac:dyDescent="0.3">
      <c r="A41" s="377" t="s">
        <v>39</v>
      </c>
      <c r="B41" s="384"/>
      <c r="C41" s="385">
        <v>20</v>
      </c>
      <c r="D41" s="386">
        <f>B41/C41</f>
        <v>0</v>
      </c>
      <c r="E41" s="370"/>
    </row>
    <row r="42" spans="1:6" x14ac:dyDescent="0.3">
      <c r="A42" s="379" t="s">
        <v>27</v>
      </c>
      <c r="B42" s="387">
        <v>0</v>
      </c>
      <c r="C42" s="388">
        <v>10</v>
      </c>
      <c r="D42" s="389">
        <f t="shared" ref="D42:D45" si="5">B42/C42</f>
        <v>0</v>
      </c>
      <c r="E42" s="370"/>
    </row>
    <row r="43" spans="1:6" ht="15" thickBot="1" x14ac:dyDescent="0.35">
      <c r="A43" s="380" t="s">
        <v>4</v>
      </c>
      <c r="B43" s="391"/>
      <c r="C43" s="392">
        <v>30</v>
      </c>
      <c r="D43" s="393">
        <f t="shared" si="5"/>
        <v>0</v>
      </c>
      <c r="E43" s="370"/>
    </row>
    <row r="44" spans="1:6" x14ac:dyDescent="0.3">
      <c r="A44" s="390" t="s">
        <v>5</v>
      </c>
      <c r="B44" s="388"/>
      <c r="C44" s="388">
        <v>40</v>
      </c>
      <c r="D44" s="395">
        <f t="shared" si="5"/>
        <v>0</v>
      </c>
      <c r="E44" s="413" t="s">
        <v>23</v>
      </c>
      <c r="F44" s="372" t="s">
        <v>50</v>
      </c>
    </row>
    <row r="45" spans="1:6" ht="15" thickBot="1" x14ac:dyDescent="0.35">
      <c r="A45" s="378" t="s">
        <v>8</v>
      </c>
      <c r="B45" s="381">
        <f>SUM(B41:B44)</f>
        <v>0</v>
      </c>
      <c r="C45" s="382">
        <f>SUM(C41:C44)</f>
        <v>100</v>
      </c>
      <c r="D45" s="383">
        <f t="shared" si="5"/>
        <v>0</v>
      </c>
      <c r="E45" s="394">
        <f>O7</f>
        <v>1</v>
      </c>
      <c r="F45" s="373">
        <f>IF($E$45 &gt;1, 2, 0)</f>
        <v>0</v>
      </c>
    </row>
  </sheetData>
  <mergeCells count="1">
    <mergeCell ref="E34:E35"/>
  </mergeCells>
  <conditionalFormatting sqref="D2">
    <cfRule type="iconSet" priority="34">
      <iconSet iconSet="3Symbols2">
        <cfvo type="percent" val="0"/>
        <cfvo type="num" val="0.08"/>
        <cfvo type="num" val="0.08"/>
      </iconSet>
    </cfRule>
  </conditionalFormatting>
  <conditionalFormatting sqref="D2:D5">
    <cfRule type="dataBar" priority="3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{1788B2A8-C74C-4840-88D4-3BD793EBA677}</x14:id>
        </ext>
      </extLst>
    </cfRule>
  </conditionalFormatting>
  <conditionalFormatting sqref="D4">
    <cfRule type="iconSet" priority="32">
      <iconSet iconSet="3Symbols2">
        <cfvo type="percent" val="0"/>
        <cfvo type="num" val="0.08"/>
        <cfvo type="num" val="0.08"/>
      </iconSet>
    </cfRule>
  </conditionalFormatting>
  <conditionalFormatting sqref="D5">
    <cfRule type="iconSet" priority="31">
      <iconSet iconSet="3Symbols2">
        <cfvo type="percent" val="0"/>
        <cfvo type="num" val="0.5"/>
        <cfvo type="num" val="0.5"/>
      </iconSet>
    </cfRule>
  </conditionalFormatting>
  <conditionalFormatting sqref="D9:D14">
    <cfRule type="dataBar" priority="3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{1ADF597E-A7E1-48ED-97E8-90DDF4E240B6}</x14:id>
        </ext>
      </extLst>
    </cfRule>
  </conditionalFormatting>
  <conditionalFormatting sqref="D18">
    <cfRule type="iconSet" priority="17">
      <iconSet iconSet="3Symbols2">
        <cfvo type="percent" val="0"/>
        <cfvo type="num" val="0.5"/>
        <cfvo type="num" val="0.5"/>
      </iconSet>
    </cfRule>
  </conditionalFormatting>
  <conditionalFormatting sqref="D18:D21">
    <cfRule type="dataBar" priority="2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{5638A298-55F0-49A3-932F-67AEDCDD16D8}</x14:id>
        </ext>
      </extLst>
    </cfRule>
  </conditionalFormatting>
  <conditionalFormatting sqref="D22">
    <cfRule type="iconSet" priority="15">
      <iconSet iconSet="3Symbols2">
        <cfvo type="percent" val="0"/>
        <cfvo type="num" val="0.5"/>
        <cfvo type="num" val="0.5"/>
      </iconSet>
    </cfRule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{F4721361-DE8A-499B-ACB3-C035DEC61D0B}</x14:id>
        </ext>
      </extLst>
    </cfRule>
  </conditionalFormatting>
  <conditionalFormatting sqref="D25:D29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{20745AA2-3A21-444B-9574-15866E05ACC9}</x14:id>
        </ext>
      </extLst>
    </cfRule>
  </conditionalFormatting>
  <conditionalFormatting sqref="D26">
    <cfRule type="iconSet" priority="9">
      <iconSet iconSet="3Symbols2">
        <cfvo type="percent" val="0"/>
        <cfvo type="num" val="0.5"/>
        <cfvo type="num" val="0.5"/>
      </iconSet>
    </cfRule>
  </conditionalFormatting>
  <conditionalFormatting sqref="D29">
    <cfRule type="iconSet" priority="10">
      <iconSet iconSet="3Symbols2">
        <cfvo type="percent" val="0"/>
        <cfvo type="num" val="0.5"/>
        <cfvo type="num" val="0.5"/>
      </iconSet>
    </cfRule>
  </conditionalFormatting>
  <conditionalFormatting sqref="D33:D37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{8A73A39A-BDEE-45AA-91C5-78E6219D69AE}</x14:id>
        </ext>
      </extLst>
    </cfRule>
  </conditionalFormatting>
  <conditionalFormatting sqref="D41:D45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{C57437F8-1FA8-4336-9FB9-F0DB310055E8}</x14:id>
        </ext>
      </extLst>
    </cfRule>
  </conditionalFormatting>
  <conditionalFormatting sqref="D43">
    <cfRule type="iconSet" priority="2">
      <iconSet iconSet="3Symbols2">
        <cfvo type="percent" val="0"/>
        <cfvo type="num" val="0.33"/>
        <cfvo type="num" val="0.33"/>
      </iconSet>
    </cfRule>
  </conditionalFormatting>
  <conditionalFormatting sqref="D44">
    <cfRule type="iconSet" priority="1">
      <iconSet iconSet="3Symbols2">
        <cfvo type="percent" val="0"/>
        <cfvo type="num" val="0.375"/>
        <cfvo type="num" val="0.375"/>
      </iconSet>
    </cfRule>
  </conditionalFormatting>
  <conditionalFormatting sqref="E12">
    <cfRule type="iconSet" priority="27">
      <iconSet iconSet="3Symbols2">
        <cfvo type="percent" val="0"/>
        <cfvo type="num" val="0.5"/>
        <cfvo type="num" val="0.5"/>
      </iconSet>
    </cfRule>
    <cfRule type="dataBar" priority="28">
      <dataBar>
        <cfvo type="num" val="0"/>
        <cfvo type="num" val="1"/>
        <color rgb="FF0070C0"/>
      </dataBar>
      <extLst>
        <ext xmlns:x14="http://schemas.microsoft.com/office/spreadsheetml/2009/9/main" uri="{B025F937-C7B1-47D3-B67F-A62EFF666E3E}">
          <x14:id>{0BB36BCC-0A3E-42A6-90FB-24A92F0B2C1D}</x14:id>
        </ext>
      </extLst>
    </cfRule>
  </conditionalFormatting>
  <conditionalFormatting sqref="E34">
    <cfRule type="iconSet" priority="5">
      <iconSet iconSet="3Symbols2">
        <cfvo type="percent" val="0"/>
        <cfvo type="num" val="0.4"/>
        <cfvo type="num" val="0.4"/>
      </iconSet>
    </cfRule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{65ED1405-31E2-493A-8153-DFFEF45C0C11}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88B2A8-C74C-4840-88D4-3BD793EBA67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1ADF597E-A7E1-48ED-97E8-90DDF4E240B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D9:D14</xm:sqref>
        </x14:conditionalFormatting>
        <x14:conditionalFormatting xmlns:xm="http://schemas.microsoft.com/office/excel/2006/main">
          <x14:cfRule type="dataBar" id="{5638A298-55F0-49A3-932F-67AEDCDD16D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D18:D21</xm:sqref>
        </x14:conditionalFormatting>
        <x14:conditionalFormatting xmlns:xm="http://schemas.microsoft.com/office/excel/2006/main">
          <x14:cfRule type="dataBar" id="{F4721361-DE8A-499B-ACB3-C035DEC61D0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20745AA2-3A21-444B-9574-15866E05ACC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D25:D29</xm:sqref>
        </x14:conditionalFormatting>
        <x14:conditionalFormatting xmlns:xm="http://schemas.microsoft.com/office/excel/2006/main">
          <x14:cfRule type="dataBar" id="{8A73A39A-BDEE-45AA-91C5-78E6219D69A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D33:D37</xm:sqref>
        </x14:conditionalFormatting>
        <x14:conditionalFormatting xmlns:xm="http://schemas.microsoft.com/office/excel/2006/main">
          <x14:cfRule type="dataBar" id="{C57437F8-1FA8-4336-9FB9-F0DB310055E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D41:D45</xm:sqref>
        </x14:conditionalFormatting>
        <x14:conditionalFormatting xmlns:xm="http://schemas.microsoft.com/office/excel/2006/main">
          <x14:cfRule type="iconSet" priority="13" id="{E4302F6B-FA37-4D79-8EA5-A2638EB4613F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dataBar" id="{0BB36BCC-0A3E-42A6-90FB-24A92F0B2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iconSet" priority="14" id="{FEE2CD7A-7A94-44BA-9FC4-0D430F5E17D3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E14</xm:sqref>
        </x14:conditionalFormatting>
        <x14:conditionalFormatting xmlns:xm="http://schemas.microsoft.com/office/excel/2006/main">
          <x14:cfRule type="iconSet" priority="21" id="{DC91AC26-3AA6-433F-991D-E515F967879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E22</xm:sqref>
        </x14:conditionalFormatting>
        <x14:conditionalFormatting xmlns:xm="http://schemas.microsoft.com/office/excel/2006/main">
          <x14:cfRule type="iconSet" priority="12" id="{D02B2908-21AE-4CCD-8C61-CB65E85FF4AF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E29</xm:sqref>
        </x14:conditionalFormatting>
        <x14:conditionalFormatting xmlns:xm="http://schemas.microsoft.com/office/excel/2006/main">
          <x14:cfRule type="dataBar" id="{65ED1405-31E2-493A-8153-DFFEF45C0C1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iconSet" priority="8" id="{C94D841F-A1B9-4C45-9182-541BC1529A46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E37</xm:sqref>
        </x14:conditionalFormatting>
        <x14:conditionalFormatting xmlns:xm="http://schemas.microsoft.com/office/excel/2006/main">
          <x14:cfRule type="iconSet" priority="4" id="{44EF61D6-DCD2-4D1A-A685-984D954ABBD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F101-D830-447D-ACF8-97283F3A8F2B}">
  <dimension ref="A1:P41"/>
  <sheetViews>
    <sheetView zoomScale="113" workbookViewId="0">
      <selection activeCell="G7" sqref="G7"/>
    </sheetView>
  </sheetViews>
  <sheetFormatPr defaultRowHeight="14.4" x14ac:dyDescent="0.3"/>
  <cols>
    <col min="1" max="1" width="11.5546875" style="342" customWidth="1"/>
    <col min="2" max="2" width="13" style="304" customWidth="1"/>
    <col min="3" max="3" width="8.88671875" style="304"/>
    <col min="4" max="4" width="12.44140625" style="420" customWidth="1"/>
    <col min="5" max="9" width="8.88671875" style="304"/>
    <col min="10" max="10" width="15.44140625" style="304" bestFit="1" customWidth="1"/>
    <col min="11" max="16384" width="8.88671875" style="304"/>
  </cols>
  <sheetData>
    <row r="1" spans="1:16" ht="15" thickBot="1" x14ac:dyDescent="0.35">
      <c r="A1" s="484" t="s">
        <v>72</v>
      </c>
      <c r="B1" s="488" t="s">
        <v>62</v>
      </c>
      <c r="C1" s="489" t="s">
        <v>61</v>
      </c>
      <c r="D1" s="490" t="s">
        <v>13</v>
      </c>
      <c r="F1" s="279" t="s">
        <v>55</v>
      </c>
      <c r="J1" s="421" t="s">
        <v>74</v>
      </c>
      <c r="K1" s="421" t="s">
        <v>76</v>
      </c>
      <c r="L1" s="421" t="s">
        <v>75</v>
      </c>
      <c r="M1" s="421" t="s">
        <v>77</v>
      </c>
      <c r="N1" s="421" t="s">
        <v>78</v>
      </c>
      <c r="O1" s="421" t="s">
        <v>79</v>
      </c>
      <c r="P1" s="320" t="s">
        <v>67</v>
      </c>
    </row>
    <row r="2" spans="1:16" ht="15" thickBot="1" x14ac:dyDescent="0.35">
      <c r="A2" s="485" t="s">
        <v>73</v>
      </c>
      <c r="B2" s="422"/>
      <c r="C2" s="429">
        <v>10</v>
      </c>
      <c r="D2" s="439">
        <f>B2/C2</f>
        <v>0</v>
      </c>
      <c r="F2" s="277">
        <f>SUM(F5:F43)</f>
        <v>0</v>
      </c>
      <c r="J2" s="421">
        <v>1</v>
      </c>
      <c r="K2" s="320">
        <v>1</v>
      </c>
      <c r="L2" s="320">
        <v>1</v>
      </c>
      <c r="M2" s="320">
        <v>1</v>
      </c>
      <c r="N2" s="320">
        <v>1</v>
      </c>
      <c r="O2" s="320">
        <v>1</v>
      </c>
      <c r="P2" s="320">
        <v>1</v>
      </c>
    </row>
    <row r="3" spans="1:16" ht="15" thickBot="1" x14ac:dyDescent="0.35">
      <c r="A3" s="486" t="s">
        <v>4</v>
      </c>
      <c r="B3" s="423">
        <v>15</v>
      </c>
      <c r="C3" s="430">
        <v>50</v>
      </c>
      <c r="D3" s="426">
        <f t="shared" ref="D3:D5" si="0">B3/C3</f>
        <v>0.3</v>
      </c>
      <c r="F3" s="318"/>
      <c r="J3" s="421">
        <v>2</v>
      </c>
      <c r="K3" s="320">
        <f>IF($B5 &gt;= 45, 1, 0)</f>
        <v>0</v>
      </c>
      <c r="L3" s="320">
        <f>IF($B$12 &gt;= 50, 1, 0)</f>
        <v>0</v>
      </c>
      <c r="M3" s="320">
        <f>IF($B$5 &gt;= 50, 1, 0)</f>
        <v>0</v>
      </c>
      <c r="N3" s="320">
        <f>IF($B$27 &gt;= 45, 1,)</f>
        <v>0</v>
      </c>
      <c r="O3" s="320">
        <f>IF($B$33 &gt;= 40, 1,)</f>
        <v>0</v>
      </c>
      <c r="P3" s="320">
        <f>IF($B$41 &gt;= 50, 1,)</f>
        <v>0</v>
      </c>
    </row>
    <row r="4" spans="1:16" x14ac:dyDescent="0.3">
      <c r="A4" s="486" t="s">
        <v>5</v>
      </c>
      <c r="B4" s="424"/>
      <c r="C4" s="431">
        <v>40</v>
      </c>
      <c r="D4" s="427">
        <f t="shared" si="0"/>
        <v>0</v>
      </c>
      <c r="E4" s="433" t="s">
        <v>23</v>
      </c>
      <c r="F4" s="280" t="s">
        <v>50</v>
      </c>
      <c r="J4" s="421">
        <v>3</v>
      </c>
      <c r="K4" s="320">
        <f>IF($B$5 &gt;= 55, 1, 0)</f>
        <v>0</v>
      </c>
      <c r="L4" s="320">
        <f>IF($B$12 &gt;= 62.5, 1, 0)</f>
        <v>0</v>
      </c>
      <c r="M4" s="320">
        <f>IF($B$5 &gt;= 65, 1, 0)</f>
        <v>0</v>
      </c>
      <c r="N4" s="320">
        <f>IF($B$27 &gt;= 50, 1,)</f>
        <v>0</v>
      </c>
      <c r="O4" s="320">
        <f>IF($B$33 &gt;= 55, 1,)</f>
        <v>0</v>
      </c>
      <c r="P4" s="320">
        <f>IF($B$41 &gt;= 60, 1,)</f>
        <v>0</v>
      </c>
    </row>
    <row r="5" spans="1:16" ht="15" thickBot="1" x14ac:dyDescent="0.35">
      <c r="A5" s="487" t="s">
        <v>54</v>
      </c>
      <c r="B5" s="425">
        <f>SUM(B2:B4)</f>
        <v>15</v>
      </c>
      <c r="C5" s="432">
        <f>SUM(C2:C4)</f>
        <v>100</v>
      </c>
      <c r="D5" s="428">
        <f t="shared" si="0"/>
        <v>0.15</v>
      </c>
      <c r="E5" s="434">
        <f>K7</f>
        <v>1</v>
      </c>
      <c r="F5" s="276">
        <f>IF($E$5 &gt;1, 6, 0)</f>
        <v>0</v>
      </c>
      <c r="J5" s="421">
        <v>4</v>
      </c>
      <c r="K5" s="320">
        <f>IF($B$5 &gt;= 70, 1, 0)</f>
        <v>0</v>
      </c>
      <c r="L5" s="320">
        <f>IF($B$12 &gt;= 75, 1, 0)</f>
        <v>0</v>
      </c>
      <c r="M5" s="320">
        <f>IF($B$5 &gt;= 80, 1, 0)</f>
        <v>0</v>
      </c>
      <c r="N5" s="320">
        <f>IF($B$27 &gt;= 70, 1,)</f>
        <v>0</v>
      </c>
      <c r="O5" s="320">
        <f>IF($B$33 &gt;= 70, 1,)</f>
        <v>0</v>
      </c>
      <c r="P5" s="320">
        <f>IF($B$41 &gt;= 72, 1,)</f>
        <v>0</v>
      </c>
    </row>
    <row r="6" spans="1:16" x14ac:dyDescent="0.3">
      <c r="J6" s="421">
        <v>5</v>
      </c>
      <c r="K6" s="320">
        <f>IF($B$5 &gt;= 85, 1, 0)</f>
        <v>0</v>
      </c>
      <c r="L6" s="320">
        <f>IF($B$12 &gt;= 87.5, 1, 0)</f>
        <v>0</v>
      </c>
      <c r="M6" s="320">
        <f>IF($B$5 &gt;= 90, 1, 0)</f>
        <v>0</v>
      </c>
      <c r="N6" s="320">
        <f>IF($B$27 &gt;= 85, 1,)</f>
        <v>0</v>
      </c>
      <c r="O6" s="320">
        <f>IF($B$33 &gt;= 85, 1,)</f>
        <v>0</v>
      </c>
      <c r="P6" s="320">
        <f>IF($B$41 &gt;= 85, 1,)</f>
        <v>0</v>
      </c>
    </row>
    <row r="7" spans="1:16" ht="15" thickBot="1" x14ac:dyDescent="0.35">
      <c r="A7" s="441"/>
      <c r="J7" s="421" t="s">
        <v>17</v>
      </c>
      <c r="K7" s="320">
        <f t="shared" ref="K7:P7" si="1">SUM(K2:K6)</f>
        <v>1</v>
      </c>
      <c r="L7" s="320">
        <f t="shared" si="1"/>
        <v>1</v>
      </c>
      <c r="M7" s="320">
        <f t="shared" si="1"/>
        <v>1</v>
      </c>
      <c r="N7" s="320">
        <f t="shared" si="1"/>
        <v>1</v>
      </c>
      <c r="O7" s="320">
        <f t="shared" si="1"/>
        <v>1</v>
      </c>
      <c r="P7" s="320">
        <f t="shared" si="1"/>
        <v>1</v>
      </c>
    </row>
    <row r="8" spans="1:16" ht="15" thickBot="1" x14ac:dyDescent="0.35">
      <c r="A8" s="495" t="s">
        <v>75</v>
      </c>
      <c r="B8" s="499" t="s">
        <v>62</v>
      </c>
      <c r="C8" s="500" t="s">
        <v>61</v>
      </c>
      <c r="D8" s="501" t="s">
        <v>13</v>
      </c>
      <c r="J8" s="421"/>
      <c r="K8" s="421"/>
      <c r="L8" s="421"/>
      <c r="M8" s="421"/>
      <c r="N8" s="421"/>
      <c r="O8" s="421"/>
      <c r="P8" s="421"/>
    </row>
    <row r="9" spans="1:16" x14ac:dyDescent="0.3">
      <c r="A9" s="496" t="s">
        <v>38</v>
      </c>
      <c r="B9" s="456"/>
      <c r="C9" s="454">
        <v>15</v>
      </c>
      <c r="D9" s="491">
        <f>B9/C9</f>
        <v>0</v>
      </c>
      <c r="F9" s="317"/>
    </row>
    <row r="10" spans="1:16" ht="15" thickBot="1" x14ac:dyDescent="0.35">
      <c r="A10" s="497" t="s">
        <v>4</v>
      </c>
      <c r="B10" s="457"/>
      <c r="C10" s="438">
        <v>40</v>
      </c>
      <c r="D10" s="494">
        <f t="shared" ref="D10:D11" si="2">B10/C10</f>
        <v>0</v>
      </c>
      <c r="E10" s="455"/>
      <c r="F10" s="317"/>
    </row>
    <row r="11" spans="1:16" x14ac:dyDescent="0.3">
      <c r="A11" s="497" t="s">
        <v>5</v>
      </c>
      <c r="B11" s="458"/>
      <c r="C11" s="437">
        <v>45</v>
      </c>
      <c r="D11" s="492">
        <f t="shared" si="2"/>
        <v>0</v>
      </c>
      <c r="E11" s="502" t="s">
        <v>23</v>
      </c>
      <c r="F11" s="280" t="s">
        <v>50</v>
      </c>
    </row>
    <row r="12" spans="1:16" ht="15" thickBot="1" x14ac:dyDescent="0.35">
      <c r="A12" s="498" t="s">
        <v>21</v>
      </c>
      <c r="B12" s="459">
        <f>SUM(B9:B11)</f>
        <v>0</v>
      </c>
      <c r="C12" s="459">
        <f>SUM(C9:C11)</f>
        <v>100</v>
      </c>
      <c r="D12" s="493">
        <f>B12/C12</f>
        <v>0</v>
      </c>
      <c r="E12" s="436">
        <f>L7</f>
        <v>1</v>
      </c>
      <c r="F12" s="276">
        <f>IF($E$12 &gt;1, 6, 0)</f>
        <v>0</v>
      </c>
    </row>
    <row r="14" spans="1:16" ht="15" thickBot="1" x14ac:dyDescent="0.35">
      <c r="A14" s="441"/>
      <c r="B14" s="442"/>
      <c r="C14" s="442"/>
      <c r="D14" s="443"/>
    </row>
    <row r="15" spans="1:16" ht="15" thickBot="1" x14ac:dyDescent="0.35">
      <c r="A15" s="503" t="s">
        <v>77</v>
      </c>
      <c r="B15" s="507" t="s">
        <v>62</v>
      </c>
      <c r="C15" s="508" t="s">
        <v>61</v>
      </c>
      <c r="D15" s="509" t="s">
        <v>13</v>
      </c>
      <c r="E15" s="311"/>
    </row>
    <row r="16" spans="1:16" x14ac:dyDescent="0.3">
      <c r="A16" s="504" t="s">
        <v>38</v>
      </c>
      <c r="B16" s="451">
        <v>3</v>
      </c>
      <c r="C16" s="452">
        <v>15</v>
      </c>
      <c r="D16" s="453">
        <f>B16/C16</f>
        <v>0.2</v>
      </c>
      <c r="E16" s="311"/>
    </row>
    <row r="17" spans="1:6" ht="15" thickBot="1" x14ac:dyDescent="0.35">
      <c r="A17" s="505" t="s">
        <v>4</v>
      </c>
      <c r="B17" s="449"/>
      <c r="C17" s="321">
        <v>40</v>
      </c>
      <c r="D17" s="445">
        <f t="shared" ref="D17:D19" si="3">B17/C17</f>
        <v>0</v>
      </c>
      <c r="E17" s="446"/>
      <c r="F17" s="317"/>
    </row>
    <row r="18" spans="1:6" x14ac:dyDescent="0.3">
      <c r="A18" s="505" t="s">
        <v>5</v>
      </c>
      <c r="B18" s="448"/>
      <c r="C18" s="322">
        <v>45</v>
      </c>
      <c r="D18" s="444">
        <f t="shared" si="3"/>
        <v>0</v>
      </c>
      <c r="E18" s="510" t="s">
        <v>23</v>
      </c>
      <c r="F18" s="280" t="s">
        <v>50</v>
      </c>
    </row>
    <row r="19" spans="1:6" ht="15" thickBot="1" x14ac:dyDescent="0.35">
      <c r="A19" s="506" t="s">
        <v>8</v>
      </c>
      <c r="B19" s="450">
        <f>SUM(B16:B18)</f>
        <v>3</v>
      </c>
      <c r="C19" s="237">
        <f>SUM(C16:C18)</f>
        <v>100</v>
      </c>
      <c r="D19" s="447">
        <f t="shared" si="3"/>
        <v>0.03</v>
      </c>
      <c r="E19" s="440">
        <f>M7</f>
        <v>1</v>
      </c>
      <c r="F19" s="276">
        <f>IF($E$19 &gt;1, 6, 0)</f>
        <v>0</v>
      </c>
    </row>
    <row r="20" spans="1:6" x14ac:dyDescent="0.3">
      <c r="F20" s="317"/>
    </row>
    <row r="22" spans="1:6" ht="15" thickBot="1" x14ac:dyDescent="0.35">
      <c r="A22" s="408" t="s">
        <v>80</v>
      </c>
      <c r="B22" s="409" t="s">
        <v>62</v>
      </c>
      <c r="C22" s="410" t="s">
        <v>61</v>
      </c>
      <c r="D22" s="415" t="s">
        <v>13</v>
      </c>
    </row>
    <row r="23" spans="1:6" x14ac:dyDescent="0.3">
      <c r="A23" s="308" t="s">
        <v>38</v>
      </c>
      <c r="B23" s="396"/>
      <c r="C23" s="414">
        <v>15</v>
      </c>
      <c r="D23" s="397">
        <f>B23/C23</f>
        <v>0</v>
      </c>
      <c r="E23" s="368"/>
      <c r="F23" s="317"/>
    </row>
    <row r="24" spans="1:6" x14ac:dyDescent="0.3">
      <c r="A24" s="308" t="s">
        <v>39</v>
      </c>
      <c r="B24" s="464"/>
      <c r="C24" s="465">
        <v>5</v>
      </c>
      <c r="D24" s="403">
        <f>B24/C24</f>
        <v>0</v>
      </c>
    </row>
    <row r="25" spans="1:6" ht="15" thickBot="1" x14ac:dyDescent="0.35">
      <c r="A25" s="309" t="s">
        <v>4</v>
      </c>
      <c r="B25" s="398"/>
      <c r="C25" s="399">
        <v>40</v>
      </c>
      <c r="D25" s="400">
        <f>B25/C25</f>
        <v>0</v>
      </c>
      <c r="F25" s="317"/>
    </row>
    <row r="26" spans="1:6" ht="15" thickBot="1" x14ac:dyDescent="0.35">
      <c r="A26" s="309" t="s">
        <v>5</v>
      </c>
      <c r="B26" s="401"/>
      <c r="C26" s="402">
        <v>40</v>
      </c>
      <c r="D26" s="403">
        <f>B26/C26</f>
        <v>0</v>
      </c>
      <c r="E26" s="412" t="s">
        <v>23</v>
      </c>
      <c r="F26" s="280" t="s">
        <v>50</v>
      </c>
    </row>
    <row r="27" spans="1:6" ht="15" thickBot="1" x14ac:dyDescent="0.35">
      <c r="A27" s="310" t="s">
        <v>8</v>
      </c>
      <c r="B27" s="460">
        <f>SUM(B23:B26)</f>
        <v>0</v>
      </c>
      <c r="C27" s="461">
        <v>100</v>
      </c>
      <c r="D27" s="462">
        <f>B27/C27</f>
        <v>0</v>
      </c>
      <c r="E27" s="463">
        <f>N7</f>
        <v>1</v>
      </c>
      <c r="F27" s="276">
        <f>IF($E$27 &gt;1, 6, 0)</f>
        <v>0</v>
      </c>
    </row>
    <row r="29" spans="1:6" ht="15" thickBot="1" x14ac:dyDescent="0.35"/>
    <row r="30" spans="1:6" ht="15" thickBot="1" x14ac:dyDescent="0.35">
      <c r="A30" s="477" t="s">
        <v>79</v>
      </c>
      <c r="B30" s="480" t="s">
        <v>62</v>
      </c>
      <c r="C30" s="481" t="s">
        <v>61</v>
      </c>
      <c r="D30" s="482" t="s">
        <v>13</v>
      </c>
      <c r="E30" s="319"/>
      <c r="F30" s="317"/>
    </row>
    <row r="31" spans="1:6" ht="15" thickBot="1" x14ac:dyDescent="0.35">
      <c r="A31" s="478" t="s">
        <v>4</v>
      </c>
      <c r="B31" s="470"/>
      <c r="C31" s="471">
        <v>50</v>
      </c>
      <c r="D31" s="472">
        <f>B31/C31</f>
        <v>0</v>
      </c>
      <c r="E31" s="466"/>
    </row>
    <row r="32" spans="1:6" x14ac:dyDescent="0.3">
      <c r="A32" s="478" t="s">
        <v>5</v>
      </c>
      <c r="B32" s="467"/>
      <c r="C32" s="468">
        <v>50</v>
      </c>
      <c r="D32" s="469">
        <f>B32/C32</f>
        <v>0</v>
      </c>
      <c r="E32" s="483" t="s">
        <v>23</v>
      </c>
      <c r="F32" s="280" t="s">
        <v>50</v>
      </c>
    </row>
    <row r="33" spans="1:6" ht="15" thickBot="1" x14ac:dyDescent="0.35">
      <c r="A33" s="479" t="s">
        <v>8</v>
      </c>
      <c r="B33" s="473">
        <f>SUM(B31:B32)</f>
        <v>0</v>
      </c>
      <c r="C33" s="474">
        <f>SUM(C31:C32)</f>
        <v>100</v>
      </c>
      <c r="D33" s="475">
        <f t="shared" ref="D33" si="4">B33/C33</f>
        <v>0</v>
      </c>
      <c r="E33" s="476">
        <f>O7</f>
        <v>1</v>
      </c>
      <c r="F33" s="276">
        <f>IF($E$33 &gt;1, 4, 0)</f>
        <v>0</v>
      </c>
    </row>
    <row r="35" spans="1:6" ht="15" thickBot="1" x14ac:dyDescent="0.35">
      <c r="F35" s="317"/>
    </row>
    <row r="36" spans="1:6" ht="15" thickBot="1" x14ac:dyDescent="0.35">
      <c r="A36" s="371" t="s">
        <v>71</v>
      </c>
      <c r="B36" s="374" t="s">
        <v>62</v>
      </c>
      <c r="C36" s="376" t="s">
        <v>61</v>
      </c>
      <c r="D36" s="375" t="s">
        <v>13</v>
      </c>
      <c r="E36" s="370"/>
    </row>
    <row r="37" spans="1:6" x14ac:dyDescent="0.3">
      <c r="A37" s="377" t="s">
        <v>39</v>
      </c>
      <c r="B37" s="384"/>
      <c r="C37" s="385">
        <v>20</v>
      </c>
      <c r="D37" s="386">
        <f>B37/C37</f>
        <v>0</v>
      </c>
      <c r="E37" s="370"/>
    </row>
    <row r="38" spans="1:6" x14ac:dyDescent="0.3">
      <c r="A38" s="379" t="s">
        <v>27</v>
      </c>
      <c r="B38" s="387"/>
      <c r="C38" s="388">
        <v>10</v>
      </c>
      <c r="D38" s="389">
        <f t="shared" ref="D38:D41" si="5">B38/C38</f>
        <v>0</v>
      </c>
      <c r="E38" s="370"/>
    </row>
    <row r="39" spans="1:6" ht="15" thickBot="1" x14ac:dyDescent="0.35">
      <c r="A39" s="380" t="s">
        <v>4</v>
      </c>
      <c r="B39" s="391"/>
      <c r="C39" s="392">
        <v>30</v>
      </c>
      <c r="D39" s="393">
        <f t="shared" si="5"/>
        <v>0</v>
      </c>
      <c r="E39" s="370"/>
    </row>
    <row r="40" spans="1:6" x14ac:dyDescent="0.3">
      <c r="A40" s="390" t="s">
        <v>5</v>
      </c>
      <c r="B40" s="388"/>
      <c r="C40" s="388">
        <v>40</v>
      </c>
      <c r="D40" s="395">
        <f t="shared" si="5"/>
        <v>0</v>
      </c>
      <c r="E40" s="413" t="s">
        <v>23</v>
      </c>
      <c r="F40" s="372" t="s">
        <v>50</v>
      </c>
    </row>
    <row r="41" spans="1:6" ht="15" thickBot="1" x14ac:dyDescent="0.35">
      <c r="A41" s="378" t="s">
        <v>8</v>
      </c>
      <c r="B41" s="381">
        <f>SUM(B37:B40)</f>
        <v>0</v>
      </c>
      <c r="C41" s="382">
        <f>SUM(C37:C40)</f>
        <v>100</v>
      </c>
      <c r="D41" s="383">
        <f t="shared" si="5"/>
        <v>0</v>
      </c>
      <c r="E41" s="394">
        <f>P7</f>
        <v>1</v>
      </c>
      <c r="F41" s="373">
        <f>IF($E$41 &gt;1, 2, 0)</f>
        <v>0</v>
      </c>
    </row>
  </sheetData>
  <conditionalFormatting sqref="D2:D5 D23:D27 D31:D33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{2500E388-8E79-4A94-8BCD-41623916022A}</x14:id>
        </ext>
      </extLst>
    </cfRule>
  </conditionalFormatting>
  <conditionalFormatting sqref="D5">
    <cfRule type="iconSet" priority="24">
      <iconSet iconSet="3Symbols2">
        <cfvo type="percent" val="0"/>
        <cfvo type="num" val="0.45"/>
        <cfvo type="num" val="0.45"/>
      </iconSet>
    </cfRule>
  </conditionalFormatting>
  <conditionalFormatting sqref="D9:D12">
    <cfRule type="dataBar" priority="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{BCFCDA0C-851E-4CDD-848B-36571DE961B9}</x14:id>
        </ext>
      </extLst>
    </cfRule>
  </conditionalFormatting>
  <conditionalFormatting sqref="D11">
    <cfRule type="iconSet" priority="2">
      <iconSet iconSet="3Symbols2">
        <cfvo type="percent" val="0"/>
        <cfvo type="num" val="0.4"/>
        <cfvo type="num" val="0.4"/>
      </iconSet>
    </cfRule>
  </conditionalFormatting>
  <conditionalFormatting sqref="D12">
    <cfRule type="iconSet" priority="1">
      <iconSet iconSet="3Symbols2">
        <cfvo type="percent" val="0"/>
        <cfvo type="num" val="0.5"/>
        <cfvo type="num" val="0.5"/>
      </iconSet>
    </cfRule>
  </conditionalFormatting>
  <conditionalFormatting sqref="D16">
    <cfRule type="iconSet" priority="18">
      <iconSet iconSet="3Symbols2">
        <cfvo type="percent" val="0"/>
        <cfvo type="num" val="0.2"/>
        <cfvo type="num" val="0.2"/>
      </iconSet>
    </cfRule>
  </conditionalFormatting>
  <conditionalFormatting sqref="D16:D19"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{09080579-47EE-4160-8D47-9271C88BF7CF}</x14:id>
        </ext>
      </extLst>
    </cfRule>
  </conditionalFormatting>
  <conditionalFormatting sqref="D19">
    <cfRule type="iconSet" priority="17">
      <iconSet iconSet="3Symbols2">
        <cfvo type="percent" val="0"/>
        <cfvo type="num" val="0.5"/>
        <cfvo type="num" val="0.5"/>
      </iconSet>
    </cfRule>
  </conditionalFormatting>
  <conditionalFormatting sqref="D27">
    <cfRule type="iconSet" priority="13">
      <iconSet iconSet="3Symbols2">
        <cfvo type="percent" val="0"/>
        <cfvo type="num" val="0.45"/>
        <cfvo type="num" val="0.45"/>
      </iconSet>
    </cfRule>
  </conditionalFormatting>
  <conditionalFormatting sqref="D31:D32">
    <cfRule type="iconSet" priority="7">
      <iconSet iconSet="3Symbols2">
        <cfvo type="percent" val="0"/>
        <cfvo type="num" val="0.1"/>
        <cfvo type="num" val="0.1"/>
      </iconSet>
    </cfRule>
  </conditionalFormatting>
  <conditionalFormatting sqref="D33">
    <cfRule type="iconSet" priority="8">
      <iconSet iconSet="3Symbols2">
        <cfvo type="percent" val="0"/>
        <cfvo type="num" val="0.5"/>
        <cfvo type="num" val="0.5"/>
      </iconSet>
    </cfRule>
  </conditionalFormatting>
  <conditionalFormatting sqref="D37:D41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{CE878BD2-918E-4A8D-85C7-085745AC1481}</x14:id>
        </ext>
      </extLst>
    </cfRule>
  </conditionalFormatting>
  <conditionalFormatting sqref="D39">
    <cfRule type="iconSet" priority="4">
      <iconSet iconSet="3Symbols2">
        <cfvo type="percent" val="0"/>
        <cfvo type="num" val="0.33"/>
        <cfvo type="num" val="0.33"/>
      </iconSet>
    </cfRule>
  </conditionalFormatting>
  <conditionalFormatting sqref="D40">
    <cfRule type="iconSet" priority="3">
      <iconSet iconSet="3Symbols2">
        <cfvo type="percent" val="0"/>
        <cfvo type="num" val="0.375"/>
        <cfvo type="num" val="0.375"/>
      </iconSe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00E388-8E79-4A94-8BCD-41623916022A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 D23:D27 D31:D33</xm:sqref>
        </x14:conditionalFormatting>
        <x14:conditionalFormatting xmlns:xm="http://schemas.microsoft.com/office/excel/2006/main">
          <x14:cfRule type="dataBar" id="{BCFCDA0C-851E-4CDD-848B-36571DE961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D9:D12</xm:sqref>
        </x14:conditionalFormatting>
        <x14:conditionalFormatting xmlns:xm="http://schemas.microsoft.com/office/excel/2006/main">
          <x14:cfRule type="dataBar" id="{09080579-47EE-4160-8D47-9271C88BF7C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D16:D19</xm:sqref>
        </x14:conditionalFormatting>
        <x14:conditionalFormatting xmlns:xm="http://schemas.microsoft.com/office/excel/2006/main">
          <x14:cfRule type="dataBar" id="{CE878BD2-918E-4A8D-85C7-085745AC148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00B0F0"/>
              <x14:negativeFillColor rgb="FFFF0000"/>
              <x14:negativeBorderColor rgb="FFFF0000"/>
              <x14:axisColor rgb="FF000000"/>
            </x14:dataBar>
          </x14:cfRule>
          <xm:sqref>D37:D41</xm:sqref>
        </x14:conditionalFormatting>
        <x14:conditionalFormatting xmlns:xm="http://schemas.microsoft.com/office/excel/2006/main">
          <x14:cfRule type="iconSet" priority="27" id="{714A0C7B-8162-4D3C-B7CA-8AB2E04CE162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E5</xm:sqref>
        </x14:conditionalFormatting>
        <x14:conditionalFormatting xmlns:xm="http://schemas.microsoft.com/office/excel/2006/main">
          <x14:cfRule type="iconSet" priority="20" id="{BDDFCBAF-0C6C-4252-A0AD-0C90E084E81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E12</xm:sqref>
        </x14:conditionalFormatting>
        <x14:conditionalFormatting xmlns:xm="http://schemas.microsoft.com/office/excel/2006/main">
          <x14:cfRule type="iconSet" priority="19" id="{0AB63D4A-059B-4E82-88D1-80D90AA3407D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E19</xm:sqref>
        </x14:conditionalFormatting>
        <x14:conditionalFormatting xmlns:xm="http://schemas.microsoft.com/office/excel/2006/main">
          <x14:cfRule type="iconSet" priority="12" id="{7E28359C-6346-4C44-B911-930BA6E3C10B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E27</xm:sqref>
        </x14:conditionalFormatting>
        <x14:conditionalFormatting xmlns:xm="http://schemas.microsoft.com/office/excel/2006/main">
          <x14:cfRule type="iconSet" priority="10" id="{25059374-50F8-4BF6-89F6-FD8670E23659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E33</xm:sqref>
        </x14:conditionalFormatting>
        <x14:conditionalFormatting xmlns:xm="http://schemas.microsoft.com/office/excel/2006/main">
          <x14:cfRule type="iconSet" priority="6" id="{71E8C96B-5959-4D5B-826F-FE913C21C451}">
            <x14:iconSet iconSet="3Stars">
              <x14:cfvo type="percent">
                <xm:f>0</xm:f>
              </x14:cfvo>
              <x14:cfvo type="num">
                <xm:f>2</xm:f>
              </x14:cfvo>
              <x14:cfvo type="num">
                <xm:f>2</xm:f>
              </x14:cfvo>
            </x14:iconSet>
          </x14:cfRule>
          <xm:sqref>E41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657A-9D11-4684-9C5F-ACC9D1E0BB2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9</vt:i4>
      </vt:variant>
    </vt:vector>
  </HeadingPairs>
  <TitlesOfParts>
    <vt:vector size="9" baseType="lpstr">
      <vt:lpstr>ECTS</vt:lpstr>
      <vt:lpstr>List1</vt:lpstr>
      <vt:lpstr>SEM1</vt:lpstr>
      <vt:lpstr>SEM1_rokovi</vt:lpstr>
      <vt:lpstr>SEM2</vt:lpstr>
      <vt:lpstr>SEM2_rokovi</vt:lpstr>
      <vt:lpstr>SEM3_E</vt:lpstr>
      <vt:lpstr>SEM3_R</vt:lpstr>
      <vt:lpstr>SEM3_rokovi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Roko tojcic</dc:creator>
  <cp:lastModifiedBy>Antea Parat</cp:lastModifiedBy>
  <dcterms:created xsi:type="dcterms:W3CDTF">2015-06-05T18:17:20Z</dcterms:created>
  <dcterms:modified xsi:type="dcterms:W3CDTF">2024-11-15T23:01:07Z</dcterms:modified>
</cp:coreProperties>
</file>