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 projects\Smart Film Growth\Data\Laser ablation\"/>
    </mc:Choice>
  </mc:AlternateContent>
  <xr:revisionPtr revIDLastSave="0" documentId="13_ncr:1_{38E55118-1DAD-4E95-8BE5-A46AA308A375}" xr6:coauthVersionLast="36" xr6:coauthVersionMax="36" xr10:uidLastSave="{00000000-0000-0000-0000-000000000000}"/>
  <bookViews>
    <workbookView xWindow="0" yWindow="630" windowWidth="28800" windowHeight="12600" xr2:uid="{926ED81A-83EB-4050-BAEF-3D27611DCE73}"/>
  </bookViews>
  <sheets>
    <sheet name="WDX" sheetId="1" r:id="rId1"/>
    <sheet name="TGT" sheetId="2" r:id="rId2"/>
  </sheets>
  <definedNames>
    <definedName name="_xlnm._FilterDatabase" localSheetId="0" hidden="1">WDX!$A$3:$N$3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AC70" i="1" l="1"/>
  <c r="AB70" i="1"/>
  <c r="AA70" i="1"/>
  <c r="Z70" i="1"/>
  <c r="AC69" i="1"/>
  <c r="AB69" i="1"/>
  <c r="AA69" i="1"/>
  <c r="N70" i="1"/>
  <c r="Z69" i="1"/>
  <c r="AD69" i="1" s="1"/>
  <c r="R69" i="1"/>
  <c r="Q69" i="1"/>
  <c r="P69" i="1"/>
  <c r="O69" i="1"/>
  <c r="S69" i="1" s="1"/>
  <c r="T69" i="1"/>
  <c r="U69" i="1"/>
  <c r="N69" i="1"/>
  <c r="M69" i="1"/>
  <c r="I69" i="1"/>
  <c r="S89" i="1"/>
  <c r="T89" i="1"/>
  <c r="U89" i="1"/>
  <c r="E89" i="1"/>
  <c r="D89" i="1"/>
  <c r="U90" i="1"/>
  <c r="T90" i="1"/>
  <c r="S90" i="1"/>
  <c r="G90" i="1"/>
  <c r="F90" i="1"/>
  <c r="E90" i="1"/>
  <c r="D90" i="1"/>
  <c r="G89" i="1"/>
  <c r="AD70" i="1" l="1"/>
  <c r="AE70" i="1"/>
  <c r="AF70" i="1"/>
  <c r="AF69" i="1"/>
  <c r="AE69" i="1"/>
  <c r="F89" i="1"/>
  <c r="G18" i="1" l="1"/>
  <c r="M34" i="1" l="1"/>
  <c r="N3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" i="1"/>
  <c r="N6" i="1"/>
  <c r="N7" i="1"/>
  <c r="N8" i="1"/>
  <c r="N9" i="1"/>
  <c r="N10" i="1"/>
  <c r="N11" i="1"/>
  <c r="N12" i="1"/>
  <c r="N13" i="1"/>
  <c r="N4" i="1"/>
  <c r="M9" i="1"/>
  <c r="M32" i="1"/>
  <c r="M31" i="1"/>
  <c r="R32" i="1"/>
  <c r="P6" i="1"/>
  <c r="M13" i="1"/>
  <c r="Q13" i="1" s="1"/>
  <c r="Q6" i="1"/>
  <c r="R27" i="1"/>
  <c r="R28" i="1"/>
  <c r="R29" i="1"/>
  <c r="R30" i="1"/>
  <c r="R36" i="1"/>
  <c r="R37" i="1"/>
  <c r="R38" i="1"/>
  <c r="R39" i="1"/>
  <c r="R43" i="1"/>
  <c r="R44" i="1"/>
  <c r="R45" i="1"/>
  <c r="R46" i="1"/>
  <c r="R47" i="1"/>
  <c r="R48" i="1"/>
  <c r="M12" i="1"/>
  <c r="M11" i="1"/>
  <c r="M10" i="1"/>
  <c r="U74" i="1"/>
  <c r="T74" i="1"/>
  <c r="S74" i="1"/>
  <c r="N74" i="1"/>
  <c r="G74" i="1"/>
  <c r="F74" i="1"/>
  <c r="E74" i="1"/>
  <c r="D74" i="1"/>
  <c r="O11" i="1" l="1"/>
  <c r="S11" i="1" s="1"/>
  <c r="Q12" i="1"/>
  <c r="P10" i="1"/>
  <c r="Q10" i="1"/>
  <c r="R6" i="1"/>
  <c r="O6" i="1"/>
  <c r="U6" i="1" s="1"/>
  <c r="P11" i="1"/>
  <c r="Q11" i="1"/>
  <c r="U11" i="1" s="1"/>
  <c r="O12" i="1"/>
  <c r="R10" i="1"/>
  <c r="P12" i="1"/>
  <c r="O10" i="1"/>
  <c r="S10" i="1" s="1"/>
  <c r="O13" i="1"/>
  <c r="P13" i="1"/>
  <c r="T13" i="1" s="1"/>
  <c r="R12" i="1"/>
  <c r="R34" i="1"/>
  <c r="R31" i="1"/>
  <c r="R11" i="1"/>
  <c r="R13" i="1"/>
  <c r="T11" i="1" l="1"/>
  <c r="S13" i="1"/>
  <c r="S6" i="1"/>
  <c r="U12" i="1"/>
  <c r="U10" i="1"/>
  <c r="T10" i="1"/>
  <c r="S12" i="1"/>
  <c r="U13" i="1"/>
  <c r="T12" i="1"/>
  <c r="T6" i="1"/>
  <c r="Q88" i="1" l="1"/>
  <c r="P88" i="1"/>
  <c r="O88" i="1"/>
  <c r="S88" i="1" s="1"/>
  <c r="G88" i="1"/>
  <c r="F88" i="1"/>
  <c r="E88" i="1"/>
  <c r="Q87" i="1"/>
  <c r="F87" i="1" s="1"/>
  <c r="P87" i="1"/>
  <c r="E87" i="1" s="1"/>
  <c r="O87" i="1"/>
  <c r="D87" i="1" s="1"/>
  <c r="G87" i="1"/>
  <c r="Q86" i="1"/>
  <c r="P86" i="1"/>
  <c r="O86" i="1"/>
  <c r="O48" i="1" s="1"/>
  <c r="G86" i="1"/>
  <c r="Q85" i="1"/>
  <c r="Q44" i="1" s="1"/>
  <c r="P85" i="1"/>
  <c r="O85" i="1"/>
  <c r="O44" i="1" s="1"/>
  <c r="G85" i="1"/>
  <c r="D85" i="1"/>
  <c r="Q84" i="1"/>
  <c r="Q46" i="1" s="1"/>
  <c r="P84" i="1"/>
  <c r="P46" i="1" s="1"/>
  <c r="O84" i="1"/>
  <c r="O46" i="1" s="1"/>
  <c r="G84" i="1"/>
  <c r="Q83" i="1"/>
  <c r="Q43" i="1" s="1"/>
  <c r="P83" i="1"/>
  <c r="O83" i="1"/>
  <c r="G83" i="1"/>
  <c r="Q82" i="1"/>
  <c r="P82" i="1"/>
  <c r="O82" i="1"/>
  <c r="O47" i="1" s="1"/>
  <c r="G82" i="1"/>
  <c r="Q81" i="1"/>
  <c r="Q45" i="1" s="1"/>
  <c r="P81" i="1"/>
  <c r="O81" i="1"/>
  <c r="G81" i="1"/>
  <c r="Q80" i="1"/>
  <c r="P80" i="1"/>
  <c r="O80" i="1"/>
  <c r="G80" i="1"/>
  <c r="Q79" i="1"/>
  <c r="F79" i="1" s="1"/>
  <c r="P79" i="1"/>
  <c r="E79" i="1" s="1"/>
  <c r="O79" i="1"/>
  <c r="D79" i="1" s="1"/>
  <c r="G79" i="1"/>
  <c r="Q78" i="1"/>
  <c r="P78" i="1"/>
  <c r="O78" i="1"/>
  <c r="G78" i="1"/>
  <c r="R77" i="1"/>
  <c r="Q77" i="1"/>
  <c r="P77" i="1"/>
  <c r="O77" i="1"/>
  <c r="R76" i="1"/>
  <c r="G76" i="1" s="1"/>
  <c r="Q76" i="1"/>
  <c r="P76" i="1"/>
  <c r="O76" i="1"/>
  <c r="U75" i="1"/>
  <c r="T75" i="1"/>
  <c r="S75" i="1"/>
  <c r="N75" i="1"/>
  <c r="G75" i="1"/>
  <c r="F75" i="1"/>
  <c r="E75" i="1"/>
  <c r="D75" i="1"/>
  <c r="AC68" i="1"/>
  <c r="AB68" i="1"/>
  <c r="AA68" i="1"/>
  <c r="Z68" i="1"/>
  <c r="M68" i="1"/>
  <c r="I68" i="1"/>
  <c r="AC67" i="1"/>
  <c r="AB67" i="1"/>
  <c r="AA67" i="1"/>
  <c r="Z67" i="1"/>
  <c r="M67" i="1"/>
  <c r="I67" i="1"/>
  <c r="AC66" i="1"/>
  <c r="AB66" i="1"/>
  <c r="AA66" i="1"/>
  <c r="Z66" i="1"/>
  <c r="M66" i="1"/>
  <c r="I66" i="1"/>
  <c r="AC65" i="1"/>
  <c r="AB65" i="1"/>
  <c r="AA65" i="1"/>
  <c r="Z65" i="1"/>
  <c r="M65" i="1"/>
  <c r="I65" i="1"/>
  <c r="AC64" i="1"/>
  <c r="AB64" i="1"/>
  <c r="AA64" i="1"/>
  <c r="Z64" i="1"/>
  <c r="M64" i="1"/>
  <c r="I64" i="1"/>
  <c r="AC63" i="1"/>
  <c r="AB63" i="1"/>
  <c r="AA63" i="1"/>
  <c r="Z63" i="1"/>
  <c r="M63" i="1"/>
  <c r="I63" i="1"/>
  <c r="AC62" i="1"/>
  <c r="AB62" i="1"/>
  <c r="AA62" i="1"/>
  <c r="Z62" i="1"/>
  <c r="M62" i="1"/>
  <c r="I62" i="1"/>
  <c r="AC60" i="1"/>
  <c r="AB60" i="1"/>
  <c r="AA60" i="1"/>
  <c r="Z60" i="1"/>
  <c r="M60" i="1"/>
  <c r="I60" i="1"/>
  <c r="AC59" i="1"/>
  <c r="AB59" i="1"/>
  <c r="AA59" i="1"/>
  <c r="Z59" i="1"/>
  <c r="M59" i="1"/>
  <c r="I59" i="1"/>
  <c r="AC57" i="1"/>
  <c r="AB57" i="1"/>
  <c r="AA57" i="1"/>
  <c r="Z57" i="1"/>
  <c r="M57" i="1"/>
  <c r="I57" i="1"/>
  <c r="M61" i="1"/>
  <c r="I61" i="1"/>
  <c r="M58" i="1"/>
  <c r="I58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AC48" i="1"/>
  <c r="AB48" i="1"/>
  <c r="AA48" i="1"/>
  <c r="Z48" i="1"/>
  <c r="I48" i="1"/>
  <c r="AC47" i="1"/>
  <c r="AB47" i="1"/>
  <c r="AA47" i="1"/>
  <c r="Z47" i="1"/>
  <c r="I47" i="1"/>
  <c r="AC46" i="1"/>
  <c r="AB46" i="1"/>
  <c r="AA46" i="1"/>
  <c r="Z46" i="1"/>
  <c r="I46" i="1"/>
  <c r="AC45" i="1"/>
  <c r="AB45" i="1"/>
  <c r="AA45" i="1"/>
  <c r="Z45" i="1"/>
  <c r="I45" i="1"/>
  <c r="AC44" i="1"/>
  <c r="AB44" i="1"/>
  <c r="AA44" i="1"/>
  <c r="Z44" i="1"/>
  <c r="I44" i="1"/>
  <c r="AC43" i="1"/>
  <c r="AB43" i="1"/>
  <c r="AA43" i="1"/>
  <c r="Z43" i="1"/>
  <c r="I43" i="1"/>
  <c r="AC42" i="1"/>
  <c r="AB42" i="1"/>
  <c r="AA42" i="1"/>
  <c r="Z42" i="1"/>
  <c r="M42" i="1"/>
  <c r="I42" i="1"/>
  <c r="AC41" i="1"/>
  <c r="AB41" i="1"/>
  <c r="AA41" i="1"/>
  <c r="Z41" i="1"/>
  <c r="M41" i="1"/>
  <c r="I41" i="1"/>
  <c r="AC40" i="1"/>
  <c r="AB40" i="1"/>
  <c r="AA40" i="1"/>
  <c r="Z40" i="1"/>
  <c r="M40" i="1"/>
  <c r="I40" i="1"/>
  <c r="AC39" i="1"/>
  <c r="AB39" i="1"/>
  <c r="AA39" i="1"/>
  <c r="Z39" i="1"/>
  <c r="I39" i="1"/>
  <c r="AC38" i="1"/>
  <c r="AB38" i="1"/>
  <c r="AA38" i="1"/>
  <c r="Z38" i="1"/>
  <c r="I38" i="1"/>
  <c r="AC37" i="1"/>
  <c r="AB37" i="1"/>
  <c r="AA37" i="1"/>
  <c r="Z37" i="1"/>
  <c r="I37" i="1"/>
  <c r="AC36" i="1"/>
  <c r="AB36" i="1"/>
  <c r="AA36" i="1"/>
  <c r="Z36" i="1"/>
  <c r="I36" i="1"/>
  <c r="AC35" i="1"/>
  <c r="AB35" i="1"/>
  <c r="AA35" i="1"/>
  <c r="M35" i="1"/>
  <c r="AC34" i="1"/>
  <c r="AB34" i="1"/>
  <c r="AA34" i="1"/>
  <c r="AC33" i="1"/>
  <c r="AB33" i="1"/>
  <c r="AA33" i="1"/>
  <c r="M33" i="1"/>
  <c r="AC32" i="1"/>
  <c r="AB32" i="1"/>
  <c r="AA32" i="1"/>
  <c r="AC31" i="1"/>
  <c r="AB31" i="1"/>
  <c r="AA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F17" i="1"/>
  <c r="AE17" i="1"/>
  <c r="AD17" i="1"/>
  <c r="AF16" i="1"/>
  <c r="AE16" i="1"/>
  <c r="AD16" i="1"/>
  <c r="AF15" i="1"/>
  <c r="AE15" i="1"/>
  <c r="AD15" i="1"/>
  <c r="AF14" i="1"/>
  <c r="AE14" i="1"/>
  <c r="AD14" i="1"/>
  <c r="AF13" i="1"/>
  <c r="AE13" i="1"/>
  <c r="AD13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M8" i="1"/>
  <c r="AF7" i="1"/>
  <c r="AE7" i="1"/>
  <c r="AD7" i="1"/>
  <c r="M7" i="1"/>
  <c r="AF6" i="1"/>
  <c r="AE6" i="1"/>
  <c r="AD6" i="1"/>
  <c r="AF5" i="1"/>
  <c r="AE5" i="1"/>
  <c r="AD5" i="1"/>
  <c r="M5" i="1"/>
  <c r="AF4" i="1"/>
  <c r="AE4" i="1"/>
  <c r="AD4" i="1"/>
  <c r="M4" i="1"/>
  <c r="P4" i="1" l="1"/>
  <c r="O4" i="1"/>
  <c r="Q4" i="1"/>
  <c r="U4" i="1" s="1"/>
  <c r="R4" i="1"/>
  <c r="R41" i="1"/>
  <c r="Q41" i="1"/>
  <c r="P41" i="1"/>
  <c r="O41" i="1"/>
  <c r="S41" i="1" s="1"/>
  <c r="R52" i="1"/>
  <c r="Q52" i="1"/>
  <c r="P52" i="1"/>
  <c r="O52" i="1"/>
  <c r="S52" i="1" s="1"/>
  <c r="R56" i="1"/>
  <c r="P56" i="1"/>
  <c r="O56" i="1"/>
  <c r="Q56" i="1"/>
  <c r="U56" i="1" s="1"/>
  <c r="Q62" i="1"/>
  <c r="P62" i="1"/>
  <c r="O62" i="1"/>
  <c r="S62" i="1" s="1"/>
  <c r="R62" i="1"/>
  <c r="R66" i="1"/>
  <c r="Q66" i="1"/>
  <c r="P66" i="1"/>
  <c r="O66" i="1"/>
  <c r="S66" i="1" s="1"/>
  <c r="R15" i="1"/>
  <c r="R23" i="1"/>
  <c r="R14" i="1"/>
  <c r="R16" i="1"/>
  <c r="R18" i="1"/>
  <c r="R20" i="1"/>
  <c r="R22" i="1"/>
  <c r="R24" i="1"/>
  <c r="R26" i="1"/>
  <c r="R25" i="1"/>
  <c r="R21" i="1"/>
  <c r="R19" i="1"/>
  <c r="R17" i="1"/>
  <c r="E85" i="1"/>
  <c r="P44" i="1"/>
  <c r="O58" i="1"/>
  <c r="S58" i="1" s="1"/>
  <c r="P58" i="1"/>
  <c r="R58" i="1"/>
  <c r="Q58" i="1"/>
  <c r="O60" i="1"/>
  <c r="P60" i="1"/>
  <c r="Q60" i="1"/>
  <c r="R60" i="1"/>
  <c r="R65" i="1"/>
  <c r="O65" i="1"/>
  <c r="Q65" i="1"/>
  <c r="P65" i="1"/>
  <c r="T65" i="1" s="1"/>
  <c r="O31" i="1"/>
  <c r="O34" i="1"/>
  <c r="O32" i="1"/>
  <c r="O30" i="1"/>
  <c r="U30" i="1" s="1"/>
  <c r="O28" i="1"/>
  <c r="U28" i="1" s="1"/>
  <c r="O27" i="1"/>
  <c r="O29" i="1"/>
  <c r="O36" i="1"/>
  <c r="O38" i="1"/>
  <c r="O37" i="1"/>
  <c r="O39" i="1"/>
  <c r="O35" i="1"/>
  <c r="P35" i="1"/>
  <c r="T35" i="1" s="1"/>
  <c r="Q35" i="1"/>
  <c r="R35" i="1"/>
  <c r="R53" i="1"/>
  <c r="O53" i="1"/>
  <c r="P53" i="1"/>
  <c r="Q53" i="1"/>
  <c r="E78" i="1"/>
  <c r="P34" i="1"/>
  <c r="P31" i="1"/>
  <c r="P32" i="1"/>
  <c r="P37" i="1"/>
  <c r="P27" i="1"/>
  <c r="P29" i="1"/>
  <c r="P36" i="1"/>
  <c r="P38" i="1"/>
  <c r="S38" i="1" s="1"/>
  <c r="P39" i="1"/>
  <c r="P30" i="1"/>
  <c r="P28" i="1"/>
  <c r="E82" i="1"/>
  <c r="P47" i="1"/>
  <c r="R50" i="1"/>
  <c r="Q50" i="1"/>
  <c r="P50" i="1"/>
  <c r="O50" i="1"/>
  <c r="S50" i="1" s="1"/>
  <c r="P54" i="1"/>
  <c r="O54" i="1"/>
  <c r="R54" i="1"/>
  <c r="Q54" i="1"/>
  <c r="R61" i="1"/>
  <c r="P61" i="1"/>
  <c r="O61" i="1"/>
  <c r="Q61" i="1"/>
  <c r="U61" i="1" s="1"/>
  <c r="R59" i="1"/>
  <c r="Q59" i="1"/>
  <c r="P59" i="1"/>
  <c r="O59" i="1"/>
  <c r="S59" i="1" s="1"/>
  <c r="R64" i="1"/>
  <c r="P64" i="1"/>
  <c r="O64" i="1"/>
  <c r="Q64" i="1"/>
  <c r="U64" i="1" s="1"/>
  <c r="R68" i="1"/>
  <c r="Q68" i="1"/>
  <c r="O68" i="1"/>
  <c r="P68" i="1"/>
  <c r="T68" i="1" s="1"/>
  <c r="F78" i="1"/>
  <c r="Q31" i="1"/>
  <c r="U31" i="1" s="1"/>
  <c r="Q32" i="1"/>
  <c r="U32" i="1" s="1"/>
  <c r="Q34" i="1"/>
  <c r="Q28" i="1"/>
  <c r="Q30" i="1"/>
  <c r="Q37" i="1"/>
  <c r="Q39" i="1"/>
  <c r="Q27" i="1"/>
  <c r="Q29" i="1"/>
  <c r="Q36" i="1"/>
  <c r="Q38" i="1"/>
  <c r="F82" i="1"/>
  <c r="Q47" i="1"/>
  <c r="E86" i="1"/>
  <c r="P48" i="1"/>
  <c r="O33" i="1"/>
  <c r="P33" i="1"/>
  <c r="Q33" i="1"/>
  <c r="U33" i="1" s="1"/>
  <c r="R33" i="1"/>
  <c r="O7" i="1"/>
  <c r="P7" i="1"/>
  <c r="Q7" i="1"/>
  <c r="U7" i="1" s="1"/>
  <c r="R7" i="1"/>
  <c r="O20" i="1"/>
  <c r="O22" i="1"/>
  <c r="O15" i="1"/>
  <c r="O17" i="1"/>
  <c r="O19" i="1"/>
  <c r="O21" i="1"/>
  <c r="O23" i="1"/>
  <c r="O25" i="1"/>
  <c r="O16" i="1"/>
  <c r="O24" i="1"/>
  <c r="O18" i="1"/>
  <c r="O26" i="1"/>
  <c r="O14" i="1"/>
  <c r="F86" i="1"/>
  <c r="Q48" i="1"/>
  <c r="Q40" i="1"/>
  <c r="R40" i="1"/>
  <c r="P40" i="1"/>
  <c r="O40" i="1"/>
  <c r="R49" i="1"/>
  <c r="Q49" i="1"/>
  <c r="P49" i="1"/>
  <c r="O49" i="1"/>
  <c r="Q9" i="1"/>
  <c r="O9" i="1"/>
  <c r="P9" i="1"/>
  <c r="R9" i="1"/>
  <c r="P42" i="1"/>
  <c r="T42" i="1" s="1"/>
  <c r="O42" i="1"/>
  <c r="R42" i="1"/>
  <c r="Q42" i="1"/>
  <c r="O51" i="1"/>
  <c r="Q51" i="1"/>
  <c r="P51" i="1"/>
  <c r="R51" i="1"/>
  <c r="R55" i="1"/>
  <c r="P55" i="1"/>
  <c r="Q55" i="1"/>
  <c r="O55" i="1"/>
  <c r="R57" i="1"/>
  <c r="P57" i="1"/>
  <c r="O57" i="1"/>
  <c r="Q57" i="1"/>
  <c r="U57" i="1" s="1"/>
  <c r="R63" i="1"/>
  <c r="P63" i="1"/>
  <c r="Q63" i="1"/>
  <c r="O63" i="1"/>
  <c r="S63" i="1" s="1"/>
  <c r="R67" i="1"/>
  <c r="O67" i="1"/>
  <c r="Q67" i="1"/>
  <c r="P67" i="1"/>
  <c r="T67" i="1" s="1"/>
  <c r="P16" i="1"/>
  <c r="P22" i="1"/>
  <c r="P24" i="1"/>
  <c r="P15" i="1"/>
  <c r="P17" i="1"/>
  <c r="P19" i="1"/>
  <c r="P21" i="1"/>
  <c r="P23" i="1"/>
  <c r="T23" i="1" s="1"/>
  <c r="P25" i="1"/>
  <c r="S25" i="1" s="1"/>
  <c r="P14" i="1"/>
  <c r="P26" i="1"/>
  <c r="T26" i="1" s="1"/>
  <c r="P20" i="1"/>
  <c r="P18" i="1"/>
  <c r="D81" i="1"/>
  <c r="O45" i="1"/>
  <c r="D83" i="1"/>
  <c r="O43" i="1"/>
  <c r="S43" i="1" s="1"/>
  <c r="Q5" i="1"/>
  <c r="P5" i="1"/>
  <c r="O5" i="1"/>
  <c r="S5" i="1" s="1"/>
  <c r="R5" i="1"/>
  <c r="Q8" i="1"/>
  <c r="R8" i="1"/>
  <c r="P8" i="1"/>
  <c r="O8" i="1"/>
  <c r="S8" i="1" s="1"/>
  <c r="Q14" i="1"/>
  <c r="Q16" i="1"/>
  <c r="Q18" i="1"/>
  <c r="Q20" i="1"/>
  <c r="Q22" i="1"/>
  <c r="Q24" i="1"/>
  <c r="Q26" i="1"/>
  <c r="Q15" i="1"/>
  <c r="U15" i="1" s="1"/>
  <c r="Q17" i="1"/>
  <c r="Q19" i="1"/>
  <c r="Q21" i="1"/>
  <c r="Q23" i="1"/>
  <c r="Q25" i="1"/>
  <c r="E81" i="1"/>
  <c r="P45" i="1"/>
  <c r="E83" i="1"/>
  <c r="P43" i="1"/>
  <c r="AF43" i="1"/>
  <c r="AF28" i="1"/>
  <c r="AE46" i="1"/>
  <c r="AF60" i="1"/>
  <c r="F83" i="1"/>
  <c r="AF30" i="1"/>
  <c r="AE28" i="1"/>
  <c r="AF65" i="1"/>
  <c r="AD43" i="1"/>
  <c r="AD64" i="1"/>
  <c r="AE32" i="1"/>
  <c r="AD46" i="1"/>
  <c r="S80" i="1"/>
  <c r="AF46" i="1"/>
  <c r="AE57" i="1"/>
  <c r="AE67" i="1"/>
  <c r="AE22" i="1"/>
  <c r="AE65" i="1"/>
  <c r="AF44" i="1"/>
  <c r="AE48" i="1"/>
  <c r="E80" i="1"/>
  <c r="AD40" i="1"/>
  <c r="U76" i="1"/>
  <c r="F80" i="1"/>
  <c r="T14" i="1"/>
  <c r="AD48" i="1"/>
  <c r="S84" i="1"/>
  <c r="AF37" i="1"/>
  <c r="AE40" i="1"/>
  <c r="AE45" i="1"/>
  <c r="AF48" i="1"/>
  <c r="AD57" i="1"/>
  <c r="U84" i="1"/>
  <c r="AF32" i="1"/>
  <c r="AF38" i="1"/>
  <c r="AF40" i="1"/>
  <c r="AE44" i="1"/>
  <c r="AF45" i="1"/>
  <c r="AE47" i="1"/>
  <c r="AF47" i="1"/>
  <c r="AE64" i="1"/>
  <c r="T80" i="1"/>
  <c r="AE20" i="1"/>
  <c r="AE31" i="1"/>
  <c r="AF64" i="1"/>
  <c r="F76" i="1"/>
  <c r="U77" i="1"/>
  <c r="U80" i="1"/>
  <c r="E84" i="1"/>
  <c r="AF19" i="1"/>
  <c r="AE42" i="1"/>
  <c r="AE43" i="1"/>
  <c r="AD44" i="1"/>
  <c r="F84" i="1"/>
  <c r="T88" i="1"/>
  <c r="AE23" i="1"/>
  <c r="AD28" i="1"/>
  <c r="AE35" i="1"/>
  <c r="AF42" i="1"/>
  <c r="AE60" i="1"/>
  <c r="AF62" i="1"/>
  <c r="S76" i="1"/>
  <c r="U88" i="1"/>
  <c r="AE21" i="1"/>
  <c r="AD29" i="1"/>
  <c r="AD45" i="1"/>
  <c r="AD60" i="1"/>
  <c r="T77" i="1"/>
  <c r="AF29" i="1"/>
  <c r="AE39" i="1"/>
  <c r="AE62" i="1"/>
  <c r="AD22" i="1"/>
  <c r="AE26" i="1"/>
  <c r="AE30" i="1"/>
  <c r="AF31" i="1"/>
  <c r="AF39" i="1"/>
  <c r="AF24" i="1"/>
  <c r="AF63" i="1"/>
  <c r="T76" i="1"/>
  <c r="S77" i="1"/>
  <c r="U22" i="1"/>
  <c r="AD25" i="1"/>
  <c r="AD27" i="1"/>
  <c r="AD62" i="1"/>
  <c r="AF67" i="1"/>
  <c r="AD20" i="1"/>
  <c r="AD30" i="1"/>
  <c r="AD31" i="1"/>
  <c r="AF36" i="1"/>
  <c r="U79" i="1"/>
  <c r="U83" i="1"/>
  <c r="T84" i="1"/>
  <c r="U87" i="1"/>
  <c r="S27" i="1"/>
  <c r="AE37" i="1"/>
  <c r="AD42" i="1"/>
  <c r="AD47" i="1"/>
  <c r="AF57" i="1"/>
  <c r="AD67" i="1"/>
  <c r="D80" i="1"/>
  <c r="D84" i="1"/>
  <c r="D88" i="1"/>
  <c r="AF68" i="1"/>
  <c r="AE68" i="1"/>
  <c r="AD68" i="1"/>
  <c r="U78" i="1"/>
  <c r="D78" i="1"/>
  <c r="S78" i="1"/>
  <c r="AE19" i="1"/>
  <c r="AF26" i="1"/>
  <c r="AD37" i="1"/>
  <c r="AF18" i="1"/>
  <c r="U86" i="1"/>
  <c r="D86" i="1"/>
  <c r="S86" i="1"/>
  <c r="AE18" i="1"/>
  <c r="AD24" i="1"/>
  <c r="AE33" i="1"/>
  <c r="AD33" i="1"/>
  <c r="AE34" i="1"/>
  <c r="AD34" i="1"/>
  <c r="AD66" i="1"/>
  <c r="AF41" i="1"/>
  <c r="AE24" i="1"/>
  <c r="AF27" i="1"/>
  <c r="AF33" i="1"/>
  <c r="AF34" i="1"/>
  <c r="AD38" i="1"/>
  <c r="AF59" i="1"/>
  <c r="AE59" i="1"/>
  <c r="AD59" i="1"/>
  <c r="AE66" i="1"/>
  <c r="D77" i="1"/>
  <c r="G77" i="1"/>
  <c r="F77" i="1"/>
  <c r="E77" i="1"/>
  <c r="AD19" i="1"/>
  <c r="AD21" i="1"/>
  <c r="AF23" i="1"/>
  <c r="AE25" i="1"/>
  <c r="AE38" i="1"/>
  <c r="AF66" i="1"/>
  <c r="U82" i="1"/>
  <c r="D82" i="1"/>
  <c r="S82" i="1"/>
  <c r="AD18" i="1"/>
  <c r="AF20" i="1"/>
  <c r="AF21" i="1"/>
  <c r="AF22" i="1"/>
  <c r="AF25" i="1"/>
  <c r="AE27" i="1"/>
  <c r="AE29" i="1"/>
  <c r="AD32" i="1"/>
  <c r="AD36" i="1"/>
  <c r="AD41" i="1"/>
  <c r="S81" i="1"/>
  <c r="F81" i="1"/>
  <c r="U81" i="1"/>
  <c r="T81" i="1"/>
  <c r="S85" i="1"/>
  <c r="F85" i="1"/>
  <c r="U85" i="1"/>
  <c r="T85" i="1"/>
  <c r="AD23" i="1"/>
  <c r="AD26" i="1"/>
  <c r="AF35" i="1"/>
  <c r="AE36" i="1"/>
  <c r="AD39" i="1"/>
  <c r="AE41" i="1"/>
  <c r="AE63" i="1"/>
  <c r="AD63" i="1"/>
  <c r="AD65" i="1"/>
  <c r="T78" i="1"/>
  <c r="T82" i="1"/>
  <c r="T86" i="1"/>
  <c r="S79" i="1"/>
  <c r="S83" i="1"/>
  <c r="S87" i="1"/>
  <c r="AD35" i="1"/>
  <c r="D76" i="1"/>
  <c r="T79" i="1"/>
  <c r="T83" i="1"/>
  <c r="T87" i="1"/>
  <c r="E76" i="1"/>
  <c r="U54" i="1" l="1"/>
  <c r="S49" i="1"/>
  <c r="T53" i="1"/>
  <c r="U51" i="1"/>
  <c r="T60" i="1"/>
  <c r="U34" i="1"/>
  <c r="S9" i="1"/>
  <c r="T50" i="1"/>
  <c r="T41" i="1"/>
  <c r="U67" i="1"/>
  <c r="S57" i="1"/>
  <c r="T51" i="1"/>
  <c r="T9" i="1"/>
  <c r="T40" i="1"/>
  <c r="T33" i="1"/>
  <c r="T64" i="1"/>
  <c r="T61" i="1"/>
  <c r="U50" i="1"/>
  <c r="U53" i="1"/>
  <c r="S32" i="1"/>
  <c r="U60" i="1"/>
  <c r="U66" i="1"/>
  <c r="T56" i="1"/>
  <c r="U41" i="1"/>
  <c r="U40" i="1"/>
  <c r="S40" i="1"/>
  <c r="U8" i="1"/>
  <c r="S67" i="1"/>
  <c r="S33" i="1"/>
  <c r="S34" i="1"/>
  <c r="S61" i="1"/>
  <c r="S56" i="1"/>
  <c r="S51" i="1"/>
  <c r="U9" i="1"/>
  <c r="S53" i="1"/>
  <c r="S31" i="1"/>
  <c r="S60" i="1"/>
  <c r="T8" i="1"/>
  <c r="U42" i="1"/>
  <c r="S68" i="1"/>
  <c r="T59" i="1"/>
  <c r="U58" i="1"/>
  <c r="T52" i="1"/>
  <c r="T66" i="1"/>
  <c r="T57" i="1"/>
  <c r="T5" i="1"/>
  <c r="U63" i="1"/>
  <c r="U55" i="1"/>
  <c r="T49" i="1"/>
  <c r="T7" i="1"/>
  <c r="U68" i="1"/>
  <c r="U59" i="1"/>
  <c r="S54" i="1"/>
  <c r="T32" i="1"/>
  <c r="U65" i="1"/>
  <c r="T62" i="1"/>
  <c r="U52" i="1"/>
  <c r="S4" i="1"/>
  <c r="T34" i="1"/>
  <c r="S64" i="1"/>
  <c r="U5" i="1"/>
  <c r="T63" i="1"/>
  <c r="S55" i="1"/>
  <c r="T55" i="1"/>
  <c r="S42" i="1"/>
  <c r="U49" i="1"/>
  <c r="S7" i="1"/>
  <c r="T54" i="1"/>
  <c r="T31" i="1"/>
  <c r="S35" i="1"/>
  <c r="U35" i="1"/>
  <c r="S65" i="1"/>
  <c r="T58" i="1"/>
  <c r="U62" i="1"/>
  <c r="T4" i="1"/>
  <c r="T27" i="1"/>
  <c r="U18" i="1"/>
  <c r="U37" i="1"/>
  <c r="S15" i="1"/>
  <c r="S39" i="1"/>
  <c r="S36" i="1"/>
  <c r="T39" i="1"/>
  <c r="U38" i="1"/>
  <c r="S21" i="1"/>
  <c r="U27" i="1"/>
  <c r="U14" i="1"/>
  <c r="U44" i="1"/>
  <c r="T38" i="1"/>
  <c r="U39" i="1"/>
  <c r="T46" i="1"/>
  <c r="T29" i="1"/>
  <c r="U26" i="1"/>
  <c r="T36" i="1"/>
  <c r="U36" i="1"/>
  <c r="S28" i="1"/>
  <c r="S14" i="1"/>
  <c r="T28" i="1"/>
  <c r="S37" i="1"/>
  <c r="S26" i="1"/>
  <c r="U29" i="1"/>
  <c r="T15" i="1"/>
  <c r="T37" i="1"/>
  <c r="U25" i="1"/>
  <c r="T16" i="1"/>
  <c r="U16" i="1"/>
  <c r="T30" i="1"/>
  <c r="S29" i="1"/>
  <c r="T19" i="1"/>
  <c r="U21" i="1"/>
  <c r="T18" i="1"/>
  <c r="S20" i="1"/>
  <c r="S24" i="1"/>
  <c r="T17" i="1"/>
  <c r="S16" i="1"/>
  <c r="S45" i="1"/>
  <c r="S30" i="1"/>
  <c r="U23" i="1"/>
  <c r="T21" i="1"/>
  <c r="S23" i="1"/>
  <c r="T25" i="1"/>
  <c r="U46" i="1"/>
  <c r="U19" i="1"/>
  <c r="S46" i="1"/>
  <c r="S19" i="1"/>
  <c r="U17" i="1"/>
  <c r="U20" i="1"/>
  <c r="T20" i="1"/>
  <c r="S22" i="1"/>
  <c r="T22" i="1"/>
  <c r="S18" i="1"/>
  <c r="T24" i="1"/>
  <c r="U24" i="1"/>
  <c r="S17" i="1"/>
  <c r="T47" i="1"/>
  <c r="U48" i="1"/>
  <c r="S48" i="1"/>
  <c r="S47" i="1"/>
  <c r="U47" i="1"/>
  <c r="U43" i="1"/>
  <c r="T43" i="1"/>
  <c r="U45" i="1"/>
  <c r="T45" i="1"/>
  <c r="S44" i="1"/>
  <c r="T48" i="1"/>
  <c r="T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Wayne C. Mcginnis</author>
    <author>Wayne McGinnis</author>
  </authors>
  <commentList>
    <comment ref="I3" authorId="0" shapeId="0" xr:uid="{43BD92CA-C23C-449F-A9B4-2432CAEE57A6}">
      <text>
        <r>
          <rPr>
            <sz val="9"/>
            <color indexed="81"/>
            <rFont val="Tahoma"/>
            <family val="2"/>
          </rPr>
          <t xml:space="preserve">With Z-stage set to 51 mm, target-to-substrate distance measured to be 5.9 cm.
</t>
        </r>
      </text>
    </comment>
    <comment ref="M6" authorId="0" shapeId="0" xr:uid="{589B44FE-6A11-484B-AF81-89EA885BF030}">
      <text>
        <r>
          <rPr>
            <sz val="9"/>
            <color indexed="81"/>
            <rFont val="Tahoma"/>
            <family val="2"/>
          </rPr>
          <t>set value of 27/82, or 0.33, but dwell time randomized due to non-synchronous target rotation and beam rastering</t>
        </r>
      </text>
    </comment>
    <comment ref="A7" authorId="1" shapeId="0" xr:uid="{FC6AB3FD-BF51-42A0-8410-FF120795EC9A}">
      <text/>
    </comment>
    <comment ref="A9" authorId="1" shapeId="0" xr:uid="{796BCF6B-C380-4F6D-856B-6D53A6A4E05B}">
      <text/>
    </comment>
    <comment ref="G18" authorId="0" shapeId="0" xr:uid="{6A3D7992-845A-4F45-91CE-76B5C60057A4}">
      <text>
        <r>
          <rPr>
            <sz val="9"/>
            <color indexed="81"/>
            <rFont val="Tahoma"/>
            <family val="2"/>
          </rPr>
          <t>Laser energy at target given by laser energy (62 mJ) at chamber window reduced by factor of 14.3/17.3 (1/16/2020 measurements).
Fluence given by laser energy at target divided by laser spot size on target.
Factor of 10 from 10 mJ/mm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= 1 J/cm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.</t>
        </r>
      </text>
    </comment>
    <comment ref="M18" authorId="0" shapeId="0" xr:uid="{FAA66F48-32EA-4B9D-9FD1-A04AF25875D2}">
      <text>
        <r>
          <rPr>
            <sz val="9"/>
            <color indexed="81"/>
            <rFont val="Tahoma"/>
            <family val="2"/>
          </rPr>
          <t>set value of 80/20, or 4.00, but should have been set to 1.00 (not a split target)</t>
        </r>
      </text>
    </comment>
    <comment ref="A21" authorId="0" shapeId="0" xr:uid="{AF822CD1-5E79-4649-870E-703E71036E66}">
      <text>
        <r>
          <rPr>
            <sz val="9"/>
            <color indexed="81"/>
            <rFont val="Tahoma"/>
            <family val="2"/>
          </rPr>
          <t>no target rotation; only beam rastering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9A1256A2-2E9B-4331-BF60-3BD1393C7086}">
      <text>
        <r>
          <rPr>
            <sz val="9"/>
            <color indexed="81"/>
            <rFont val="Tahoma"/>
            <family val="2"/>
          </rPr>
          <t>deposited during target conditioning</t>
        </r>
      </text>
    </comment>
    <comment ref="A74" authorId="1" shapeId="0" xr:uid="{7365552B-67AA-412C-A9CD-A3BE6CF321D7}">
      <text>
        <r>
          <rPr>
            <sz val="9"/>
            <color indexed="81"/>
            <rFont val="Tahoma"/>
            <family val="2"/>
          </rPr>
          <t>Target D, as listed in lab notes (listed as target C in original order).</t>
        </r>
      </text>
    </comment>
    <comment ref="A75" authorId="1" shapeId="0" xr:uid="{CA50B171-9EA2-402B-B719-8705D1285FD3}">
      <text>
        <r>
          <rPr>
            <sz val="9"/>
            <color indexed="81"/>
            <rFont val="Tahoma"/>
            <family val="2"/>
          </rPr>
          <t>Target C, as listed in lab notes (listed as target D in original order).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" authorId="0" shapeId="0" xr:uid="{20D6FE65-BD73-4180-94FE-DFE1F3580278}">
      <text>
        <r>
          <rPr>
            <sz val="9"/>
            <color indexed="81"/>
            <rFont val="Tahoma"/>
            <family val="2"/>
          </rPr>
          <t>In lab notes, this Fe-rich half was listed as composition D.</t>
        </r>
      </text>
    </comment>
    <comment ref="E7" authorId="0" shapeId="0" xr:uid="{52A373E5-2303-402D-B4EE-BFABE3F9D320}">
      <text>
        <r>
          <rPr>
            <sz val="9"/>
            <color indexed="81"/>
            <rFont val="Tahoma"/>
            <family val="2"/>
          </rPr>
          <t>In lab notes, this Fe-free half was listed as composition C.</t>
        </r>
      </text>
    </comment>
  </commentList>
</comments>
</file>

<file path=xl/sharedStrings.xml><?xml version="1.0" encoding="utf-8"?>
<sst xmlns="http://schemas.openxmlformats.org/spreadsheetml/2006/main" count="570" uniqueCount="188">
  <si>
    <t xml:space="preserve"> </t>
  </si>
  <si>
    <t>Effective atomic % in target</t>
  </si>
  <si>
    <t>Effective cation %
in target</t>
  </si>
  <si>
    <t>WDX lines:</t>
  </si>
  <si>
    <t>Kα</t>
  </si>
  <si>
    <t>Lα</t>
  </si>
  <si>
    <t>Mα</t>
  </si>
  <si>
    <t>Measured atomic %</t>
  </si>
  <si>
    <t>Measured cation %</t>
  </si>
  <si>
    <t>Deposition</t>
  </si>
  <si>
    <t>WDX measurement/analysis (avg of 10, 15, and 20 keV)</t>
  </si>
  <si>
    <t>Sample
#</t>
  </si>
  <si>
    <t>Target conditioning time (min)</t>
  </si>
  <si>
    <t>Deposition time (min)</t>
  </si>
  <si>
    <t>Target rotation (rpm)</t>
  </si>
  <si>
    <r>
      <t>Fluence
(J/cm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</si>
  <si>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Substrate</t>
  </si>
  <si>
    <t>Target to subsrate distance (cm)</t>
  </si>
  <si>
    <t>Date</t>
  </si>
  <si>
    <t>T (C)</t>
  </si>
  <si>
    <t>Bi</t>
  </si>
  <si>
    <t>Dy</t>
  </si>
  <si>
    <t>Fe</t>
  </si>
  <si>
    <t>O</t>
  </si>
  <si>
    <t>Date measured</t>
  </si>
  <si>
    <t>Date analyzed</t>
  </si>
  <si>
    <t>Standards</t>
  </si>
  <si>
    <t>Elements</t>
  </si>
  <si>
    <t>TGT50</t>
  </si>
  <si>
    <t>Si</t>
  </si>
  <si>
    <r>
      <t>Si, Bi, DyPO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Fe, MgO</t>
    </r>
  </si>
  <si>
    <t>Bi Dy Fe O</t>
  </si>
  <si>
    <t>TGT42</t>
  </si>
  <si>
    <t>?</t>
  </si>
  <si>
    <t>PLD101</t>
  </si>
  <si>
    <t>PLD107</t>
  </si>
  <si>
    <t>PLD111</t>
  </si>
  <si>
    <t>PLD115</t>
  </si>
  <si>
    <t>PLD119</t>
  </si>
  <si>
    <t>PLD123</t>
  </si>
  <si>
    <t>PLD127</t>
  </si>
  <si>
    <t>PLD131</t>
  </si>
  <si>
    <t>PLD135</t>
  </si>
  <si>
    <t>PLD139</t>
  </si>
  <si>
    <t>PLD140</t>
  </si>
  <si>
    <t>TGT61</t>
  </si>
  <si>
    <t>PLD147</t>
  </si>
  <si>
    <t>PLD149</t>
  </si>
  <si>
    <t>PLD153</t>
  </si>
  <si>
    <t>PLD156</t>
  </si>
  <si>
    <t>TGT60</t>
  </si>
  <si>
    <t>PLD164</t>
  </si>
  <si>
    <t>PLD168</t>
  </si>
  <si>
    <t>PLD174</t>
  </si>
  <si>
    <t>PLD178</t>
  </si>
  <si>
    <t>PLD182</t>
  </si>
  <si>
    <t>PLD188</t>
  </si>
  <si>
    <t>PLD192</t>
  </si>
  <si>
    <t>PLD195</t>
  </si>
  <si>
    <t>PLD203</t>
  </si>
  <si>
    <t>PLD204</t>
  </si>
  <si>
    <t>PLD206</t>
  </si>
  <si>
    <t>PLD210</t>
  </si>
  <si>
    <t>TGT67</t>
  </si>
  <si>
    <t>PLD214</t>
  </si>
  <si>
    <t>TGT70</t>
  </si>
  <si>
    <t>PLD218</t>
  </si>
  <si>
    <t>TGT65</t>
  </si>
  <si>
    <t>PLD222</t>
  </si>
  <si>
    <t>TGT69</t>
  </si>
  <si>
    <t>PLD228</t>
  </si>
  <si>
    <t>TGT66</t>
  </si>
  <si>
    <t>PLD230</t>
  </si>
  <si>
    <t>TGT71</t>
  </si>
  <si>
    <t>PLD274</t>
  </si>
  <si>
    <t>TGT78</t>
  </si>
  <si>
    <t>PLD278</t>
  </si>
  <si>
    <t>PLD282</t>
  </si>
  <si>
    <t>PLD288</t>
  </si>
  <si>
    <t>PLD293</t>
  </si>
  <si>
    <t>PLD297</t>
  </si>
  <si>
    <t>PLD299</t>
  </si>
  <si>
    <t>PLD304</t>
  </si>
  <si>
    <t>PLD307</t>
  </si>
  <si>
    <t>PLD311</t>
  </si>
  <si>
    <t>PLD306</t>
  </si>
  <si>
    <t>SrTiO3</t>
  </si>
  <si>
    <t>PLD308</t>
  </si>
  <si>
    <t>PLD310</t>
  </si>
  <si>
    <t>PLD312</t>
  </si>
  <si>
    <t>PLD318</t>
  </si>
  <si>
    <t>PLD320</t>
  </si>
  <si>
    <t>PLD323</t>
  </si>
  <si>
    <t>PLD324</t>
  </si>
  <si>
    <t>PLD327</t>
  </si>
  <si>
    <t>PLD328</t>
  </si>
  <si>
    <t>TGT41</t>
  </si>
  <si>
    <t>TGT-#</t>
  </si>
  <si>
    <t>Diameter</t>
  </si>
  <si>
    <t>Target Material Thickness</t>
  </si>
  <si>
    <t>Composition</t>
  </si>
  <si>
    <t>Deposition
system</t>
  </si>
  <si>
    <t>Comments</t>
  </si>
  <si>
    <t>1"</t>
  </si>
  <si>
    <t>6 mm</t>
  </si>
  <si>
    <t>Bi(0.7)Dy(0.3)FeO(3.0)</t>
  </si>
  <si>
    <t>PLD</t>
  </si>
  <si>
    <t>mixed oxides,
made by ACI Alloys</t>
  </si>
  <si>
    <t>0.25"</t>
  </si>
  <si>
    <t>BiDy(0.3)FeO(3.45)</t>
  </si>
  <si>
    <t>0.165"</t>
  </si>
  <si>
    <t>Bi:Dy:Fe = 0.598 : 0.227 : 0.175
Bi(0.239)Dy(0.091)Fe(0.070)O(0.6)
(compostion A, Feb 2016 order)</t>
  </si>
  <si>
    <t>mixed oxides,
semi-circle (no backing plate),
made by ACI Alloys</t>
  </si>
  <si>
    <t>Bi:Dy:Fe = 0.650 : 0.247 : 0.000
Bi(0.291)Dy(0.110)Fe(0.000)O(0.6)
(compostion B, Feb 2016 order)</t>
  </si>
  <si>
    <t>Bi:Dy:Fe = 0.523 : 0.199 : 0.278
Bi(0.209)Dy(0.080)Fe(0.111)O(0.6)
(compostion C, Feb 2016 order)</t>
  </si>
  <si>
    <t>Bi:Dy:Fe = 0.725 : 0.275 : 0.000
Bi(0.290)Dy(0.110)Fe(0.000)O(0.6)
(compostion D, Feb 2016 order)</t>
  </si>
  <si>
    <t>Bi:Dy:Fe = 0.337 : 0.032 : 0.631
Bi(0.135)Dy(0.013)Fe(0.252)O(0.6)
(composition C, Apr 2016 order)</t>
  </si>
  <si>
    <t>Bi:Dy:Fe = 0.236 : 0.022 : 0.742
Bi(0.094)Dy(0.009)Fe(0.297)O(0.6)
(composition D, Apr 2016 order)</t>
  </si>
  <si>
    <t>Bi:Dy:Fe = 0.512 : 0.050 : 0.438
Bi(0.205)Dy(0.020)Fe(0.175)O(0.6)
(composition A, Apr 2016 order)</t>
  </si>
  <si>
    <t>Bi:Dy:Fe = 0.394 : 0.039 : 0.567
Bi(0.158)Dy(0.016)Fe(0.227)O(0.6)
(composition B, Apr 2016 order)</t>
  </si>
  <si>
    <t>Bi:Dy:Fe = 0.405 : 0.047 : 0.548
Bi(0.162)Dy(0.019)Fe(0.219)O(0.6)
(composition E, Apr 2016 order)</t>
  </si>
  <si>
    <t>mixed oxides,
no backing plate,
made by ACI Alloys</t>
  </si>
  <si>
    <t>Bi:Dy:Fe = 0.852 : 0.088 : 0.060
Bi(0.341)Dy(0.035)Fe(0.024)O(0.6)
(compostion A, Nov 2019 order)</t>
  </si>
  <si>
    <t>Bi:Dy:Fe = 0.796 : 0.082 : 0.122
Bi(0.318)Dy(0.033)Fe(0.049)O(0.6)
(compostion B, Nov 2019 order)</t>
  </si>
  <si>
    <t>Bi:Dy:Fe = 0.747 : 0.077 : 0.176
Bi(0.299)Dy(0.031)Fe(0.070)O(0.6)
(compostion C, Nov 2019 order)</t>
  </si>
  <si>
    <t>mixed oxides, no backing plate,
made by ACI Alloys (sent to National Institute of Lasers, Plasma and Radiation Physics)</t>
  </si>
  <si>
    <t>Bi:Dy:Fe = 0.703 : 0.073 : 0.224
Bi(0.2811)Dy(0.029)Fe(0.090)O(0.6)
(compostion D, Nov 2019 order)</t>
  </si>
  <si>
    <t>Bi:Dy:Fe = 0.665 : 0.068 : 0.267
Bi(0.266)Dy(0.027)Fe(0.107)O(0.6)
(compostion E, Nov 2019 order)</t>
  </si>
  <si>
    <t>Bi:Dy:Fe = 0.776 : 0.041 : 0.183
Bi(0.310)Dy(0.016)Fe(0.073)O(0.6)
(compostion F, Nov 2019 order)</t>
  </si>
  <si>
    <t>Bi:Dy:Fe = 0.421 : 0.082 : 0.497
Bi(0.168)Dy(0.033)Fe(0.199)O(0.6)
(compostion A, Nov 2020 order)</t>
  </si>
  <si>
    <t>Bi:Dy:Fe = 0.449 : 0.087 : 0.464
Bi(0.180)Dy(0.035)Fe(0.186)O(0.6)
(compostion B, Nov 2020 order)</t>
  </si>
  <si>
    <t>Bi:Dy:Fe = 0.474 : 0.091 : 0.435
Bi(0.190)Dy(0.036)Fe(0.174)O(0.6)
(compostion C, Nov 2020 order)</t>
  </si>
  <si>
    <t>Bi:Dy:Fe = 0.568 : 0.000 : 0.432
Bi(0.227)Dy(0.000)Fe(0.173)O(0.6)
(compostion D, Nov 2020 order)</t>
  </si>
  <si>
    <t>Bi:Dy:Fe = 0.464 : 0.057 : 0.479
Bi(0.186)Dy(0.023)Fe(0.192)O(0.6)
(composition E, Nov 2020 order)</t>
  </si>
  <si>
    <t>Bi:Dy:Fe = 0.440 : 0.106 : 0.454
Bi(0.176)Dy(0.042)Fe(0.182)O(0.6)
(composition F, Nov 2020 order)</t>
  </si>
  <si>
    <t>Bi:Dy:Fe = 0.321 : 0.099 : 0.580
Bi(0.128)Dy(0.040)Fe(0.232)O(0.6)
(composition G, Nov 2020 order)</t>
  </si>
  <si>
    <t>Bi:Dy:Fe = 0.611 : 0.068 : 0.321
Bi(0.244)Dy(0.027)Fe(0.128)O(0.6)
(composition H, Nov 2020 order)</t>
  </si>
  <si>
    <t>Split target
#</t>
  </si>
  <si>
    <t>Single composition target
#</t>
  </si>
  <si>
    <r>
      <t>Bi</t>
    </r>
    <r>
      <rPr>
        <vertAlign val="subscript"/>
        <sz val="11"/>
        <color theme="1"/>
        <rFont val="Calibri"/>
        <family val="2"/>
        <scheme val="minor"/>
      </rPr>
      <t>1.45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3
</t>
    </r>
    <r>
      <rPr>
        <sz val="11"/>
        <color theme="1"/>
        <rFont val="Calibri"/>
        <family val="2"/>
        <scheme val="minor"/>
      </rPr>
      <t>(Bi+Dy)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</si>
  <si>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Bi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0.72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5.40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2.60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5.40</t>
    </r>
  </si>
  <si>
    <t>Formulas</t>
  </si>
  <si>
    <r>
      <t>Bi</t>
    </r>
    <r>
      <rPr>
        <vertAlign val="subscript"/>
        <sz val="11"/>
        <color theme="1"/>
        <rFont val="Calibri"/>
        <family val="2"/>
        <scheme val="minor"/>
      </rPr>
      <t>0.7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 xml:space="preserve">3
</t>
    </r>
    <r>
      <rPr>
        <sz val="11"/>
        <color theme="1"/>
        <rFont val="Calibri"/>
        <family val="2"/>
        <scheme val="minor"/>
      </rPr>
      <t>(Bi+Dy)FeO</t>
    </r>
    <r>
      <rPr>
        <vertAlign val="subscript"/>
        <sz val="11"/>
        <color theme="1"/>
        <rFont val="Calibri"/>
        <family val="2"/>
        <scheme val="minor"/>
      </rPr>
      <t>3</t>
    </r>
  </si>
  <si>
    <r>
      <t>Bi</t>
    </r>
    <r>
      <rPr>
        <vertAlign val="subscript"/>
        <sz val="11"/>
        <color theme="1"/>
        <rFont val="Calibri"/>
        <family val="2"/>
        <scheme val="minor"/>
      </rPr>
      <t>1.17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3.42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1.28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3.42</t>
    </r>
  </si>
  <si>
    <r>
      <t>BiDy</t>
    </r>
    <r>
      <rPr>
        <vertAlign val="subscript"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 xml:space="preserve">3.45
</t>
    </r>
    <r>
      <rPr>
        <sz val="11"/>
        <color theme="1"/>
        <rFont val="Calibri"/>
        <family val="2"/>
        <scheme val="minor"/>
      </rPr>
      <t>(Bi+Dy)</t>
    </r>
    <r>
      <rPr>
        <vertAlign val="subscript"/>
        <sz val="11"/>
        <color theme="1"/>
        <rFont val="Calibri"/>
        <family val="2"/>
        <scheme val="minor"/>
      </rPr>
      <t>1.30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3.45</t>
    </r>
  </si>
  <si>
    <r>
      <t>Bi</t>
    </r>
    <r>
      <rPr>
        <vertAlign val="subscript"/>
        <sz val="11"/>
        <color theme="1"/>
        <rFont val="Calibri"/>
        <family val="2"/>
        <scheme val="minor"/>
      </rPr>
      <t>0.69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 xml:space="preserve">2.65
</t>
    </r>
    <r>
      <rPr>
        <sz val="11"/>
        <color theme="1"/>
        <rFont val="Calibri"/>
        <family val="2"/>
        <scheme val="minor"/>
      </rPr>
      <t>(Bi+Dy)</t>
    </r>
    <r>
      <rPr>
        <vertAlign val="subscript"/>
        <sz val="11"/>
        <color theme="1"/>
        <rFont val="Calibri"/>
        <family val="2"/>
        <scheme val="minor"/>
      </rPr>
      <t>0.76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2.65</t>
    </r>
  </si>
  <si>
    <r>
      <t>Bi</t>
    </r>
    <r>
      <rPr>
        <vertAlign val="subscript"/>
        <sz val="11"/>
        <color theme="1"/>
        <rFont val="Calibri"/>
        <family val="2"/>
        <scheme val="minor"/>
      </rPr>
      <t>0.74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2.74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0.82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2.74</t>
    </r>
  </si>
  <si>
    <r>
      <t>Bi</t>
    </r>
    <r>
      <rPr>
        <vertAlign val="subscript"/>
        <sz val="11"/>
        <color theme="1"/>
        <rFont val="Calibri"/>
        <family val="2"/>
        <scheme val="minor"/>
      </rPr>
      <t>14.2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1.47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25.0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15.7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25.0</t>
    </r>
  </si>
  <si>
    <r>
      <t>Bi</t>
    </r>
    <r>
      <rPr>
        <vertAlign val="subscript"/>
        <sz val="11"/>
        <color theme="1"/>
        <rFont val="Calibri"/>
        <family val="2"/>
        <scheme val="minor"/>
      </rPr>
      <t>6.52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0.67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12.3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7.20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12.3</t>
    </r>
  </si>
  <si>
    <r>
      <t>Bi</t>
    </r>
    <r>
      <rPr>
        <vertAlign val="subscript"/>
        <sz val="11"/>
        <color theme="1"/>
        <rFont val="Calibri"/>
        <family val="2"/>
        <scheme val="minor"/>
      </rPr>
      <t>4.24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0.44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8.52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4.68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8.52</t>
    </r>
  </si>
  <si>
    <r>
      <t>Bi</t>
    </r>
    <r>
      <rPr>
        <vertAlign val="subscript"/>
        <sz val="11"/>
        <color theme="1"/>
        <rFont val="Calibri"/>
        <family val="2"/>
        <scheme val="minor"/>
      </rPr>
      <t>2.88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6.15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3.18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6.15</t>
    </r>
  </si>
  <si>
    <r>
      <t>Bi</t>
    </r>
    <r>
      <rPr>
        <vertAlign val="subscript"/>
        <sz val="11"/>
        <color theme="1"/>
        <rFont val="Calibri"/>
        <family val="2"/>
        <scheme val="minor"/>
      </rPr>
      <t>2.49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0.25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5.62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2.75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5.62</t>
    </r>
  </si>
  <si>
    <r>
      <t>Bi</t>
    </r>
    <r>
      <rPr>
        <vertAlign val="subscript"/>
        <sz val="11"/>
        <color theme="1"/>
        <rFont val="Calibri"/>
        <family val="2"/>
        <scheme val="minor"/>
      </rPr>
      <t>4.24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8.20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4.46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8.20</t>
    </r>
  </si>
  <si>
    <r>
      <t>Bi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2.59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0.72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2.59</t>
    </r>
  </si>
  <si>
    <r>
      <t>Bi</t>
    </r>
    <r>
      <rPr>
        <vertAlign val="subscript"/>
        <sz val="11"/>
        <color theme="1"/>
        <rFont val="Calibri"/>
        <family val="2"/>
        <scheme val="minor"/>
      </rPr>
      <t>1.90</t>
    </r>
    <r>
      <rPr>
        <sz val="11"/>
        <color theme="1"/>
        <rFont val="Calibri"/>
        <family val="2"/>
        <scheme val="minor"/>
      </rPr>
      <t>Dy</t>
    </r>
    <r>
      <rPr>
        <vertAlign val="subscript"/>
        <sz val="11"/>
        <color theme="1"/>
        <rFont val="Calibri"/>
        <family val="2"/>
        <scheme val="minor"/>
      </rPr>
      <t>0.21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4.67</t>
    </r>
    <r>
      <rPr>
        <sz val="11"/>
        <color theme="1"/>
        <rFont val="Calibri"/>
        <family val="2"/>
        <scheme val="minor"/>
      </rPr>
      <t xml:space="preserve">
(Bi+Dy)</t>
    </r>
    <r>
      <rPr>
        <vertAlign val="subscript"/>
        <sz val="11"/>
        <color theme="1"/>
        <rFont val="Calibri"/>
        <family val="2"/>
        <scheme val="minor"/>
      </rPr>
      <t>2.12</t>
    </r>
    <r>
      <rPr>
        <sz val="11"/>
        <color theme="1"/>
        <rFont val="Calibri"/>
        <family val="2"/>
        <scheme val="minor"/>
      </rPr>
      <t>FeO</t>
    </r>
    <r>
      <rPr>
        <vertAlign val="subscript"/>
        <sz val="11"/>
        <color theme="1"/>
        <rFont val="Calibri"/>
        <family val="2"/>
        <scheme val="minor"/>
      </rPr>
      <t>4.67</t>
    </r>
  </si>
  <si>
    <t>Targets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</si>
  <si>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pressure (mTorr)</t>
    </r>
  </si>
  <si>
    <t>PLD048</t>
  </si>
  <si>
    <t>PLD053</t>
  </si>
  <si>
    <t>PLD061</t>
  </si>
  <si>
    <t>PLD065</t>
  </si>
  <si>
    <t>PLD072</t>
  </si>
  <si>
    <t>PLD077</t>
  </si>
  <si>
    <t>PLD079</t>
  </si>
  <si>
    <t>PLD081</t>
  </si>
  <si>
    <t>PLD041</t>
  </si>
  <si>
    <t>PLD089</t>
  </si>
  <si>
    <t>PLD093</t>
  </si>
  <si>
    <t>PLD097</t>
  </si>
  <si>
    <t>TGT58
(side A)</t>
  </si>
  <si>
    <t>TGT59
(side B)</t>
  </si>
  <si>
    <t>TGT81
(side A)</t>
  </si>
  <si>
    <t>TGT82
(side B)</t>
  </si>
  <si>
    <t>TGT47
(side A)</t>
  </si>
  <si>
    <t>TGT48
(side B)</t>
  </si>
  <si>
    <t>PLD084</t>
  </si>
  <si>
    <t>Raster speed ratio
(A:B)</t>
  </si>
  <si>
    <t>Fraction of time on side A</t>
  </si>
  <si>
    <t>TGT85</t>
  </si>
  <si>
    <t>PLD330</t>
  </si>
  <si>
    <t>half cut from TGT61,
half cut from TGT70</t>
  </si>
  <si>
    <t>conductive epoxy bonded to 1"-dia. X 0.08" thick Cu backing plate,
made by ACI Alloys</t>
  </si>
  <si>
    <t>half cut from TGT69,
half cut from TGT75</t>
  </si>
  <si>
    <t>TGT61
(side A)</t>
  </si>
  <si>
    <t>TGT70
(side B)</t>
  </si>
  <si>
    <t>PLD336</t>
  </si>
  <si>
    <t>`</t>
  </si>
  <si>
    <t>Date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</si>
</sst>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2" fontId="0" fillId="7" borderId="4" xfId="0" applyNumberForma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1ED-BFC5-4857-89EE-30A9524F1CE6}">
  <dimension ref="A1:AF91"/>
  <sheetViews>
    <sheetView tabSelected="1" zoomScale="80" zoomScaleNormal="80" workbookViewId="0">
      <pane ySplit="3" topLeftCell="A4" activePane="bottomLeft" state="frozen"/>
      <selection pane="bottomLeft" activeCell="N21" sqref="N21"/>
    </sheetView>
  </sheetViews>
  <sheetFormatPr defaultColWidth="8.85546875" defaultRowHeight="15" x14ac:dyDescent="0.25"/>
  <cols>
    <col min="1" max="1" width="18.7109375" style="10" customWidth="1"/>
    <col min="2" max="2" width="8.85546875" style="11"/>
    <col min="3" max="3" width="14.140625" style="11" customWidth="1"/>
    <col min="4" max="4" width="13.28515625" style="11" customWidth="1"/>
    <col min="5" max="5" width="12.5703125" style="11" customWidth="1"/>
    <col min="6" max="6" width="10.140625" style="11" customWidth="1"/>
    <col min="7" max="8" width="10.5703125" style="13" customWidth="1"/>
    <col min="9" max="9" width="10.5703125" style="14" customWidth="1"/>
    <col min="10" max="10" width="12.7109375" style="17" customWidth="1"/>
    <col min="11" max="11" width="5.85546875" style="11" customWidth="1"/>
    <col min="12" max="12" width="10" style="10" customWidth="1"/>
    <col min="13" max="13" width="16" style="13" customWidth="1"/>
    <col min="14" max="14" width="11.140625" style="13" customWidth="1"/>
    <col min="15" max="20" width="7.7109375" style="13" customWidth="1"/>
    <col min="21" max="21" width="8.42578125" style="13" customWidth="1"/>
    <col min="22" max="22" width="13.140625" style="17" customWidth="1"/>
    <col min="23" max="23" width="12.28515625" style="17" customWidth="1"/>
    <col min="24" max="24" width="14" style="2" customWidth="1"/>
    <col min="25" max="25" width="12.7109375" style="11" customWidth="1"/>
    <col min="26" max="32" width="7.7109375" style="13" customWidth="1"/>
    <col min="33" max="16384" width="8.85546875" style="11"/>
  </cols>
  <sheetData>
    <row r="1" spans="1:32" x14ac:dyDescent="0.25">
      <c r="D1" s="62" t="s">
        <v>9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  <c r="V1" s="65" t="s">
        <v>10</v>
      </c>
      <c r="W1" s="66"/>
      <c r="X1" s="66"/>
      <c r="Y1" s="66"/>
      <c r="Z1" s="66"/>
      <c r="AA1" s="66"/>
      <c r="AB1" s="66"/>
      <c r="AC1" s="66"/>
      <c r="AD1" s="66"/>
      <c r="AE1" s="66"/>
      <c r="AF1" s="67"/>
    </row>
    <row r="2" spans="1:32" s="2" customFormat="1" x14ac:dyDescent="0.25">
      <c r="A2" s="1"/>
      <c r="G2" s="3"/>
      <c r="H2" s="3"/>
      <c r="I2" s="4"/>
      <c r="J2" s="5"/>
      <c r="L2" s="1"/>
      <c r="M2" s="3" t="s">
        <v>0</v>
      </c>
      <c r="N2" s="3"/>
      <c r="O2" s="53" t="s">
        <v>1</v>
      </c>
      <c r="P2" s="54"/>
      <c r="Q2" s="54"/>
      <c r="R2" s="55"/>
      <c r="S2" s="56" t="s">
        <v>2</v>
      </c>
      <c r="T2" s="57"/>
      <c r="U2" s="58"/>
      <c r="V2" s="6" t="s">
        <v>3</v>
      </c>
      <c r="W2" s="7" t="s">
        <v>4</v>
      </c>
      <c r="X2" s="8" t="s">
        <v>5</v>
      </c>
      <c r="Y2" s="9" t="s">
        <v>6</v>
      </c>
      <c r="Z2" s="59" t="s">
        <v>7</v>
      </c>
      <c r="AA2" s="60"/>
      <c r="AB2" s="60"/>
      <c r="AC2" s="61"/>
      <c r="AD2" s="56" t="s">
        <v>8</v>
      </c>
      <c r="AE2" s="57"/>
      <c r="AF2" s="58"/>
    </row>
    <row r="3" spans="1:32" s="2" customFormat="1" ht="77.25" customHeight="1" x14ac:dyDescent="0.25">
      <c r="A3" s="38" t="s">
        <v>11</v>
      </c>
      <c r="B3" s="44" t="s">
        <v>137</v>
      </c>
      <c r="C3" s="38" t="s">
        <v>138</v>
      </c>
      <c r="D3" s="44" t="s">
        <v>12</v>
      </c>
      <c r="E3" s="38" t="s">
        <v>13</v>
      </c>
      <c r="F3" s="44" t="s">
        <v>14</v>
      </c>
      <c r="G3" s="40" t="s">
        <v>15</v>
      </c>
      <c r="H3" s="12" t="s">
        <v>16</v>
      </c>
      <c r="I3" s="41" t="s">
        <v>17</v>
      </c>
      <c r="J3" s="46" t="s">
        <v>187</v>
      </c>
      <c r="K3" s="38" t="s">
        <v>19</v>
      </c>
      <c r="L3" s="44" t="s">
        <v>156</v>
      </c>
      <c r="M3" s="40" t="s">
        <v>176</v>
      </c>
      <c r="N3" s="12" t="s">
        <v>177</v>
      </c>
      <c r="O3" s="35" t="s">
        <v>20</v>
      </c>
      <c r="P3" s="36" t="s">
        <v>21</v>
      </c>
      <c r="Q3" s="37" t="s">
        <v>22</v>
      </c>
      <c r="R3" s="3" t="s">
        <v>23</v>
      </c>
      <c r="S3" s="35" t="s">
        <v>20</v>
      </c>
      <c r="T3" s="36" t="s">
        <v>21</v>
      </c>
      <c r="U3" s="37" t="s">
        <v>22</v>
      </c>
      <c r="V3" s="5" t="s">
        <v>24</v>
      </c>
      <c r="W3" s="5" t="s">
        <v>25</v>
      </c>
      <c r="X3" s="2" t="s">
        <v>26</v>
      </c>
      <c r="Y3" s="2" t="s">
        <v>27</v>
      </c>
      <c r="Z3" s="35" t="s">
        <v>20</v>
      </c>
      <c r="AA3" s="36" t="s">
        <v>21</v>
      </c>
      <c r="AB3" s="37" t="s">
        <v>22</v>
      </c>
      <c r="AC3" s="3" t="s">
        <v>23</v>
      </c>
      <c r="AD3" s="35" t="s">
        <v>20</v>
      </c>
      <c r="AE3" s="36" t="s">
        <v>21</v>
      </c>
      <c r="AF3" s="37" t="s">
        <v>22</v>
      </c>
    </row>
    <row r="4" spans="1:32" ht="33" x14ac:dyDescent="0.25">
      <c r="A4" s="39" t="s">
        <v>165</v>
      </c>
      <c r="B4" s="45" t="s">
        <v>28</v>
      </c>
      <c r="C4" s="39"/>
      <c r="D4" s="45">
        <v>0</v>
      </c>
      <c r="E4" s="39">
        <v>62</v>
      </c>
      <c r="F4" s="45">
        <v>10</v>
      </c>
      <c r="G4" s="42"/>
      <c r="H4" s="16" t="s">
        <v>29</v>
      </c>
      <c r="I4" s="43">
        <v>5.9</v>
      </c>
      <c r="J4" s="47">
        <v>42593</v>
      </c>
      <c r="K4" s="39">
        <v>25</v>
      </c>
      <c r="L4" s="45">
        <v>0.3</v>
      </c>
      <c r="M4" s="42">
        <f>46/46</f>
        <v>1</v>
      </c>
      <c r="N4" s="16">
        <f>IF(M4&lt;&gt;"",1/(1+M4),"")</f>
        <v>0.5</v>
      </c>
      <c r="O4" s="18">
        <f t="shared" ref="O4:Q13" si="0">$N4*O$74+(1-$N4)*O$75</f>
        <v>24.96</v>
      </c>
      <c r="P4" s="19">
        <f t="shared" si="0"/>
        <v>9.48</v>
      </c>
      <c r="Q4" s="20">
        <f t="shared" si="0"/>
        <v>5.5600000000000005</v>
      </c>
      <c r="R4" s="21">
        <f t="shared" ref="R4:R13" si="1">$N4*R$78+(1-$N4)*R$79</f>
        <v>60</v>
      </c>
      <c r="S4" s="18">
        <f t="shared" ref="S4:S35" si="2">100*O4/SUM($O4:$Q4)</f>
        <v>62.4</v>
      </c>
      <c r="T4" s="19">
        <f t="shared" ref="T4:T35" si="3">100*P4/SUM($O4:$Q4)</f>
        <v>23.7</v>
      </c>
      <c r="U4" s="20">
        <f t="shared" ref="U4:U35" si="4">100*Q4/SUM($O4:$Q4)</f>
        <v>13.9</v>
      </c>
      <c r="V4" s="17">
        <v>43102</v>
      </c>
      <c r="W4" s="17">
        <v>43102</v>
      </c>
      <c r="X4" s="2" t="s">
        <v>30</v>
      </c>
      <c r="Y4" s="11" t="s">
        <v>31</v>
      </c>
      <c r="Z4" s="18">
        <v>29.080000000000002</v>
      </c>
      <c r="AA4" s="19">
        <v>9.82</v>
      </c>
      <c r="AB4" s="20">
        <v>1.58</v>
      </c>
      <c r="AC4" s="21">
        <v>59.519999999999996</v>
      </c>
      <c r="AD4" s="18">
        <f t="shared" ref="AD4:AD48" si="5">100*Z4/SUM($Z4:$AB4)</f>
        <v>71.83794466403161</v>
      </c>
      <c r="AE4" s="19">
        <f t="shared" ref="AE4:AE48" si="6">100*AA4/SUM($Z4:$AB4)</f>
        <v>24.25889328063241</v>
      </c>
      <c r="AF4" s="20">
        <f t="shared" ref="AF4:AF48" si="7">100*AB4/SUM($Z4:$AB4)</f>
        <v>3.9031620553359678</v>
      </c>
    </row>
    <row r="5" spans="1:32" ht="33" x14ac:dyDescent="0.25">
      <c r="A5" s="39" t="s">
        <v>157</v>
      </c>
      <c r="B5" s="45" t="s">
        <v>28</v>
      </c>
      <c r="C5" s="39"/>
      <c r="D5" s="45">
        <v>0</v>
      </c>
      <c r="E5" s="39">
        <v>60</v>
      </c>
      <c r="F5" s="45">
        <v>10</v>
      </c>
      <c r="G5" s="42"/>
      <c r="H5" s="16" t="s">
        <v>29</v>
      </c>
      <c r="I5" s="43">
        <v>5.9</v>
      </c>
      <c r="J5" s="47">
        <v>42594</v>
      </c>
      <c r="K5" s="39">
        <v>690</v>
      </c>
      <c r="L5" s="45">
        <v>0.3</v>
      </c>
      <c r="M5" s="42">
        <f>46/46</f>
        <v>1</v>
      </c>
      <c r="N5" s="16">
        <f t="shared" ref="N5:N69" si="8">IF(M5&lt;&gt;"",1/(1+M5),"")</f>
        <v>0.5</v>
      </c>
      <c r="O5" s="18">
        <f t="shared" si="0"/>
        <v>24.96</v>
      </c>
      <c r="P5" s="19">
        <f t="shared" si="0"/>
        <v>9.48</v>
      </c>
      <c r="Q5" s="20">
        <f t="shared" si="0"/>
        <v>5.5600000000000005</v>
      </c>
      <c r="R5" s="21">
        <f t="shared" si="1"/>
        <v>60</v>
      </c>
      <c r="S5" s="18">
        <f t="shared" si="2"/>
        <v>62.4</v>
      </c>
      <c r="T5" s="19">
        <f t="shared" si="3"/>
        <v>23.7</v>
      </c>
      <c r="U5" s="20">
        <f t="shared" si="4"/>
        <v>13.9</v>
      </c>
      <c r="V5" s="17">
        <v>43102</v>
      </c>
      <c r="W5" s="17">
        <v>43102</v>
      </c>
      <c r="X5" s="2" t="s">
        <v>30</v>
      </c>
      <c r="Y5" s="11" t="s">
        <v>31</v>
      </c>
      <c r="Z5" s="18">
        <v>15.310000000000002</v>
      </c>
      <c r="AA5" s="19">
        <v>22.29</v>
      </c>
      <c r="AB5" s="20">
        <v>4.01</v>
      </c>
      <c r="AC5" s="21">
        <v>58.39</v>
      </c>
      <c r="AD5" s="18">
        <f t="shared" si="5"/>
        <v>36.794039894256194</v>
      </c>
      <c r="AE5" s="19">
        <f t="shared" si="6"/>
        <v>53.568853640951694</v>
      </c>
      <c r="AF5" s="20">
        <f t="shared" si="7"/>
        <v>9.637106464792117</v>
      </c>
    </row>
    <row r="6" spans="1:32" ht="33" x14ac:dyDescent="0.25">
      <c r="A6" s="39" t="s">
        <v>158</v>
      </c>
      <c r="B6" s="45" t="s">
        <v>28</v>
      </c>
      <c r="C6" s="39"/>
      <c r="D6" s="45">
        <v>0</v>
      </c>
      <c r="E6" s="39">
        <v>60</v>
      </c>
      <c r="F6" s="45">
        <v>10</v>
      </c>
      <c r="G6" s="42"/>
      <c r="H6" s="16" t="s">
        <v>29</v>
      </c>
      <c r="I6" s="43">
        <v>5.9</v>
      </c>
      <c r="J6" s="47">
        <v>42650</v>
      </c>
      <c r="K6" s="39">
        <v>690</v>
      </c>
      <c r="L6" s="45">
        <v>0.3</v>
      </c>
      <c r="M6" s="42">
        <v>1</v>
      </c>
      <c r="N6" s="16">
        <f t="shared" si="8"/>
        <v>0.5</v>
      </c>
      <c r="O6" s="18">
        <f t="shared" si="0"/>
        <v>24.96</v>
      </c>
      <c r="P6" s="19">
        <f t="shared" si="0"/>
        <v>9.48</v>
      </c>
      <c r="Q6" s="20">
        <f t="shared" si="0"/>
        <v>5.5600000000000005</v>
      </c>
      <c r="R6" s="21">
        <f t="shared" si="1"/>
        <v>60</v>
      </c>
      <c r="S6" s="18">
        <f t="shared" si="2"/>
        <v>62.4</v>
      </c>
      <c r="T6" s="19">
        <f t="shared" si="3"/>
        <v>23.7</v>
      </c>
      <c r="U6" s="20">
        <f t="shared" si="4"/>
        <v>13.9</v>
      </c>
      <c r="V6" s="17">
        <v>43102</v>
      </c>
      <c r="W6" s="17">
        <v>43102</v>
      </c>
      <c r="X6" s="2" t="s">
        <v>30</v>
      </c>
      <c r="Y6" s="11" t="s">
        <v>31</v>
      </c>
      <c r="Z6" s="18">
        <v>9.35</v>
      </c>
      <c r="AA6" s="19">
        <v>19.93</v>
      </c>
      <c r="AB6" s="20">
        <v>4.71</v>
      </c>
      <c r="AC6" s="21">
        <v>66.02</v>
      </c>
      <c r="AD6" s="18">
        <f t="shared" si="5"/>
        <v>27.508090614886729</v>
      </c>
      <c r="AE6" s="19">
        <f t="shared" si="6"/>
        <v>58.634892615475138</v>
      </c>
      <c r="AF6" s="20">
        <f t="shared" si="7"/>
        <v>13.857016769638127</v>
      </c>
    </row>
    <row r="7" spans="1:32" s="14" customFormat="1" ht="33" x14ac:dyDescent="0.25">
      <c r="A7" s="39" t="s">
        <v>159</v>
      </c>
      <c r="B7" s="45" t="s">
        <v>28</v>
      </c>
      <c r="C7" s="39"/>
      <c r="D7" s="45">
        <v>0</v>
      </c>
      <c r="E7" s="39">
        <v>60</v>
      </c>
      <c r="F7" s="45">
        <v>6.0000000000000001E-3</v>
      </c>
      <c r="G7" s="42"/>
      <c r="H7" s="16" t="s">
        <v>29</v>
      </c>
      <c r="I7" s="43">
        <v>5.9</v>
      </c>
      <c r="J7" s="47">
        <v>42872</v>
      </c>
      <c r="K7" s="39">
        <v>25</v>
      </c>
      <c r="L7" s="45">
        <v>0.3</v>
      </c>
      <c r="M7" s="42">
        <f>(7*75+2*150)/(7*75+2*150)</f>
        <v>1</v>
      </c>
      <c r="N7" s="16">
        <f t="shared" si="8"/>
        <v>0.5</v>
      </c>
      <c r="O7" s="18">
        <f t="shared" si="0"/>
        <v>24.96</v>
      </c>
      <c r="P7" s="19">
        <f t="shared" si="0"/>
        <v>9.48</v>
      </c>
      <c r="Q7" s="20">
        <f t="shared" si="0"/>
        <v>5.5600000000000005</v>
      </c>
      <c r="R7" s="21">
        <f t="shared" si="1"/>
        <v>60</v>
      </c>
      <c r="S7" s="18">
        <f t="shared" si="2"/>
        <v>62.4</v>
      </c>
      <c r="T7" s="19">
        <f t="shared" si="3"/>
        <v>23.7</v>
      </c>
      <c r="U7" s="20">
        <f t="shared" si="4"/>
        <v>13.9</v>
      </c>
      <c r="V7" s="17">
        <v>43102</v>
      </c>
      <c r="W7" s="17">
        <v>43102</v>
      </c>
      <c r="X7" s="2" t="s">
        <v>30</v>
      </c>
      <c r="Y7" s="11" t="s">
        <v>31</v>
      </c>
      <c r="Z7" s="18">
        <v>25.61</v>
      </c>
      <c r="AA7" s="19">
        <v>10.15</v>
      </c>
      <c r="AB7" s="20">
        <v>3.2300000000000004</v>
      </c>
      <c r="AC7" s="21">
        <v>61.01</v>
      </c>
      <c r="AD7" s="18">
        <f t="shared" si="5"/>
        <v>65.683508591946662</v>
      </c>
      <c r="AE7" s="19">
        <f t="shared" si="6"/>
        <v>26.032315978456019</v>
      </c>
      <c r="AF7" s="20">
        <f t="shared" si="7"/>
        <v>8.2841754295973349</v>
      </c>
    </row>
    <row r="8" spans="1:32" s="14" customFormat="1" ht="33" x14ac:dyDescent="0.25">
      <c r="A8" s="39" t="s">
        <v>160</v>
      </c>
      <c r="B8" s="45" t="s">
        <v>28</v>
      </c>
      <c r="C8" s="39"/>
      <c r="D8" s="45">
        <v>0</v>
      </c>
      <c r="E8" s="39">
        <v>60</v>
      </c>
      <c r="F8" s="45">
        <v>5.0000000000000001E-3</v>
      </c>
      <c r="G8" s="42"/>
      <c r="H8" s="16" t="s">
        <v>29</v>
      </c>
      <c r="I8" s="43">
        <v>5.9</v>
      </c>
      <c r="J8" s="47">
        <v>42873</v>
      </c>
      <c r="K8" s="39">
        <v>690</v>
      </c>
      <c r="L8" s="45">
        <v>0.3</v>
      </c>
      <c r="M8" s="42">
        <f>(7*75+2*150)/(7*75+2*150)</f>
        <v>1</v>
      </c>
      <c r="N8" s="16">
        <f t="shared" si="8"/>
        <v>0.5</v>
      </c>
      <c r="O8" s="18">
        <f t="shared" si="0"/>
        <v>24.96</v>
      </c>
      <c r="P8" s="19">
        <f t="shared" si="0"/>
        <v>9.48</v>
      </c>
      <c r="Q8" s="20">
        <f t="shared" si="0"/>
        <v>5.5600000000000005</v>
      </c>
      <c r="R8" s="21">
        <f t="shared" si="1"/>
        <v>60</v>
      </c>
      <c r="S8" s="18">
        <f t="shared" si="2"/>
        <v>62.4</v>
      </c>
      <c r="T8" s="19">
        <f t="shared" si="3"/>
        <v>23.7</v>
      </c>
      <c r="U8" s="20">
        <f t="shared" si="4"/>
        <v>13.9</v>
      </c>
      <c r="V8" s="17">
        <v>43102</v>
      </c>
      <c r="W8" s="17">
        <v>43102</v>
      </c>
      <c r="X8" s="2" t="s">
        <v>30</v>
      </c>
      <c r="Y8" s="11" t="s">
        <v>31</v>
      </c>
      <c r="Z8" s="18">
        <v>11.690000000000001</v>
      </c>
      <c r="AA8" s="19">
        <v>24.43</v>
      </c>
      <c r="AB8" s="20">
        <v>4.6399999999999997</v>
      </c>
      <c r="AC8" s="21">
        <v>59.24</v>
      </c>
      <c r="AD8" s="18">
        <f t="shared" si="5"/>
        <v>28.680078508341513</v>
      </c>
      <c r="AE8" s="19">
        <f t="shared" si="6"/>
        <v>59.936211972522074</v>
      </c>
      <c r="AF8" s="20">
        <f t="shared" si="7"/>
        <v>11.383709519136405</v>
      </c>
    </row>
    <row r="9" spans="1:32" s="14" customFormat="1" ht="33" x14ac:dyDescent="0.25">
      <c r="A9" s="39" t="s">
        <v>161</v>
      </c>
      <c r="B9" s="45" t="s">
        <v>28</v>
      </c>
      <c r="C9" s="39"/>
      <c r="D9" s="45">
        <v>0</v>
      </c>
      <c r="E9" s="39">
        <v>60</v>
      </c>
      <c r="F9" s="45">
        <v>6.0000000000000001E-3</v>
      </c>
      <c r="G9" s="42"/>
      <c r="H9" s="16" t="s">
        <v>29</v>
      </c>
      <c r="I9" s="43">
        <v>5.9</v>
      </c>
      <c r="J9" s="47">
        <v>42901</v>
      </c>
      <c r="K9" s="39">
        <v>25</v>
      </c>
      <c r="L9" s="45">
        <v>0.3</v>
      </c>
      <c r="M9" s="42">
        <f>20/80</f>
        <v>0.25</v>
      </c>
      <c r="N9" s="16">
        <f t="shared" si="8"/>
        <v>0.8</v>
      </c>
      <c r="O9" s="18">
        <f t="shared" si="0"/>
        <v>22.536000000000001</v>
      </c>
      <c r="P9" s="19">
        <f t="shared" si="0"/>
        <v>8.5680000000000014</v>
      </c>
      <c r="Q9" s="20">
        <f t="shared" si="0"/>
        <v>8.8960000000000008</v>
      </c>
      <c r="R9" s="21">
        <f t="shared" si="1"/>
        <v>60</v>
      </c>
      <c r="S9" s="18">
        <f t="shared" si="2"/>
        <v>56.340000000000011</v>
      </c>
      <c r="T9" s="19">
        <f t="shared" si="3"/>
        <v>21.420000000000005</v>
      </c>
      <c r="U9" s="20">
        <f t="shared" si="4"/>
        <v>22.240000000000002</v>
      </c>
      <c r="V9" s="17">
        <v>43102</v>
      </c>
      <c r="W9" s="17">
        <v>43102</v>
      </c>
      <c r="X9" s="2" t="s">
        <v>30</v>
      </c>
      <c r="Y9" s="11" t="s">
        <v>31</v>
      </c>
      <c r="Z9" s="18">
        <v>29.37</v>
      </c>
      <c r="AA9" s="19">
        <v>8.1</v>
      </c>
      <c r="AB9" s="20">
        <v>2.06</v>
      </c>
      <c r="AC9" s="21">
        <v>60.480000000000004</v>
      </c>
      <c r="AD9" s="18">
        <f t="shared" si="5"/>
        <v>74.29800151783455</v>
      </c>
      <c r="AE9" s="19">
        <f t="shared" si="6"/>
        <v>20.490766506450797</v>
      </c>
      <c r="AF9" s="20">
        <f t="shared" si="7"/>
        <v>5.2112319757146466</v>
      </c>
    </row>
    <row r="10" spans="1:32" s="14" customFormat="1" ht="33" x14ac:dyDescent="0.25">
      <c r="A10" s="38" t="s">
        <v>162</v>
      </c>
      <c r="B10" s="44" t="s">
        <v>28</v>
      </c>
      <c r="C10" s="38"/>
      <c r="D10" s="45">
        <v>0</v>
      </c>
      <c r="E10" s="39">
        <v>60</v>
      </c>
      <c r="F10" s="44">
        <v>5.4999999999999997E-3</v>
      </c>
      <c r="G10" s="40"/>
      <c r="H10" s="16" t="s">
        <v>29</v>
      </c>
      <c r="I10" s="43">
        <v>5.9</v>
      </c>
      <c r="J10" s="47">
        <v>42902</v>
      </c>
      <c r="K10" s="39">
        <v>25</v>
      </c>
      <c r="L10" s="45">
        <v>0.3</v>
      </c>
      <c r="M10" s="42">
        <f>80/40</f>
        <v>2</v>
      </c>
      <c r="N10" s="16">
        <f t="shared" si="8"/>
        <v>0.33333333333333331</v>
      </c>
      <c r="O10" s="18">
        <f t="shared" si="0"/>
        <v>26.306666666666668</v>
      </c>
      <c r="P10" s="19">
        <f t="shared" si="0"/>
        <v>9.9866666666666681</v>
      </c>
      <c r="Q10" s="20">
        <f t="shared" si="0"/>
        <v>3.706666666666667</v>
      </c>
      <c r="R10" s="21">
        <f t="shared" si="1"/>
        <v>60.000000000000007</v>
      </c>
      <c r="S10" s="18">
        <f t="shared" si="2"/>
        <v>65.76666666666668</v>
      </c>
      <c r="T10" s="19">
        <f t="shared" si="3"/>
        <v>24.966666666666672</v>
      </c>
      <c r="U10" s="20">
        <f t="shared" si="4"/>
        <v>9.2666666666666675</v>
      </c>
      <c r="V10" s="17">
        <v>43102</v>
      </c>
      <c r="W10" s="17">
        <v>43102</v>
      </c>
      <c r="X10" s="2" t="s">
        <v>30</v>
      </c>
      <c r="Y10" s="11" t="s">
        <v>31</v>
      </c>
      <c r="Z10" s="18">
        <v>29.270000000000003</v>
      </c>
      <c r="AA10" s="19">
        <v>9.5299999999999994</v>
      </c>
      <c r="AB10" s="20">
        <v>0.9900000000000001</v>
      </c>
      <c r="AC10" s="21">
        <v>60.209999999999994</v>
      </c>
      <c r="AD10" s="18">
        <f t="shared" si="5"/>
        <v>73.561196280472487</v>
      </c>
      <c r="AE10" s="19">
        <f t="shared" si="6"/>
        <v>23.95074139230962</v>
      </c>
      <c r="AF10" s="20">
        <f t="shared" si="7"/>
        <v>2.4880623272178939</v>
      </c>
    </row>
    <row r="11" spans="1:32" s="14" customFormat="1" ht="33" x14ac:dyDescent="0.25">
      <c r="A11" s="38" t="s">
        <v>163</v>
      </c>
      <c r="B11" s="44" t="s">
        <v>28</v>
      </c>
      <c r="C11" s="38"/>
      <c r="D11" s="45">
        <v>0</v>
      </c>
      <c r="E11" s="39">
        <v>60</v>
      </c>
      <c r="F11" s="44">
        <v>5.4999999999999997E-3</v>
      </c>
      <c r="G11" s="40"/>
      <c r="H11" s="16" t="s">
        <v>29</v>
      </c>
      <c r="I11" s="43">
        <v>5.9</v>
      </c>
      <c r="J11" s="47">
        <v>42902</v>
      </c>
      <c r="K11" s="39">
        <v>25</v>
      </c>
      <c r="L11" s="45">
        <v>0.3</v>
      </c>
      <c r="M11" s="42">
        <f>80/40</f>
        <v>2</v>
      </c>
      <c r="N11" s="16">
        <f t="shared" si="8"/>
        <v>0.33333333333333331</v>
      </c>
      <c r="O11" s="18">
        <f t="shared" si="0"/>
        <v>26.306666666666668</v>
      </c>
      <c r="P11" s="19">
        <f t="shared" si="0"/>
        <v>9.9866666666666681</v>
      </c>
      <c r="Q11" s="20">
        <f t="shared" si="0"/>
        <v>3.706666666666667</v>
      </c>
      <c r="R11" s="21">
        <f t="shared" si="1"/>
        <v>60.000000000000007</v>
      </c>
      <c r="S11" s="18">
        <f t="shared" si="2"/>
        <v>65.76666666666668</v>
      </c>
      <c r="T11" s="19">
        <f t="shared" si="3"/>
        <v>24.966666666666672</v>
      </c>
      <c r="U11" s="20">
        <f t="shared" si="4"/>
        <v>9.2666666666666675</v>
      </c>
      <c r="V11" s="17">
        <v>43102</v>
      </c>
      <c r="W11" s="17">
        <v>43102</v>
      </c>
      <c r="X11" s="2" t="s">
        <v>30</v>
      </c>
      <c r="Y11" s="11" t="s">
        <v>31</v>
      </c>
      <c r="Z11" s="18">
        <v>29.34</v>
      </c>
      <c r="AA11" s="19">
        <v>9.4700000000000006</v>
      </c>
      <c r="AB11" s="20">
        <v>1</v>
      </c>
      <c r="AC11" s="21">
        <v>60.18</v>
      </c>
      <c r="AD11" s="18">
        <f t="shared" si="5"/>
        <v>73.700075357950254</v>
      </c>
      <c r="AE11" s="19">
        <f t="shared" si="6"/>
        <v>23.787992966591311</v>
      </c>
      <c r="AF11" s="20">
        <f t="shared" si="7"/>
        <v>2.5119316754584275</v>
      </c>
    </row>
    <row r="12" spans="1:32" ht="33" x14ac:dyDescent="0.25">
      <c r="A12" s="39" t="s">
        <v>164</v>
      </c>
      <c r="B12" s="45" t="s">
        <v>28</v>
      </c>
      <c r="C12" s="39"/>
      <c r="D12" s="45">
        <v>0</v>
      </c>
      <c r="E12" s="39">
        <v>80</v>
      </c>
      <c r="F12" s="45">
        <v>5.0000000000000001E-3</v>
      </c>
      <c r="G12" s="42"/>
      <c r="H12" s="16" t="s">
        <v>29</v>
      </c>
      <c r="I12" s="43">
        <v>5.9</v>
      </c>
      <c r="J12" s="47">
        <v>42958</v>
      </c>
      <c r="K12" s="39">
        <v>25</v>
      </c>
      <c r="L12" s="45">
        <v>0.3</v>
      </c>
      <c r="M12" s="42">
        <f>80/20</f>
        <v>4</v>
      </c>
      <c r="N12" s="16">
        <f t="shared" si="8"/>
        <v>0.2</v>
      </c>
      <c r="O12" s="18">
        <f t="shared" si="0"/>
        <v>27.384000000000004</v>
      </c>
      <c r="P12" s="19">
        <f t="shared" si="0"/>
        <v>10.392000000000003</v>
      </c>
      <c r="Q12" s="20">
        <f t="shared" si="0"/>
        <v>2.2240000000000002</v>
      </c>
      <c r="R12" s="21">
        <f t="shared" si="1"/>
        <v>60</v>
      </c>
      <c r="S12" s="18">
        <f t="shared" si="2"/>
        <v>68.459999999999994</v>
      </c>
      <c r="T12" s="19">
        <f t="shared" si="3"/>
        <v>25.979999999999997</v>
      </c>
      <c r="U12" s="20">
        <f t="shared" si="4"/>
        <v>5.5599999999999987</v>
      </c>
      <c r="V12" s="17">
        <v>43102</v>
      </c>
      <c r="W12" s="17">
        <v>43102</v>
      </c>
      <c r="X12" s="2" t="s">
        <v>30</v>
      </c>
      <c r="Y12" s="11" t="s">
        <v>31</v>
      </c>
      <c r="Z12" s="18">
        <v>28.970000000000002</v>
      </c>
      <c r="AA12" s="19">
        <v>9.5299999999999994</v>
      </c>
      <c r="AB12" s="20">
        <v>0.91</v>
      </c>
      <c r="AC12" s="21">
        <v>60.589999999999996</v>
      </c>
      <c r="AD12" s="18">
        <f t="shared" si="5"/>
        <v>73.509261608728764</v>
      </c>
      <c r="AE12" s="19">
        <f t="shared" si="6"/>
        <v>24.181679776706417</v>
      </c>
      <c r="AF12" s="20">
        <f t="shared" si="7"/>
        <v>2.3090586145648313</v>
      </c>
    </row>
    <row r="13" spans="1:32" ht="33" x14ac:dyDescent="0.25">
      <c r="A13" s="39" t="s">
        <v>175</v>
      </c>
      <c r="B13" s="45" t="s">
        <v>28</v>
      </c>
      <c r="C13" s="39"/>
      <c r="D13" s="45">
        <v>0</v>
      </c>
      <c r="E13" s="39">
        <v>75</v>
      </c>
      <c r="F13" s="45">
        <v>5.0000000000000001E-3</v>
      </c>
      <c r="G13" s="42"/>
      <c r="H13" s="16" t="s">
        <v>29</v>
      </c>
      <c r="I13" s="43">
        <v>5.9</v>
      </c>
      <c r="J13" s="47">
        <v>42958</v>
      </c>
      <c r="K13" s="39">
        <v>25</v>
      </c>
      <c r="L13" s="45">
        <v>0.3</v>
      </c>
      <c r="M13" s="42">
        <f>20/80</f>
        <v>0.25</v>
      </c>
      <c r="N13" s="16">
        <f t="shared" si="8"/>
        <v>0.8</v>
      </c>
      <c r="O13" s="18">
        <f t="shared" si="0"/>
        <v>22.536000000000001</v>
      </c>
      <c r="P13" s="19">
        <f t="shared" si="0"/>
        <v>8.5680000000000014</v>
      </c>
      <c r="Q13" s="20">
        <f t="shared" si="0"/>
        <v>8.8960000000000008</v>
      </c>
      <c r="R13" s="21">
        <f t="shared" si="1"/>
        <v>60</v>
      </c>
      <c r="S13" s="18">
        <f t="shared" si="2"/>
        <v>56.340000000000011</v>
      </c>
      <c r="T13" s="19">
        <f t="shared" si="3"/>
        <v>21.420000000000005</v>
      </c>
      <c r="U13" s="20">
        <f t="shared" si="4"/>
        <v>22.240000000000002</v>
      </c>
      <c r="V13" s="17">
        <v>43102</v>
      </c>
      <c r="W13" s="17">
        <v>43102</v>
      </c>
      <c r="X13" s="2" t="s">
        <v>30</v>
      </c>
      <c r="Y13" s="11" t="s">
        <v>31</v>
      </c>
      <c r="Z13" s="18">
        <v>27.58</v>
      </c>
      <c r="AA13" s="19">
        <v>9.34</v>
      </c>
      <c r="AB13" s="20">
        <v>3.1199999999999997</v>
      </c>
      <c r="AC13" s="21">
        <v>59.96</v>
      </c>
      <c r="AD13" s="18">
        <f t="shared" si="5"/>
        <v>68.88111888111888</v>
      </c>
      <c r="AE13" s="19">
        <f t="shared" si="6"/>
        <v>23.326673326673326</v>
      </c>
      <c r="AF13" s="20">
        <f t="shared" si="7"/>
        <v>7.7922077922077913</v>
      </c>
    </row>
    <row r="14" spans="1:32" ht="33" x14ac:dyDescent="0.25">
      <c r="A14" s="39" t="s">
        <v>166</v>
      </c>
      <c r="B14" s="45"/>
      <c r="C14" s="39" t="s">
        <v>32</v>
      </c>
      <c r="D14" s="45">
        <v>0</v>
      </c>
      <c r="E14" s="39" t="s">
        <v>33</v>
      </c>
      <c r="F14" s="45">
        <v>10</v>
      </c>
      <c r="G14" s="42"/>
      <c r="H14" s="16" t="s">
        <v>29</v>
      </c>
      <c r="I14" s="43">
        <v>5.9</v>
      </c>
      <c r="J14" s="47">
        <v>43040</v>
      </c>
      <c r="K14" s="39">
        <v>690</v>
      </c>
      <c r="L14" s="45"/>
      <c r="M14" s="42"/>
      <c r="N14" s="16" t="str">
        <f t="shared" si="8"/>
        <v/>
      </c>
      <c r="O14" s="18">
        <f t="shared" ref="O14:R26" si="9">O$77</f>
        <v>17.391304347826086</v>
      </c>
      <c r="P14" s="19">
        <f t="shared" si="9"/>
        <v>5.2173913043478262</v>
      </c>
      <c r="Q14" s="20">
        <f t="shared" si="9"/>
        <v>17.391304347826086</v>
      </c>
      <c r="R14" s="21">
        <f t="shared" si="9"/>
        <v>60</v>
      </c>
      <c r="S14" s="18">
        <f t="shared" si="2"/>
        <v>43.478260869565212</v>
      </c>
      <c r="T14" s="19">
        <f t="shared" si="3"/>
        <v>13.043478260869566</v>
      </c>
      <c r="U14" s="20">
        <f t="shared" si="4"/>
        <v>43.478260869565212</v>
      </c>
      <c r="V14" s="17">
        <v>43102</v>
      </c>
      <c r="W14" s="17">
        <v>43102</v>
      </c>
      <c r="X14" s="2" t="s">
        <v>30</v>
      </c>
      <c r="Y14" s="11" t="s">
        <v>31</v>
      </c>
      <c r="Z14" s="18">
        <v>2.17</v>
      </c>
      <c r="AA14" s="19">
        <v>21.740000000000002</v>
      </c>
      <c r="AB14" s="20">
        <v>16.309999999999999</v>
      </c>
      <c r="AC14" s="21">
        <v>59.77</v>
      </c>
      <c r="AD14" s="18">
        <f t="shared" si="5"/>
        <v>5.3953257086026856</v>
      </c>
      <c r="AE14" s="19">
        <f t="shared" si="6"/>
        <v>54.052710094480361</v>
      </c>
      <c r="AF14" s="20">
        <f t="shared" si="7"/>
        <v>40.551964196916956</v>
      </c>
    </row>
    <row r="15" spans="1:32" ht="33" x14ac:dyDescent="0.25">
      <c r="A15" s="39" t="s">
        <v>167</v>
      </c>
      <c r="B15" s="45"/>
      <c r="C15" s="39" t="s">
        <v>32</v>
      </c>
      <c r="D15" s="45">
        <v>0</v>
      </c>
      <c r="E15" s="39">
        <v>120</v>
      </c>
      <c r="F15" s="45">
        <v>10</v>
      </c>
      <c r="G15" s="42"/>
      <c r="H15" s="16" t="s">
        <v>29</v>
      </c>
      <c r="I15" s="43">
        <v>5.9</v>
      </c>
      <c r="J15" s="47">
        <v>43067</v>
      </c>
      <c r="K15" s="39">
        <v>600</v>
      </c>
      <c r="L15" s="45">
        <v>22</v>
      </c>
      <c r="M15" s="42"/>
      <c r="N15" s="16" t="str">
        <f t="shared" si="8"/>
        <v/>
      </c>
      <c r="O15" s="18">
        <f t="shared" si="9"/>
        <v>17.391304347826086</v>
      </c>
      <c r="P15" s="19">
        <f t="shared" si="9"/>
        <v>5.2173913043478262</v>
      </c>
      <c r="Q15" s="20">
        <f t="shared" si="9"/>
        <v>17.391304347826086</v>
      </c>
      <c r="R15" s="21">
        <f t="shared" si="9"/>
        <v>60</v>
      </c>
      <c r="S15" s="18">
        <f t="shared" si="2"/>
        <v>43.478260869565212</v>
      </c>
      <c r="T15" s="19">
        <f t="shared" si="3"/>
        <v>13.043478260869566</v>
      </c>
      <c r="U15" s="20">
        <f t="shared" si="4"/>
        <v>43.478260869565212</v>
      </c>
      <c r="V15" s="17">
        <v>43102</v>
      </c>
      <c r="W15" s="17">
        <v>43102</v>
      </c>
      <c r="X15" s="2" t="s">
        <v>30</v>
      </c>
      <c r="Y15" s="11" t="s">
        <v>31</v>
      </c>
      <c r="Z15" s="18">
        <v>13.66</v>
      </c>
      <c r="AA15" s="19">
        <v>17.169999999999998</v>
      </c>
      <c r="AB15" s="20">
        <v>12.01</v>
      </c>
      <c r="AC15" s="21">
        <v>57.16</v>
      </c>
      <c r="AD15" s="18">
        <f t="shared" si="5"/>
        <v>31.886087768440714</v>
      </c>
      <c r="AE15" s="19">
        <f t="shared" si="6"/>
        <v>40.079365079365076</v>
      </c>
      <c r="AF15" s="20">
        <f t="shared" si="7"/>
        <v>28.034547152194214</v>
      </c>
    </row>
    <row r="16" spans="1:32" ht="33" x14ac:dyDescent="0.25">
      <c r="A16" s="39" t="s">
        <v>168</v>
      </c>
      <c r="B16" s="45"/>
      <c r="C16" s="39" t="s">
        <v>32</v>
      </c>
      <c r="D16" s="45">
        <v>0</v>
      </c>
      <c r="E16" s="39" t="s">
        <v>33</v>
      </c>
      <c r="F16" s="45">
        <v>10</v>
      </c>
      <c r="G16" s="42"/>
      <c r="H16" s="16" t="s">
        <v>29</v>
      </c>
      <c r="I16" s="43">
        <v>5.9</v>
      </c>
      <c r="J16" s="47">
        <v>43067</v>
      </c>
      <c r="K16" s="39">
        <v>550</v>
      </c>
      <c r="L16" s="45">
        <v>22</v>
      </c>
      <c r="M16" s="42"/>
      <c r="N16" s="16" t="str">
        <f t="shared" si="8"/>
        <v/>
      </c>
      <c r="O16" s="18">
        <f t="shared" si="9"/>
        <v>17.391304347826086</v>
      </c>
      <c r="P16" s="19">
        <f t="shared" si="9"/>
        <v>5.2173913043478262</v>
      </c>
      <c r="Q16" s="20">
        <f t="shared" si="9"/>
        <v>17.391304347826086</v>
      </c>
      <c r="R16" s="21">
        <f t="shared" si="9"/>
        <v>60</v>
      </c>
      <c r="S16" s="18">
        <f t="shared" si="2"/>
        <v>43.478260869565212</v>
      </c>
      <c r="T16" s="19">
        <f t="shared" si="3"/>
        <v>13.043478260869566</v>
      </c>
      <c r="U16" s="20">
        <f t="shared" si="4"/>
        <v>43.478260869565212</v>
      </c>
      <c r="V16" s="17">
        <v>43102</v>
      </c>
      <c r="W16" s="17">
        <v>43102</v>
      </c>
      <c r="X16" s="2" t="s">
        <v>30</v>
      </c>
      <c r="Y16" s="11" t="s">
        <v>31</v>
      </c>
      <c r="Z16" s="18">
        <v>9.93</v>
      </c>
      <c r="AA16" s="19">
        <v>16.23</v>
      </c>
      <c r="AB16" s="20">
        <v>13.139999999999999</v>
      </c>
      <c r="AC16" s="21">
        <v>60.699999999999996</v>
      </c>
      <c r="AD16" s="18">
        <f t="shared" si="5"/>
        <v>25.267175572519086</v>
      </c>
      <c r="AE16" s="19">
        <f t="shared" si="6"/>
        <v>41.297709923664122</v>
      </c>
      <c r="AF16" s="20">
        <f t="shared" si="7"/>
        <v>33.435114503816791</v>
      </c>
    </row>
    <row r="17" spans="1:32" ht="33" x14ac:dyDescent="0.25">
      <c r="A17" s="39" t="s">
        <v>34</v>
      </c>
      <c r="B17" s="45"/>
      <c r="C17" s="39" t="s">
        <v>32</v>
      </c>
      <c r="D17" s="45">
        <v>0</v>
      </c>
      <c r="E17" s="39" t="s">
        <v>33</v>
      </c>
      <c r="F17" s="45">
        <v>10</v>
      </c>
      <c r="G17" s="42"/>
      <c r="H17" s="16" t="s">
        <v>29</v>
      </c>
      <c r="I17" s="43">
        <v>5.9</v>
      </c>
      <c r="J17" s="47">
        <v>43040</v>
      </c>
      <c r="K17" s="39">
        <v>300</v>
      </c>
      <c r="L17" s="45"/>
      <c r="M17" s="42"/>
      <c r="N17" s="16" t="str">
        <f t="shared" si="8"/>
        <v/>
      </c>
      <c r="O17" s="18">
        <f t="shared" si="9"/>
        <v>17.391304347826086</v>
      </c>
      <c r="P17" s="19">
        <f t="shared" si="9"/>
        <v>5.2173913043478262</v>
      </c>
      <c r="Q17" s="20">
        <f t="shared" si="9"/>
        <v>17.391304347826086</v>
      </c>
      <c r="R17" s="21">
        <f t="shared" si="9"/>
        <v>60</v>
      </c>
      <c r="S17" s="18">
        <f t="shared" si="2"/>
        <v>43.478260869565212</v>
      </c>
      <c r="T17" s="19">
        <f t="shared" si="3"/>
        <v>13.043478260869566</v>
      </c>
      <c r="U17" s="20">
        <f t="shared" si="4"/>
        <v>43.478260869565212</v>
      </c>
      <c r="V17" s="17">
        <v>43102</v>
      </c>
      <c r="W17" s="17">
        <v>43102</v>
      </c>
      <c r="X17" s="2" t="s">
        <v>30</v>
      </c>
      <c r="Y17" s="11" t="s">
        <v>31</v>
      </c>
      <c r="Z17" s="18">
        <v>18.8</v>
      </c>
      <c r="AA17" s="19">
        <v>12.44</v>
      </c>
      <c r="AB17" s="20">
        <v>7.95</v>
      </c>
      <c r="AC17" s="21">
        <v>60.809999999999995</v>
      </c>
      <c r="AD17" s="18">
        <f t="shared" si="5"/>
        <v>47.971421280939012</v>
      </c>
      <c r="AE17" s="19">
        <f t="shared" si="6"/>
        <v>31.742791528451132</v>
      </c>
      <c r="AF17" s="20">
        <f t="shared" si="7"/>
        <v>20.285787190609845</v>
      </c>
    </row>
    <row r="18" spans="1:32" ht="33" x14ac:dyDescent="0.25">
      <c r="A18" s="39" t="s">
        <v>35</v>
      </c>
      <c r="B18" s="45"/>
      <c r="C18" s="39" t="s">
        <v>32</v>
      </c>
      <c r="D18" s="45">
        <v>0</v>
      </c>
      <c r="E18" s="39">
        <v>15</v>
      </c>
      <c r="F18" s="45">
        <v>10</v>
      </c>
      <c r="G18" s="42">
        <f>ROUND(62*14.3/17.3/10/2.1,2)</f>
        <v>2.44</v>
      </c>
      <c r="H18" s="16" t="s">
        <v>29</v>
      </c>
      <c r="I18" s="43">
        <v>5.9</v>
      </c>
      <c r="J18" s="47">
        <v>43166</v>
      </c>
      <c r="K18" s="39">
        <v>25</v>
      </c>
      <c r="L18" s="45">
        <v>15</v>
      </c>
      <c r="M18" s="42">
        <f>80/20</f>
        <v>4</v>
      </c>
      <c r="N18" s="16">
        <f t="shared" si="8"/>
        <v>0.2</v>
      </c>
      <c r="O18" s="18">
        <f t="shared" si="9"/>
        <v>17.391304347826086</v>
      </c>
      <c r="P18" s="19">
        <f t="shared" si="9"/>
        <v>5.2173913043478262</v>
      </c>
      <c r="Q18" s="20">
        <f t="shared" si="9"/>
        <v>17.391304347826086</v>
      </c>
      <c r="R18" s="21">
        <f t="shared" si="9"/>
        <v>60</v>
      </c>
      <c r="S18" s="18">
        <f t="shared" si="2"/>
        <v>43.478260869565212</v>
      </c>
      <c r="T18" s="19">
        <f t="shared" si="3"/>
        <v>13.043478260869566</v>
      </c>
      <c r="U18" s="20">
        <f t="shared" si="4"/>
        <v>43.478260869565212</v>
      </c>
      <c r="V18" s="17">
        <v>43102</v>
      </c>
      <c r="W18" s="17">
        <v>43102</v>
      </c>
      <c r="X18" s="2" t="s">
        <v>30</v>
      </c>
      <c r="Y18" s="11" t="s">
        <v>31</v>
      </c>
      <c r="Z18" s="18">
        <f>100*0.8677/3</f>
        <v>28.923333333333332</v>
      </c>
      <c r="AA18" s="19">
        <f>100*0.2373/3</f>
        <v>7.91</v>
      </c>
      <c r="AB18" s="20">
        <f>100*0.1002/3</f>
        <v>3.34</v>
      </c>
      <c r="AC18" s="21">
        <f>100*1.7948/3</f>
        <v>59.826666666666661</v>
      </c>
      <c r="AD18" s="18">
        <f t="shared" si="5"/>
        <v>71.996349153667438</v>
      </c>
      <c r="AE18" s="19">
        <f t="shared" si="6"/>
        <v>19.689678061732494</v>
      </c>
      <c r="AF18" s="20">
        <f t="shared" si="7"/>
        <v>8.3139727846000664</v>
      </c>
    </row>
    <row r="19" spans="1:32" ht="33" x14ac:dyDescent="0.25">
      <c r="A19" s="39" t="s">
        <v>36</v>
      </c>
      <c r="B19" s="45"/>
      <c r="C19" s="39" t="s">
        <v>32</v>
      </c>
      <c r="D19" s="45">
        <v>15</v>
      </c>
      <c r="E19" s="39">
        <v>15</v>
      </c>
      <c r="F19" s="45">
        <v>10</v>
      </c>
      <c r="G19" s="42">
        <v>2.44</v>
      </c>
      <c r="H19" s="16" t="s">
        <v>29</v>
      </c>
      <c r="I19" s="43">
        <v>5.9</v>
      </c>
      <c r="J19" s="47">
        <v>43166</v>
      </c>
      <c r="K19" s="39">
        <v>25</v>
      </c>
      <c r="L19" s="45">
        <v>15</v>
      </c>
      <c r="M19" s="42"/>
      <c r="N19" s="16" t="str">
        <f t="shared" si="8"/>
        <v/>
      </c>
      <c r="O19" s="18">
        <f t="shared" si="9"/>
        <v>17.391304347826086</v>
      </c>
      <c r="P19" s="19">
        <f t="shared" si="9"/>
        <v>5.2173913043478262</v>
      </c>
      <c r="Q19" s="20">
        <f t="shared" si="9"/>
        <v>17.391304347826086</v>
      </c>
      <c r="R19" s="21">
        <f t="shared" si="9"/>
        <v>60</v>
      </c>
      <c r="S19" s="18">
        <f t="shared" si="2"/>
        <v>43.478260869565212</v>
      </c>
      <c r="T19" s="19">
        <f t="shared" si="3"/>
        <v>13.043478260869566</v>
      </c>
      <c r="U19" s="20">
        <f t="shared" si="4"/>
        <v>43.478260869565212</v>
      </c>
      <c r="V19" s="17">
        <v>43102</v>
      </c>
      <c r="W19" s="17">
        <v>43102</v>
      </c>
      <c r="X19" s="2" t="s">
        <v>30</v>
      </c>
      <c r="Y19" s="11" t="s">
        <v>31</v>
      </c>
      <c r="Z19" s="18">
        <f>100*0.7745/3</f>
        <v>25.816666666666666</v>
      </c>
      <c r="AA19" s="19">
        <f>100*0.298/3</f>
        <v>9.9333333333333318</v>
      </c>
      <c r="AB19" s="20">
        <f>100*0.1093/3</f>
        <v>3.6433333333333331</v>
      </c>
      <c r="AC19" s="21">
        <f>100*1.818/3</f>
        <v>60.6</v>
      </c>
      <c r="AD19" s="18">
        <f t="shared" si="5"/>
        <v>65.53562362497884</v>
      </c>
      <c r="AE19" s="19">
        <f t="shared" si="6"/>
        <v>25.215772550346927</v>
      </c>
      <c r="AF19" s="20">
        <f t="shared" si="7"/>
        <v>9.248603824674225</v>
      </c>
    </row>
    <row r="20" spans="1:32" ht="33" x14ac:dyDescent="0.25">
      <c r="A20" s="39" t="s">
        <v>37</v>
      </c>
      <c r="B20" s="45"/>
      <c r="C20" s="39" t="s">
        <v>32</v>
      </c>
      <c r="D20" s="45">
        <v>30</v>
      </c>
      <c r="E20" s="39">
        <v>15</v>
      </c>
      <c r="F20" s="45">
        <v>10</v>
      </c>
      <c r="G20" s="42">
        <v>2.41</v>
      </c>
      <c r="H20" s="16" t="s">
        <v>29</v>
      </c>
      <c r="I20" s="43">
        <v>5.9</v>
      </c>
      <c r="J20" s="47">
        <v>43166</v>
      </c>
      <c r="K20" s="39">
        <v>25</v>
      </c>
      <c r="L20" s="45">
        <v>15</v>
      </c>
      <c r="M20" s="42"/>
      <c r="N20" s="16" t="str">
        <f t="shared" si="8"/>
        <v/>
      </c>
      <c r="O20" s="18">
        <f t="shared" si="9"/>
        <v>17.391304347826086</v>
      </c>
      <c r="P20" s="19">
        <f t="shared" si="9"/>
        <v>5.2173913043478262</v>
      </c>
      <c r="Q20" s="20">
        <f t="shared" si="9"/>
        <v>17.391304347826086</v>
      </c>
      <c r="R20" s="21">
        <f t="shared" si="9"/>
        <v>60</v>
      </c>
      <c r="S20" s="18">
        <f t="shared" si="2"/>
        <v>43.478260869565212</v>
      </c>
      <c r="T20" s="19">
        <f t="shared" si="3"/>
        <v>13.043478260869566</v>
      </c>
      <c r="U20" s="20">
        <f t="shared" si="4"/>
        <v>43.478260869565212</v>
      </c>
      <c r="V20" s="17">
        <v>43102</v>
      </c>
      <c r="W20" s="17">
        <v>43102</v>
      </c>
      <c r="X20" s="2" t="s">
        <v>30</v>
      </c>
      <c r="Y20" s="11" t="s">
        <v>31</v>
      </c>
      <c r="Z20" s="18">
        <f>100*0.7394/3</f>
        <v>24.646666666666665</v>
      </c>
      <c r="AA20" s="19">
        <f>100*0.3355/3</f>
        <v>11.183333333333335</v>
      </c>
      <c r="AB20" s="20">
        <f>100*0.1329/3</f>
        <v>4.43</v>
      </c>
      <c r="AC20" s="21">
        <f>100*1.7921/3</f>
        <v>59.736666666666672</v>
      </c>
      <c r="AD20" s="18">
        <f t="shared" si="5"/>
        <v>61.218744825302203</v>
      </c>
      <c r="AE20" s="19">
        <f t="shared" si="6"/>
        <v>27.777777777777782</v>
      </c>
      <c r="AF20" s="20">
        <f t="shared" si="7"/>
        <v>11.003477396920021</v>
      </c>
    </row>
    <row r="21" spans="1:32" ht="33" x14ac:dyDescent="0.25">
      <c r="A21" s="39" t="s">
        <v>38</v>
      </c>
      <c r="B21" s="45"/>
      <c r="C21" s="39" t="s">
        <v>32</v>
      </c>
      <c r="D21" s="45">
        <v>45</v>
      </c>
      <c r="E21" s="39">
        <v>15</v>
      </c>
      <c r="F21" s="45">
        <v>0</v>
      </c>
      <c r="G21" s="42">
        <v>2.37</v>
      </c>
      <c r="H21" s="16" t="s">
        <v>29</v>
      </c>
      <c r="I21" s="43">
        <v>5.9</v>
      </c>
      <c r="J21" s="47">
        <v>43167</v>
      </c>
      <c r="K21" s="39">
        <v>25</v>
      </c>
      <c r="L21" s="45">
        <v>15</v>
      </c>
      <c r="M21" s="42"/>
      <c r="N21" s="16" t="str">
        <f t="shared" si="8"/>
        <v/>
      </c>
      <c r="O21" s="18">
        <f t="shared" si="9"/>
        <v>17.391304347826086</v>
      </c>
      <c r="P21" s="19">
        <f t="shared" si="9"/>
        <v>5.2173913043478262</v>
      </c>
      <c r="Q21" s="20">
        <f t="shared" si="9"/>
        <v>17.391304347826086</v>
      </c>
      <c r="R21" s="21">
        <f t="shared" si="9"/>
        <v>60</v>
      </c>
      <c r="S21" s="18">
        <f t="shared" si="2"/>
        <v>43.478260869565212</v>
      </c>
      <c r="T21" s="19">
        <f t="shared" si="3"/>
        <v>13.043478260869566</v>
      </c>
      <c r="U21" s="20">
        <f t="shared" si="4"/>
        <v>43.478260869565212</v>
      </c>
      <c r="V21" s="17">
        <v>43102</v>
      </c>
      <c r="W21" s="17">
        <v>43102</v>
      </c>
      <c r="X21" s="2" t="s">
        <v>30</v>
      </c>
      <c r="Y21" s="11" t="s">
        <v>31</v>
      </c>
      <c r="Z21" s="18">
        <f>100*0.6254/3</f>
        <v>20.846666666666664</v>
      </c>
      <c r="AA21" s="19">
        <f>100*0.3648/3</f>
        <v>12.160000000000002</v>
      </c>
      <c r="AB21" s="20">
        <f>100*0.1854/3</f>
        <v>6.18</v>
      </c>
      <c r="AC21" s="21">
        <f>100*1.8246/3</f>
        <v>60.82</v>
      </c>
      <c r="AD21" s="18">
        <f t="shared" si="5"/>
        <v>53.198366791425649</v>
      </c>
      <c r="AE21" s="19">
        <f t="shared" si="6"/>
        <v>31.030962912555296</v>
      </c>
      <c r="AF21" s="20">
        <f t="shared" si="7"/>
        <v>15.770670296019054</v>
      </c>
    </row>
    <row r="22" spans="1:32" ht="33" x14ac:dyDescent="0.25">
      <c r="A22" s="39" t="s">
        <v>39</v>
      </c>
      <c r="B22" s="45"/>
      <c r="C22" s="39" t="s">
        <v>32</v>
      </c>
      <c r="D22" s="45">
        <v>30</v>
      </c>
      <c r="E22" s="39">
        <v>15</v>
      </c>
      <c r="F22" s="45">
        <v>10</v>
      </c>
      <c r="G22" s="42">
        <v>1.2857142857142856</v>
      </c>
      <c r="H22" s="16" t="s">
        <v>29</v>
      </c>
      <c r="I22" s="43">
        <v>5.9</v>
      </c>
      <c r="J22" s="47">
        <v>43167</v>
      </c>
      <c r="K22" s="39">
        <v>25</v>
      </c>
      <c r="L22" s="45">
        <v>15</v>
      </c>
      <c r="M22" s="42"/>
      <c r="N22" s="16" t="str">
        <f t="shared" si="8"/>
        <v/>
      </c>
      <c r="O22" s="18">
        <f t="shared" si="9"/>
        <v>17.391304347826086</v>
      </c>
      <c r="P22" s="19">
        <f t="shared" si="9"/>
        <v>5.2173913043478262</v>
      </c>
      <c r="Q22" s="20">
        <f t="shared" si="9"/>
        <v>17.391304347826086</v>
      </c>
      <c r="R22" s="21">
        <f t="shared" si="9"/>
        <v>60</v>
      </c>
      <c r="S22" s="18">
        <f t="shared" si="2"/>
        <v>43.478260869565212</v>
      </c>
      <c r="T22" s="19">
        <f t="shared" si="3"/>
        <v>13.043478260869566</v>
      </c>
      <c r="U22" s="20">
        <f t="shared" si="4"/>
        <v>43.478260869565212</v>
      </c>
      <c r="V22" s="17">
        <v>43102</v>
      </c>
      <c r="W22" s="17">
        <v>43102</v>
      </c>
      <c r="X22" s="2" t="s">
        <v>30</v>
      </c>
      <c r="Y22" s="11" t="s">
        <v>31</v>
      </c>
      <c r="Z22" s="18">
        <f>100*0.8079/3</f>
        <v>26.929999999999996</v>
      </c>
      <c r="AA22" s="19">
        <f>100*0.25/3</f>
        <v>8.3333333333333339</v>
      </c>
      <c r="AB22" s="20">
        <f>100*0.0956/3</f>
        <v>3.186666666666667</v>
      </c>
      <c r="AC22" s="21">
        <f>100*1.8467/3</f>
        <v>61.556666666666665</v>
      </c>
      <c r="AD22" s="18">
        <f t="shared" si="5"/>
        <v>70.039011703511051</v>
      </c>
      <c r="AE22" s="19">
        <f t="shared" si="6"/>
        <v>21.673168617251847</v>
      </c>
      <c r="AF22" s="20">
        <f t="shared" si="7"/>
        <v>8.2878196792371064</v>
      </c>
    </row>
    <row r="23" spans="1:32" ht="33" x14ac:dyDescent="0.25">
      <c r="A23" s="39" t="s">
        <v>40</v>
      </c>
      <c r="B23" s="45"/>
      <c r="C23" s="39" t="s">
        <v>32</v>
      </c>
      <c r="D23" s="45">
        <v>30</v>
      </c>
      <c r="E23" s="39">
        <v>15</v>
      </c>
      <c r="F23" s="45">
        <v>10</v>
      </c>
      <c r="G23" s="42">
        <v>4.1657142857142855</v>
      </c>
      <c r="H23" s="16" t="s">
        <v>29</v>
      </c>
      <c r="I23" s="43">
        <v>5.9</v>
      </c>
      <c r="J23" s="47">
        <v>43167</v>
      </c>
      <c r="K23" s="39">
        <v>25</v>
      </c>
      <c r="L23" s="45">
        <v>15</v>
      </c>
      <c r="M23" s="42"/>
      <c r="N23" s="16" t="str">
        <f t="shared" si="8"/>
        <v/>
      </c>
      <c r="O23" s="18">
        <f t="shared" si="9"/>
        <v>17.391304347826086</v>
      </c>
      <c r="P23" s="19">
        <f t="shared" si="9"/>
        <v>5.2173913043478262</v>
      </c>
      <c r="Q23" s="20">
        <f t="shared" si="9"/>
        <v>17.391304347826086</v>
      </c>
      <c r="R23" s="21">
        <f t="shared" si="9"/>
        <v>60</v>
      </c>
      <c r="S23" s="18">
        <f t="shared" si="2"/>
        <v>43.478260869565212</v>
      </c>
      <c r="T23" s="19">
        <f t="shared" si="3"/>
        <v>13.043478260869566</v>
      </c>
      <c r="U23" s="20">
        <f t="shared" si="4"/>
        <v>43.478260869565212</v>
      </c>
      <c r="V23" s="17">
        <v>43102</v>
      </c>
      <c r="W23" s="17">
        <v>43102</v>
      </c>
      <c r="X23" s="2" t="s">
        <v>30</v>
      </c>
      <c r="Y23" s="11" t="s">
        <v>31</v>
      </c>
      <c r="Z23" s="18">
        <f>100*0.7466/3</f>
        <v>24.88666666666667</v>
      </c>
      <c r="AA23" s="19">
        <f>100*0.3295/3</f>
        <v>10.983333333333334</v>
      </c>
      <c r="AB23" s="20">
        <f>100*0.1444/3</f>
        <v>4.8133333333333335</v>
      </c>
      <c r="AC23" s="21">
        <f>100*1.7793/3</f>
        <v>59.31</v>
      </c>
      <c r="AD23" s="18">
        <f t="shared" si="5"/>
        <v>61.1716509627202</v>
      </c>
      <c r="AE23" s="19">
        <f t="shared" si="6"/>
        <v>26.997132322818519</v>
      </c>
      <c r="AF23" s="20">
        <f t="shared" si="7"/>
        <v>11.831216714461286</v>
      </c>
    </row>
    <row r="24" spans="1:32" ht="33" x14ac:dyDescent="0.25">
      <c r="A24" s="39" t="s">
        <v>41</v>
      </c>
      <c r="B24" s="45"/>
      <c r="C24" s="39" t="s">
        <v>32</v>
      </c>
      <c r="D24" s="45">
        <v>30</v>
      </c>
      <c r="E24" s="39">
        <v>15</v>
      </c>
      <c r="F24" s="45">
        <v>10</v>
      </c>
      <c r="G24" s="42">
        <v>3.0857142857142854</v>
      </c>
      <c r="H24" s="16" t="s">
        <v>29</v>
      </c>
      <c r="I24" s="43">
        <v>5.9</v>
      </c>
      <c r="J24" s="47">
        <v>43167</v>
      </c>
      <c r="K24" s="39">
        <v>25</v>
      </c>
      <c r="L24" s="45">
        <v>15</v>
      </c>
      <c r="M24" s="42"/>
      <c r="N24" s="16" t="str">
        <f t="shared" si="8"/>
        <v/>
      </c>
      <c r="O24" s="18">
        <f t="shared" si="9"/>
        <v>17.391304347826086</v>
      </c>
      <c r="P24" s="19">
        <f t="shared" si="9"/>
        <v>5.2173913043478262</v>
      </c>
      <c r="Q24" s="20">
        <f t="shared" si="9"/>
        <v>17.391304347826086</v>
      </c>
      <c r="R24" s="21">
        <f t="shared" si="9"/>
        <v>60</v>
      </c>
      <c r="S24" s="18">
        <f t="shared" si="2"/>
        <v>43.478260869565212</v>
      </c>
      <c r="T24" s="19">
        <f t="shared" si="3"/>
        <v>13.043478260869566</v>
      </c>
      <c r="U24" s="20">
        <f t="shared" si="4"/>
        <v>43.478260869565212</v>
      </c>
      <c r="V24" s="17">
        <v>43102</v>
      </c>
      <c r="W24" s="17">
        <v>43102</v>
      </c>
      <c r="X24" s="2" t="s">
        <v>30</v>
      </c>
      <c r="Y24" s="11" t="s">
        <v>31</v>
      </c>
      <c r="Z24" s="18">
        <f>100*0.7621/3</f>
        <v>25.403333333333332</v>
      </c>
      <c r="AA24" s="19">
        <f>100*0.3243/3</f>
        <v>10.81</v>
      </c>
      <c r="AB24" s="20">
        <f>100*0.1366/3</f>
        <v>4.5533333333333337</v>
      </c>
      <c r="AC24" s="21">
        <f>100*1.777/3</f>
        <v>59.233333333333327</v>
      </c>
      <c r="AD24" s="18">
        <f t="shared" si="5"/>
        <v>62.313982011447251</v>
      </c>
      <c r="AE24" s="19">
        <f t="shared" si="6"/>
        <v>26.516762060506952</v>
      </c>
      <c r="AF24" s="20">
        <f t="shared" si="7"/>
        <v>11.169255928045791</v>
      </c>
    </row>
    <row r="25" spans="1:32" ht="33" x14ac:dyDescent="0.25">
      <c r="A25" s="39" t="s">
        <v>42</v>
      </c>
      <c r="B25" s="45"/>
      <c r="C25" s="39" t="s">
        <v>32</v>
      </c>
      <c r="D25" s="45">
        <v>30</v>
      </c>
      <c r="E25" s="39">
        <v>15</v>
      </c>
      <c r="F25" s="45">
        <v>10</v>
      </c>
      <c r="G25" s="42">
        <v>2.2628571428571425</v>
      </c>
      <c r="H25" s="16" t="s">
        <v>29</v>
      </c>
      <c r="I25" s="43">
        <v>5.9</v>
      </c>
      <c r="J25" s="47">
        <v>43167</v>
      </c>
      <c r="K25" s="39">
        <v>25</v>
      </c>
      <c r="L25" s="45">
        <v>15</v>
      </c>
      <c r="M25" s="42"/>
      <c r="N25" s="16" t="str">
        <f t="shared" si="8"/>
        <v/>
      </c>
      <c r="O25" s="18">
        <f t="shared" si="9"/>
        <v>17.391304347826086</v>
      </c>
      <c r="P25" s="19">
        <f t="shared" si="9"/>
        <v>5.2173913043478262</v>
      </c>
      <c r="Q25" s="20">
        <f t="shared" si="9"/>
        <v>17.391304347826086</v>
      </c>
      <c r="R25" s="21">
        <f t="shared" si="9"/>
        <v>60</v>
      </c>
      <c r="S25" s="18">
        <f t="shared" si="2"/>
        <v>43.478260869565212</v>
      </c>
      <c r="T25" s="19">
        <f t="shared" si="3"/>
        <v>13.043478260869566</v>
      </c>
      <c r="U25" s="20">
        <f t="shared" si="4"/>
        <v>43.478260869565212</v>
      </c>
      <c r="V25" s="17">
        <v>43102</v>
      </c>
      <c r="W25" s="17">
        <v>43102</v>
      </c>
      <c r="X25" s="2" t="s">
        <v>30</v>
      </c>
      <c r="Y25" s="11" t="s">
        <v>31</v>
      </c>
      <c r="Z25" s="18">
        <f>100*0.7739/3</f>
        <v>25.796666666666667</v>
      </c>
      <c r="AA25" s="19">
        <f>100*0.3153/3</f>
        <v>10.51</v>
      </c>
      <c r="AB25" s="20">
        <f>100*0.1246/3</f>
        <v>4.1533333333333333</v>
      </c>
      <c r="AC25" s="21">
        <f>100*1.7888/3</f>
        <v>59.626666666666665</v>
      </c>
      <c r="AD25" s="18">
        <f t="shared" si="5"/>
        <v>63.758444554292304</v>
      </c>
      <c r="AE25" s="19">
        <f t="shared" si="6"/>
        <v>25.976272862086009</v>
      </c>
      <c r="AF25" s="20">
        <f t="shared" si="7"/>
        <v>10.265282583621683</v>
      </c>
    </row>
    <row r="26" spans="1:32" ht="33" x14ac:dyDescent="0.25">
      <c r="A26" s="39" t="s">
        <v>43</v>
      </c>
      <c r="B26" s="45"/>
      <c r="C26" s="39" t="s">
        <v>32</v>
      </c>
      <c r="D26" s="45">
        <v>30</v>
      </c>
      <c r="E26" s="39">
        <v>15</v>
      </c>
      <c r="F26" s="45">
        <v>10</v>
      </c>
      <c r="G26" s="42">
        <v>1.4228571428571428</v>
      </c>
      <c r="H26" s="16" t="s">
        <v>29</v>
      </c>
      <c r="I26" s="43">
        <v>5.9</v>
      </c>
      <c r="J26" s="47">
        <v>43167</v>
      </c>
      <c r="K26" s="39">
        <v>25</v>
      </c>
      <c r="L26" s="45">
        <v>15</v>
      </c>
      <c r="M26" s="42"/>
      <c r="N26" s="16" t="str">
        <f t="shared" si="8"/>
        <v/>
      </c>
      <c r="O26" s="18">
        <f t="shared" si="9"/>
        <v>17.391304347826086</v>
      </c>
      <c r="P26" s="19">
        <f t="shared" si="9"/>
        <v>5.2173913043478262</v>
      </c>
      <c r="Q26" s="20">
        <f t="shared" si="9"/>
        <v>17.391304347826086</v>
      </c>
      <c r="R26" s="21">
        <f t="shared" si="9"/>
        <v>60</v>
      </c>
      <c r="S26" s="18">
        <f t="shared" si="2"/>
        <v>43.478260869565212</v>
      </c>
      <c r="T26" s="19">
        <f t="shared" si="3"/>
        <v>13.043478260869566</v>
      </c>
      <c r="U26" s="20">
        <f t="shared" si="4"/>
        <v>43.478260869565212</v>
      </c>
      <c r="V26" s="17">
        <v>43102</v>
      </c>
      <c r="W26" s="17">
        <v>43102</v>
      </c>
      <c r="X26" s="2" t="s">
        <v>30</v>
      </c>
      <c r="Y26" s="11" t="s">
        <v>31</v>
      </c>
      <c r="Z26" s="18">
        <f>100*0.7892/3</f>
        <v>26.306666666666668</v>
      </c>
      <c r="AA26" s="19">
        <f>100*0.2773/3</f>
        <v>9.2433333333333341</v>
      </c>
      <c r="AB26" s="20">
        <f>100*0.0982/3</f>
        <v>3.2733333333333334</v>
      </c>
      <c r="AC26" s="21">
        <f>100*1.8353/3</f>
        <v>61.176666666666669</v>
      </c>
      <c r="AD26" s="18">
        <f t="shared" si="5"/>
        <v>67.759938181505973</v>
      </c>
      <c r="AE26" s="19">
        <f t="shared" si="6"/>
        <v>23.808706104576284</v>
      </c>
      <c r="AF26" s="20">
        <f t="shared" si="7"/>
        <v>8.431355713917748</v>
      </c>
    </row>
    <row r="27" spans="1:32" ht="33" x14ac:dyDescent="0.25">
      <c r="A27" s="39" t="s">
        <v>44</v>
      </c>
      <c r="B27" s="45"/>
      <c r="C27" s="39" t="s">
        <v>45</v>
      </c>
      <c r="D27" s="45">
        <v>30</v>
      </c>
      <c r="E27" s="39">
        <v>15</v>
      </c>
      <c r="F27" s="45">
        <v>10</v>
      </c>
      <c r="G27" s="42"/>
      <c r="H27" s="16" t="s">
        <v>29</v>
      </c>
      <c r="I27" s="43">
        <v>5.9</v>
      </c>
      <c r="J27" s="47">
        <v>43272</v>
      </c>
      <c r="K27" s="39">
        <v>25</v>
      </c>
      <c r="L27" s="45">
        <v>15</v>
      </c>
      <c r="M27" s="42"/>
      <c r="N27" s="16" t="str">
        <f t="shared" si="8"/>
        <v/>
      </c>
      <c r="O27" s="18">
        <f t="shared" ref="O27:R30" si="10">O$80</f>
        <v>16.200000000000003</v>
      </c>
      <c r="P27" s="19">
        <f t="shared" si="10"/>
        <v>1.88</v>
      </c>
      <c r="Q27" s="20">
        <f t="shared" si="10"/>
        <v>21.92</v>
      </c>
      <c r="R27" s="21">
        <f t="shared" si="10"/>
        <v>60</v>
      </c>
      <c r="S27" s="18">
        <f t="shared" si="2"/>
        <v>40.500000000000007</v>
      </c>
      <c r="T27" s="19">
        <f t="shared" si="3"/>
        <v>4.7</v>
      </c>
      <c r="U27" s="20">
        <f t="shared" si="4"/>
        <v>54.8</v>
      </c>
      <c r="V27" s="17">
        <v>43360</v>
      </c>
      <c r="W27" s="17">
        <v>43360</v>
      </c>
      <c r="X27" s="2" t="s">
        <v>30</v>
      </c>
      <c r="Y27" s="11" t="s">
        <v>31</v>
      </c>
      <c r="Z27" s="18">
        <f>100*0.207</f>
        <v>20.7</v>
      </c>
      <c r="AA27" s="19">
        <f>100*0.0066</f>
        <v>0.66</v>
      </c>
      <c r="AB27" s="20">
        <f>100*0.1653</f>
        <v>16.53</v>
      </c>
      <c r="AC27" s="21">
        <f>100*0.621</f>
        <v>62.1</v>
      </c>
      <c r="AD27" s="18">
        <f t="shared" si="5"/>
        <v>54.63182897862233</v>
      </c>
      <c r="AE27" s="19">
        <f t="shared" si="6"/>
        <v>1.7418844022169437</v>
      </c>
      <c r="AF27" s="20">
        <f t="shared" si="7"/>
        <v>43.62628661916073</v>
      </c>
    </row>
    <row r="28" spans="1:32" ht="33" x14ac:dyDescent="0.25">
      <c r="A28" s="39" t="s">
        <v>46</v>
      </c>
      <c r="B28" s="45"/>
      <c r="C28" s="39" t="s">
        <v>45</v>
      </c>
      <c r="D28" s="45">
        <v>30</v>
      </c>
      <c r="E28" s="39">
        <v>60</v>
      </c>
      <c r="F28" s="45">
        <v>10</v>
      </c>
      <c r="G28" s="42"/>
      <c r="H28" s="16" t="s">
        <v>29</v>
      </c>
      <c r="I28" s="43">
        <v>5.9</v>
      </c>
      <c r="J28" s="47">
        <v>43276</v>
      </c>
      <c r="K28" s="39">
        <v>690</v>
      </c>
      <c r="L28" s="45">
        <v>15</v>
      </c>
      <c r="M28" s="42"/>
      <c r="N28" s="16" t="str">
        <f t="shared" si="8"/>
        <v/>
      </c>
      <c r="O28" s="18">
        <f t="shared" si="10"/>
        <v>16.200000000000003</v>
      </c>
      <c r="P28" s="19">
        <f t="shared" si="10"/>
        <v>1.88</v>
      </c>
      <c r="Q28" s="20">
        <f t="shared" si="10"/>
        <v>21.92</v>
      </c>
      <c r="R28" s="21">
        <f t="shared" si="10"/>
        <v>60</v>
      </c>
      <c r="S28" s="18">
        <f t="shared" si="2"/>
        <v>40.500000000000007</v>
      </c>
      <c r="T28" s="19">
        <f t="shared" si="3"/>
        <v>4.7</v>
      </c>
      <c r="U28" s="20">
        <f t="shared" si="4"/>
        <v>54.8</v>
      </c>
      <c r="V28" s="17">
        <v>43360</v>
      </c>
      <c r="W28" s="17">
        <v>43360</v>
      </c>
      <c r="X28" s="2" t="s">
        <v>30</v>
      </c>
      <c r="Y28" s="11" t="s">
        <v>31</v>
      </c>
      <c r="Z28" s="18">
        <f>100*0.0409</f>
        <v>4.09</v>
      </c>
      <c r="AA28" s="19">
        <f>100*0.0113</f>
        <v>1.1299999999999999</v>
      </c>
      <c r="AB28" s="20">
        <f>100*0.3083</f>
        <v>30.830000000000002</v>
      </c>
      <c r="AC28" s="21">
        <f>100*0.6395</f>
        <v>63.949999999999996</v>
      </c>
      <c r="AD28" s="18">
        <f t="shared" si="5"/>
        <v>11.345353675450761</v>
      </c>
      <c r="AE28" s="19">
        <f t="shared" si="6"/>
        <v>3.1345353675450753</v>
      </c>
      <c r="AF28" s="20">
        <f t="shared" si="7"/>
        <v>85.52011095700415</v>
      </c>
    </row>
    <row r="29" spans="1:32" ht="33" x14ac:dyDescent="0.25">
      <c r="A29" s="39" t="s">
        <v>47</v>
      </c>
      <c r="B29" s="45"/>
      <c r="C29" s="39" t="s">
        <v>45</v>
      </c>
      <c r="D29" s="45">
        <v>30</v>
      </c>
      <c r="E29" s="39">
        <v>60</v>
      </c>
      <c r="F29" s="45">
        <v>10</v>
      </c>
      <c r="G29" s="42"/>
      <c r="H29" s="16" t="s">
        <v>29</v>
      </c>
      <c r="I29" s="43">
        <v>5.9</v>
      </c>
      <c r="J29" s="47">
        <v>43277</v>
      </c>
      <c r="K29" s="39">
        <v>600</v>
      </c>
      <c r="L29" s="45">
        <v>15</v>
      </c>
      <c r="M29" s="42"/>
      <c r="N29" s="16" t="str">
        <f t="shared" si="8"/>
        <v/>
      </c>
      <c r="O29" s="18">
        <f t="shared" si="10"/>
        <v>16.200000000000003</v>
      </c>
      <c r="P29" s="19">
        <f t="shared" si="10"/>
        <v>1.88</v>
      </c>
      <c r="Q29" s="20">
        <f t="shared" si="10"/>
        <v>21.92</v>
      </c>
      <c r="R29" s="21">
        <f t="shared" si="10"/>
        <v>60</v>
      </c>
      <c r="S29" s="18">
        <f t="shared" si="2"/>
        <v>40.500000000000007</v>
      </c>
      <c r="T29" s="19">
        <f t="shared" si="3"/>
        <v>4.7</v>
      </c>
      <c r="U29" s="20">
        <f t="shared" si="4"/>
        <v>54.8</v>
      </c>
      <c r="V29" s="17">
        <v>43360</v>
      </c>
      <c r="W29" s="17">
        <v>43360</v>
      </c>
      <c r="X29" s="2" t="s">
        <v>30</v>
      </c>
      <c r="Y29" s="11" t="s">
        <v>31</v>
      </c>
      <c r="Z29" s="18">
        <f>100*0.143</f>
        <v>14.299999999999999</v>
      </c>
      <c r="AA29" s="19">
        <f>100*0.0147</f>
        <v>1.47</v>
      </c>
      <c r="AB29" s="20">
        <f>100*0.27</f>
        <v>27</v>
      </c>
      <c r="AC29" s="21">
        <f>100*0.5723</f>
        <v>57.230000000000004</v>
      </c>
      <c r="AD29" s="18">
        <f t="shared" si="5"/>
        <v>33.434650455927056</v>
      </c>
      <c r="AE29" s="19">
        <f t="shared" si="6"/>
        <v>3.4369885433715224</v>
      </c>
      <c r="AF29" s="20">
        <f t="shared" si="7"/>
        <v>63.128361000701432</v>
      </c>
    </row>
    <row r="30" spans="1:32" ht="33" x14ac:dyDescent="0.25">
      <c r="A30" s="39" t="s">
        <v>48</v>
      </c>
      <c r="B30" s="45"/>
      <c r="C30" s="39" t="s">
        <v>45</v>
      </c>
      <c r="D30" s="45">
        <v>30</v>
      </c>
      <c r="E30" s="39">
        <v>60</v>
      </c>
      <c r="F30" s="45">
        <v>10</v>
      </c>
      <c r="G30" s="42"/>
      <c r="H30" s="16" t="s">
        <v>29</v>
      </c>
      <c r="I30" s="43">
        <v>5.9</v>
      </c>
      <c r="J30" s="47">
        <v>43278</v>
      </c>
      <c r="K30" s="39">
        <v>650</v>
      </c>
      <c r="L30" s="45">
        <v>15</v>
      </c>
      <c r="M30" s="42"/>
      <c r="N30" s="16" t="str">
        <f t="shared" si="8"/>
        <v/>
      </c>
      <c r="O30" s="18">
        <f t="shared" si="10"/>
        <v>16.200000000000003</v>
      </c>
      <c r="P30" s="19">
        <f t="shared" si="10"/>
        <v>1.88</v>
      </c>
      <c r="Q30" s="20">
        <f t="shared" si="10"/>
        <v>21.92</v>
      </c>
      <c r="R30" s="21">
        <f t="shared" si="10"/>
        <v>60</v>
      </c>
      <c r="S30" s="18">
        <f t="shared" si="2"/>
        <v>40.500000000000007</v>
      </c>
      <c r="T30" s="19">
        <f t="shared" si="3"/>
        <v>4.7</v>
      </c>
      <c r="U30" s="20">
        <f t="shared" si="4"/>
        <v>54.8</v>
      </c>
      <c r="V30" s="17">
        <v>43360</v>
      </c>
      <c r="W30" s="17">
        <v>43360</v>
      </c>
      <c r="X30" s="2" t="s">
        <v>30</v>
      </c>
      <c r="Y30" s="11" t="s">
        <v>31</v>
      </c>
      <c r="Z30" s="18">
        <f>100*(0.0731+0.072)/2</f>
        <v>7.2550000000000008</v>
      </c>
      <c r="AA30" s="19">
        <f>100*(0.0136+0.0138)/2</f>
        <v>1.37</v>
      </c>
      <c r="AB30" s="20">
        <f>100*(0.2804+0.2847)/2</f>
        <v>28.254999999999995</v>
      </c>
      <c r="AC30" s="21">
        <f>100*(0.633+0.6295)/2</f>
        <v>63.125</v>
      </c>
      <c r="AD30" s="18">
        <f t="shared" si="5"/>
        <v>19.671908893709332</v>
      </c>
      <c r="AE30" s="19">
        <f t="shared" si="6"/>
        <v>3.7147505422993499</v>
      </c>
      <c r="AF30" s="20">
        <f t="shared" si="7"/>
        <v>76.613340563991315</v>
      </c>
    </row>
    <row r="31" spans="1:32" ht="33" x14ac:dyDescent="0.25">
      <c r="A31" s="39" t="s">
        <v>49</v>
      </c>
      <c r="B31" s="45" t="s">
        <v>50</v>
      </c>
      <c r="C31" s="39"/>
      <c r="D31" s="45">
        <v>0</v>
      </c>
      <c r="E31" s="39">
        <v>60</v>
      </c>
      <c r="F31" s="45">
        <v>5.0000000000000001E-3</v>
      </c>
      <c r="G31" s="42"/>
      <c r="H31" s="16" t="s">
        <v>29</v>
      </c>
      <c r="I31" s="43">
        <v>5.9</v>
      </c>
      <c r="J31" s="47">
        <v>43348</v>
      </c>
      <c r="K31" s="39">
        <v>690</v>
      </c>
      <c r="L31" s="45">
        <v>15</v>
      </c>
      <c r="M31" s="42">
        <f>20/80</f>
        <v>0.25</v>
      </c>
      <c r="N31" s="16">
        <f t="shared" si="8"/>
        <v>0.8</v>
      </c>
      <c r="O31" s="18">
        <f t="shared" ref="O31:R35" si="11">$N31*O$78+(1-$N31)*O$79</f>
        <v>19.536000000000001</v>
      </c>
      <c r="P31" s="19">
        <f t="shared" si="11"/>
        <v>1.9119999999999999</v>
      </c>
      <c r="Q31" s="20">
        <f t="shared" si="11"/>
        <v>18.552</v>
      </c>
      <c r="R31" s="21">
        <f t="shared" si="11"/>
        <v>60</v>
      </c>
      <c r="S31" s="18">
        <f t="shared" si="2"/>
        <v>48.84</v>
      </c>
      <c r="T31" s="19">
        <f t="shared" si="3"/>
        <v>4.7799999999999994</v>
      </c>
      <c r="U31" s="20">
        <f t="shared" si="4"/>
        <v>46.38</v>
      </c>
      <c r="V31" s="17">
        <v>43360</v>
      </c>
      <c r="W31" s="17">
        <v>43360</v>
      </c>
      <c r="X31" s="2" t="s">
        <v>30</v>
      </c>
      <c r="Y31" s="11" t="s">
        <v>31</v>
      </c>
      <c r="Z31" s="18">
        <v>4.42</v>
      </c>
      <c r="AA31" s="19">
        <f>100*0.0168</f>
        <v>1.68</v>
      </c>
      <c r="AB31" s="20">
        <f>100*0.3039</f>
        <v>30.39</v>
      </c>
      <c r="AC31" s="21">
        <f>100*0.635</f>
        <v>63.5</v>
      </c>
      <c r="AD31" s="18">
        <f t="shared" si="5"/>
        <v>12.112907645930392</v>
      </c>
      <c r="AE31" s="19">
        <f t="shared" si="6"/>
        <v>4.6040010961907365</v>
      </c>
      <c r="AF31" s="20">
        <f t="shared" si="7"/>
        <v>83.283091257878866</v>
      </c>
    </row>
    <row r="32" spans="1:32" ht="33" x14ac:dyDescent="0.25">
      <c r="A32" s="39" t="s">
        <v>51</v>
      </c>
      <c r="B32" s="45" t="s">
        <v>50</v>
      </c>
      <c r="C32" s="39"/>
      <c r="D32" s="45">
        <v>30</v>
      </c>
      <c r="E32" s="39">
        <v>60</v>
      </c>
      <c r="F32" s="45">
        <v>5.0000000000000001E-3</v>
      </c>
      <c r="G32" s="42"/>
      <c r="H32" s="16" t="s">
        <v>29</v>
      </c>
      <c r="I32" s="43">
        <v>5.9</v>
      </c>
      <c r="J32" s="47">
        <v>43350</v>
      </c>
      <c r="K32" s="39">
        <v>690</v>
      </c>
      <c r="L32" s="45">
        <v>15</v>
      </c>
      <c r="M32" s="42">
        <f>20/80</f>
        <v>0.25</v>
      </c>
      <c r="N32" s="16">
        <f t="shared" si="8"/>
        <v>0.8</v>
      </c>
      <c r="O32" s="18">
        <f t="shared" si="11"/>
        <v>19.536000000000001</v>
      </c>
      <c r="P32" s="19">
        <f t="shared" si="11"/>
        <v>1.9119999999999999</v>
      </c>
      <c r="Q32" s="20">
        <f t="shared" si="11"/>
        <v>18.552</v>
      </c>
      <c r="R32" s="21">
        <f t="shared" si="11"/>
        <v>60</v>
      </c>
      <c r="S32" s="18">
        <f t="shared" si="2"/>
        <v>48.84</v>
      </c>
      <c r="T32" s="19">
        <f t="shared" si="3"/>
        <v>4.7799999999999994</v>
      </c>
      <c r="U32" s="20">
        <f t="shared" si="4"/>
        <v>46.38</v>
      </c>
      <c r="V32" s="17">
        <v>43360</v>
      </c>
      <c r="W32" s="17">
        <v>43360</v>
      </c>
      <c r="X32" s="2" t="s">
        <v>30</v>
      </c>
      <c r="Y32" s="11" t="s">
        <v>31</v>
      </c>
      <c r="Z32" s="18">
        <v>3.82</v>
      </c>
      <c r="AA32" s="19">
        <f>100*0.0188</f>
        <v>1.8800000000000001</v>
      </c>
      <c r="AB32" s="20">
        <f>100*0.2858</f>
        <v>28.58</v>
      </c>
      <c r="AC32" s="21">
        <f>100*0.6572</f>
        <v>65.72</v>
      </c>
      <c r="AD32" s="18">
        <f t="shared" si="5"/>
        <v>11.143523920653442</v>
      </c>
      <c r="AE32" s="19">
        <f t="shared" si="6"/>
        <v>5.4842473745624272</v>
      </c>
      <c r="AF32" s="20">
        <f t="shared" si="7"/>
        <v>83.372228704784135</v>
      </c>
    </row>
    <row r="33" spans="1:32" ht="33" x14ac:dyDescent="0.25">
      <c r="A33" s="39" t="s">
        <v>52</v>
      </c>
      <c r="B33" s="45" t="s">
        <v>50</v>
      </c>
      <c r="C33" s="39"/>
      <c r="D33" s="45">
        <v>0</v>
      </c>
      <c r="E33" s="39">
        <v>30</v>
      </c>
      <c r="F33" s="45">
        <v>10</v>
      </c>
      <c r="G33" s="42"/>
      <c r="H33" s="16" t="s">
        <v>29</v>
      </c>
      <c r="I33" s="43">
        <v>5.9</v>
      </c>
      <c r="J33" s="47">
        <v>43353</v>
      </c>
      <c r="K33" s="39">
        <v>25</v>
      </c>
      <c r="L33" s="45">
        <v>15</v>
      </c>
      <c r="M33" s="42">
        <f>60/60</f>
        <v>1</v>
      </c>
      <c r="N33" s="16">
        <f t="shared" si="8"/>
        <v>0.5</v>
      </c>
      <c r="O33" s="18">
        <f t="shared" si="11"/>
        <v>18.12</v>
      </c>
      <c r="P33" s="19">
        <f t="shared" si="11"/>
        <v>1.78</v>
      </c>
      <c r="Q33" s="20">
        <f t="shared" si="11"/>
        <v>20.100000000000001</v>
      </c>
      <c r="R33" s="21">
        <f t="shared" si="11"/>
        <v>60</v>
      </c>
      <c r="S33" s="18">
        <f t="shared" si="2"/>
        <v>45.3</v>
      </c>
      <c r="T33" s="19">
        <f t="shared" si="3"/>
        <v>4.45</v>
      </c>
      <c r="U33" s="20">
        <f t="shared" si="4"/>
        <v>50.250000000000007</v>
      </c>
      <c r="V33" s="17">
        <v>43360</v>
      </c>
      <c r="W33" s="17">
        <v>43360</v>
      </c>
      <c r="X33" s="2" t="s">
        <v>30</v>
      </c>
      <c r="Y33" s="11" t="s">
        <v>31</v>
      </c>
      <c r="Z33" s="18">
        <v>26.340000000000003</v>
      </c>
      <c r="AA33" s="19">
        <f>100*0.0071</f>
        <v>0.71000000000000008</v>
      </c>
      <c r="AB33" s="20">
        <f>100*0.1459</f>
        <v>14.59</v>
      </c>
      <c r="AC33" s="21">
        <f>100*0.5835</f>
        <v>58.35</v>
      </c>
      <c r="AD33" s="18">
        <f t="shared" si="5"/>
        <v>63.256484149855915</v>
      </c>
      <c r="AE33" s="19">
        <f t="shared" si="6"/>
        <v>1.7050912584053797</v>
      </c>
      <c r="AF33" s="20">
        <f t="shared" si="7"/>
        <v>35.03842459173871</v>
      </c>
    </row>
    <row r="34" spans="1:32" ht="33" x14ac:dyDescent="0.25">
      <c r="A34" s="39" t="s">
        <v>53</v>
      </c>
      <c r="B34" s="45" t="s">
        <v>50</v>
      </c>
      <c r="C34" s="39"/>
      <c r="D34" s="45">
        <v>30</v>
      </c>
      <c r="E34" s="39">
        <v>60</v>
      </c>
      <c r="F34" s="45">
        <v>5.0000000000000001E-3</v>
      </c>
      <c r="G34" s="42"/>
      <c r="H34" s="16" t="s">
        <v>29</v>
      </c>
      <c r="I34" s="43">
        <v>5.9</v>
      </c>
      <c r="J34" s="47">
        <v>43354</v>
      </c>
      <c r="K34" s="39">
        <v>690</v>
      </c>
      <c r="L34" s="45">
        <v>15</v>
      </c>
      <c r="M34" s="42">
        <f>80/20</f>
        <v>4</v>
      </c>
      <c r="N34" s="16">
        <f t="shared" si="8"/>
        <v>0.2</v>
      </c>
      <c r="O34" s="18">
        <f t="shared" si="11"/>
        <v>16.704000000000001</v>
      </c>
      <c r="P34" s="19">
        <f t="shared" si="11"/>
        <v>1.6480000000000001</v>
      </c>
      <c r="Q34" s="20">
        <f t="shared" si="11"/>
        <v>21.648000000000003</v>
      </c>
      <c r="R34" s="21">
        <f t="shared" si="11"/>
        <v>60</v>
      </c>
      <c r="S34" s="18">
        <f t="shared" si="2"/>
        <v>41.760000000000005</v>
      </c>
      <c r="T34" s="19">
        <f t="shared" si="3"/>
        <v>4.12</v>
      </c>
      <c r="U34" s="20">
        <f t="shared" si="4"/>
        <v>54.120000000000005</v>
      </c>
      <c r="V34" s="17">
        <v>43360</v>
      </c>
      <c r="W34" s="17">
        <v>43360</v>
      </c>
      <c r="X34" s="2" t="s">
        <v>30</v>
      </c>
      <c r="Y34" s="11" t="s">
        <v>31</v>
      </c>
      <c r="Z34" s="18">
        <v>4.1000000000000005</v>
      </c>
      <c r="AA34" s="19">
        <f>100*0.0233</f>
        <v>2.33</v>
      </c>
      <c r="AB34" s="20">
        <f>100*0.2785</f>
        <v>27.85</v>
      </c>
      <c r="AC34" s="21">
        <f>100*0.6572</f>
        <v>65.72</v>
      </c>
      <c r="AD34" s="18">
        <f t="shared" si="5"/>
        <v>11.960326721120188</v>
      </c>
      <c r="AE34" s="19">
        <f t="shared" si="6"/>
        <v>6.7969661610268375</v>
      </c>
      <c r="AF34" s="20">
        <f t="shared" si="7"/>
        <v>81.242707117852973</v>
      </c>
    </row>
    <row r="35" spans="1:32" ht="33" x14ac:dyDescent="0.25">
      <c r="A35" s="39" t="s">
        <v>54</v>
      </c>
      <c r="B35" s="45" t="s">
        <v>50</v>
      </c>
      <c r="C35" s="39"/>
      <c r="D35" s="45">
        <v>30</v>
      </c>
      <c r="E35" s="39">
        <v>60</v>
      </c>
      <c r="F35" s="45">
        <v>5.0000000000000001E-3</v>
      </c>
      <c r="G35" s="42"/>
      <c r="H35" s="16" t="s">
        <v>29</v>
      </c>
      <c r="I35" s="43">
        <v>5.9</v>
      </c>
      <c r="J35" s="47">
        <v>43354</v>
      </c>
      <c r="K35" s="39">
        <v>690</v>
      </c>
      <c r="L35" s="45">
        <v>15</v>
      </c>
      <c r="M35" s="42">
        <f>60/60</f>
        <v>1</v>
      </c>
      <c r="N35" s="16">
        <f t="shared" si="8"/>
        <v>0.5</v>
      </c>
      <c r="O35" s="18">
        <f t="shared" si="11"/>
        <v>18.12</v>
      </c>
      <c r="P35" s="19">
        <f t="shared" si="11"/>
        <v>1.78</v>
      </c>
      <c r="Q35" s="20">
        <f t="shared" si="11"/>
        <v>20.100000000000001</v>
      </c>
      <c r="R35" s="21">
        <f t="shared" si="11"/>
        <v>60</v>
      </c>
      <c r="S35" s="18">
        <f t="shared" si="2"/>
        <v>45.3</v>
      </c>
      <c r="T35" s="19">
        <f t="shared" si="3"/>
        <v>4.45</v>
      </c>
      <c r="U35" s="20">
        <f t="shared" si="4"/>
        <v>50.250000000000007</v>
      </c>
      <c r="V35" s="17">
        <v>43360</v>
      </c>
      <c r="W35" s="17">
        <v>43360</v>
      </c>
      <c r="X35" s="2" t="s">
        <v>30</v>
      </c>
      <c r="Y35" s="11" t="s">
        <v>31</v>
      </c>
      <c r="Z35" s="18">
        <v>3.85</v>
      </c>
      <c r="AA35" s="19">
        <f>100*0.0224</f>
        <v>2.2399999999999998</v>
      </c>
      <c r="AB35" s="20">
        <f>100*0.2862</f>
        <v>28.62</v>
      </c>
      <c r="AC35" s="21">
        <f>100*0.6529</f>
        <v>65.290000000000006</v>
      </c>
      <c r="AD35" s="18">
        <f t="shared" si="5"/>
        <v>11.091904350331315</v>
      </c>
      <c r="AE35" s="19">
        <f t="shared" si="6"/>
        <v>6.4534716220109472</v>
      </c>
      <c r="AF35" s="20">
        <f t="shared" si="7"/>
        <v>82.454624027657729</v>
      </c>
    </row>
    <row r="36" spans="1:32" ht="33" x14ac:dyDescent="0.25">
      <c r="A36" s="39" t="s">
        <v>55</v>
      </c>
      <c r="B36" s="45"/>
      <c r="C36" s="39" t="s">
        <v>45</v>
      </c>
      <c r="D36" s="45">
        <v>90</v>
      </c>
      <c r="E36" s="39">
        <v>60</v>
      </c>
      <c r="F36" s="45">
        <v>10</v>
      </c>
      <c r="G36" s="42"/>
      <c r="H36" s="16" t="s">
        <v>29</v>
      </c>
      <c r="I36" s="43">
        <f t="shared" ref="I36:I70" si="12">5.9+(5.1-3.3)</f>
        <v>7.7</v>
      </c>
      <c r="J36" s="47">
        <v>43538</v>
      </c>
      <c r="K36" s="39">
        <v>25</v>
      </c>
      <c r="L36" s="45">
        <v>15</v>
      </c>
      <c r="M36" s="42"/>
      <c r="N36" s="16" t="str">
        <f t="shared" si="8"/>
        <v/>
      </c>
      <c r="O36" s="18">
        <f t="shared" ref="O36:R39" si="13">O$80</f>
        <v>16.200000000000003</v>
      </c>
      <c r="P36" s="19">
        <f t="shared" si="13"/>
        <v>1.88</v>
      </c>
      <c r="Q36" s="20">
        <f t="shared" si="13"/>
        <v>21.92</v>
      </c>
      <c r="R36" s="21">
        <f t="shared" si="13"/>
        <v>60</v>
      </c>
      <c r="S36" s="18">
        <f t="shared" ref="S36:S68" si="14">100*O36/SUM($O36:$Q36)</f>
        <v>40.500000000000007</v>
      </c>
      <c r="T36" s="19">
        <f t="shared" ref="T36:T68" si="15">100*P36/SUM($O36:$Q36)</f>
        <v>4.7</v>
      </c>
      <c r="U36" s="20">
        <f t="shared" ref="U36:U68" si="16">100*Q36/SUM($O36:$Q36)</f>
        <v>54.8</v>
      </c>
      <c r="V36" s="17">
        <v>43760</v>
      </c>
      <c r="W36" s="17">
        <v>43760</v>
      </c>
      <c r="X36" s="2" t="s">
        <v>30</v>
      </c>
      <c r="Y36" s="11" t="s">
        <v>31</v>
      </c>
      <c r="Z36" s="18">
        <f>100*0.236533333333333</f>
        <v>23.6533333333333</v>
      </c>
      <c r="AA36" s="19">
        <f>100*0.0054</f>
        <v>0.54</v>
      </c>
      <c r="AB36" s="20">
        <f>100*0.123266666666667</f>
        <v>12.3266666666667</v>
      </c>
      <c r="AC36" s="21">
        <f>100*0.634833333333333</f>
        <v>63.483333333333306</v>
      </c>
      <c r="AD36" s="18">
        <f t="shared" si="5"/>
        <v>64.768163563344203</v>
      </c>
      <c r="AE36" s="19">
        <f t="shared" si="6"/>
        <v>1.4786418400876233</v>
      </c>
      <c r="AF36" s="20">
        <f t="shared" si="7"/>
        <v>33.753194596568186</v>
      </c>
    </row>
    <row r="37" spans="1:32" ht="33" x14ac:dyDescent="0.25">
      <c r="A37" s="39" t="s">
        <v>56</v>
      </c>
      <c r="B37" s="45"/>
      <c r="C37" s="39" t="s">
        <v>45</v>
      </c>
      <c r="D37" s="45">
        <v>150</v>
      </c>
      <c r="E37" s="39">
        <v>60</v>
      </c>
      <c r="F37" s="45">
        <v>10</v>
      </c>
      <c r="G37" s="42"/>
      <c r="H37" s="16" t="s">
        <v>29</v>
      </c>
      <c r="I37" s="43">
        <f t="shared" si="12"/>
        <v>7.7</v>
      </c>
      <c r="J37" s="47">
        <v>43579</v>
      </c>
      <c r="K37" s="39">
        <v>25</v>
      </c>
      <c r="L37" s="45">
        <v>100</v>
      </c>
      <c r="M37" s="42"/>
      <c r="N37" s="16" t="str">
        <f t="shared" si="8"/>
        <v/>
      </c>
      <c r="O37" s="18">
        <f t="shared" si="13"/>
        <v>16.200000000000003</v>
      </c>
      <c r="P37" s="19">
        <f t="shared" si="13"/>
        <v>1.88</v>
      </c>
      <c r="Q37" s="20">
        <f t="shared" si="13"/>
        <v>21.92</v>
      </c>
      <c r="R37" s="21">
        <f t="shared" si="13"/>
        <v>60</v>
      </c>
      <c r="S37" s="18">
        <f t="shared" si="14"/>
        <v>40.500000000000007</v>
      </c>
      <c r="T37" s="19">
        <f t="shared" si="15"/>
        <v>4.7</v>
      </c>
      <c r="U37" s="20">
        <f t="shared" si="16"/>
        <v>54.8</v>
      </c>
      <c r="V37" s="17">
        <v>43760</v>
      </c>
      <c r="W37" s="17">
        <v>43760</v>
      </c>
      <c r="X37" s="2" t="s">
        <v>30</v>
      </c>
      <c r="Y37" s="11" t="s">
        <v>31</v>
      </c>
      <c r="Z37" s="18">
        <f>100*0.182266666666667</f>
        <v>18.226666666666699</v>
      </c>
      <c r="AA37" s="19">
        <f>100*0.0163666666666667</f>
        <v>1.63666666666667</v>
      </c>
      <c r="AB37" s="20">
        <f>100*0.148233333333333</f>
        <v>14.823333333333299</v>
      </c>
      <c r="AC37" s="21">
        <f>100*0.634833333333333</f>
        <v>63.483333333333306</v>
      </c>
      <c r="AD37" s="18">
        <f t="shared" si="5"/>
        <v>52.546607726311834</v>
      </c>
      <c r="AE37" s="19">
        <f t="shared" si="6"/>
        <v>4.7184316740342203</v>
      </c>
      <c r="AF37" s="20">
        <f t="shared" si="7"/>
        <v>42.734960599653945</v>
      </c>
    </row>
    <row r="38" spans="1:32" ht="33" x14ac:dyDescent="0.25">
      <c r="A38" s="39" t="s">
        <v>57</v>
      </c>
      <c r="B38" s="45"/>
      <c r="C38" s="39" t="s">
        <v>45</v>
      </c>
      <c r="D38" s="45">
        <v>210</v>
      </c>
      <c r="E38" s="39">
        <v>60</v>
      </c>
      <c r="F38" s="45">
        <v>10</v>
      </c>
      <c r="G38" s="42"/>
      <c r="H38" s="16" t="s">
        <v>29</v>
      </c>
      <c r="I38" s="43">
        <f t="shared" si="12"/>
        <v>7.7</v>
      </c>
      <c r="J38" s="47">
        <v>43580</v>
      </c>
      <c r="K38" s="39">
        <v>25</v>
      </c>
      <c r="L38" s="45">
        <v>75</v>
      </c>
      <c r="M38" s="42"/>
      <c r="N38" s="16" t="str">
        <f t="shared" si="8"/>
        <v/>
      </c>
      <c r="O38" s="18">
        <f t="shared" si="13"/>
        <v>16.200000000000003</v>
      </c>
      <c r="P38" s="19">
        <f t="shared" si="13"/>
        <v>1.88</v>
      </c>
      <c r="Q38" s="20">
        <f t="shared" si="13"/>
        <v>21.92</v>
      </c>
      <c r="R38" s="21">
        <f t="shared" si="13"/>
        <v>60</v>
      </c>
      <c r="S38" s="18">
        <f t="shared" si="14"/>
        <v>40.500000000000007</v>
      </c>
      <c r="T38" s="19">
        <f t="shared" si="15"/>
        <v>4.7</v>
      </c>
      <c r="U38" s="20">
        <f t="shared" si="16"/>
        <v>54.8</v>
      </c>
      <c r="V38" s="17">
        <v>43760</v>
      </c>
      <c r="W38" s="17">
        <v>43760</v>
      </c>
      <c r="X38" s="2" t="s">
        <v>30</v>
      </c>
      <c r="Y38" s="11" t="s">
        <v>31</v>
      </c>
      <c r="Z38" s="18">
        <f>100*0.210466666666667</f>
        <v>21.046666666666699</v>
      </c>
      <c r="AA38" s="19">
        <f>100*0.0168333333333333</f>
        <v>1.68333333333333</v>
      </c>
      <c r="AB38" s="20">
        <f>100*0.136933333333333</f>
        <v>13.6933333333333</v>
      </c>
      <c r="AC38" s="21">
        <f>100*0.634833333333333</f>
        <v>63.483333333333306</v>
      </c>
      <c r="AD38" s="18">
        <f t="shared" si="5"/>
        <v>57.783472133248004</v>
      </c>
      <c r="AE38" s="19">
        <f t="shared" si="6"/>
        <v>4.62157957353344</v>
      </c>
      <c r="AF38" s="20">
        <f t="shared" si="7"/>
        <v>37.594948293218536</v>
      </c>
    </row>
    <row r="39" spans="1:32" ht="33" x14ac:dyDescent="0.25">
      <c r="A39" s="39" t="s">
        <v>58</v>
      </c>
      <c r="B39" s="45"/>
      <c r="C39" s="39" t="s">
        <v>45</v>
      </c>
      <c r="D39" s="45">
        <v>270</v>
      </c>
      <c r="E39" s="39">
        <v>60</v>
      </c>
      <c r="F39" s="45">
        <v>10</v>
      </c>
      <c r="G39" s="42"/>
      <c r="H39" s="16" t="s">
        <v>29</v>
      </c>
      <c r="I39" s="43">
        <f t="shared" si="12"/>
        <v>7.7</v>
      </c>
      <c r="J39" s="47">
        <v>43585</v>
      </c>
      <c r="K39" s="39">
        <v>25</v>
      </c>
      <c r="L39" s="45">
        <v>125</v>
      </c>
      <c r="M39" s="42"/>
      <c r="N39" s="16" t="str">
        <f t="shared" si="8"/>
        <v/>
      </c>
      <c r="O39" s="18">
        <f t="shared" si="13"/>
        <v>16.200000000000003</v>
      </c>
      <c r="P39" s="19">
        <f t="shared" si="13"/>
        <v>1.88</v>
      </c>
      <c r="Q39" s="20">
        <f t="shared" si="13"/>
        <v>21.92</v>
      </c>
      <c r="R39" s="21">
        <f t="shared" si="13"/>
        <v>60</v>
      </c>
      <c r="S39" s="18">
        <f t="shared" si="14"/>
        <v>40.500000000000007</v>
      </c>
      <c r="T39" s="19">
        <f t="shared" si="15"/>
        <v>4.7</v>
      </c>
      <c r="U39" s="20">
        <f t="shared" si="16"/>
        <v>54.8</v>
      </c>
      <c r="V39" s="17">
        <v>43760</v>
      </c>
      <c r="W39" s="17">
        <v>43760</v>
      </c>
      <c r="X39" s="2" t="s">
        <v>30</v>
      </c>
      <c r="Y39" s="11" t="s">
        <v>31</v>
      </c>
      <c r="Z39" s="18">
        <f>100*0.187033333333333</f>
        <v>18.703333333333301</v>
      </c>
      <c r="AA39" s="19">
        <f>100*0.0126333333333333</f>
        <v>1.2633333333333301</v>
      </c>
      <c r="AB39" s="20">
        <f>100*0.135033333333333</f>
        <v>13.5033333333333</v>
      </c>
      <c r="AC39" s="21">
        <f>100*0.634833333333333</f>
        <v>63.483333333333306</v>
      </c>
      <c r="AD39" s="18">
        <f t="shared" si="5"/>
        <v>55.880888357733305</v>
      </c>
      <c r="AE39" s="19">
        <f t="shared" si="6"/>
        <v>3.7745244497559978</v>
      </c>
      <c r="AF39" s="20">
        <f t="shared" si="7"/>
        <v>40.344587192510687</v>
      </c>
    </row>
    <row r="40" spans="1:32" ht="33" x14ac:dyDescent="0.25">
      <c r="A40" s="39" t="s">
        <v>59</v>
      </c>
      <c r="B40" s="45" t="s">
        <v>28</v>
      </c>
      <c r="C40" s="39"/>
      <c r="D40" s="45">
        <v>75</v>
      </c>
      <c r="E40" s="39">
        <v>15</v>
      </c>
      <c r="F40" s="45">
        <v>10</v>
      </c>
      <c r="G40" s="42"/>
      <c r="H40" s="16" t="s">
        <v>29</v>
      </c>
      <c r="I40" s="43">
        <f t="shared" si="12"/>
        <v>7.7</v>
      </c>
      <c r="J40" s="47">
        <v>43853</v>
      </c>
      <c r="K40" s="39">
        <v>25</v>
      </c>
      <c r="L40" s="45">
        <v>75</v>
      </c>
      <c r="M40" s="42">
        <f>60/60</f>
        <v>1</v>
      </c>
      <c r="N40" s="16">
        <f t="shared" si="8"/>
        <v>0.5</v>
      </c>
      <c r="O40" s="18">
        <f t="shared" ref="O40:R42" si="17">$N40*O$74+(1-$N40)*O$75</f>
        <v>24.96</v>
      </c>
      <c r="P40" s="19">
        <f t="shared" si="17"/>
        <v>9.48</v>
      </c>
      <c r="Q40" s="20">
        <f t="shared" si="17"/>
        <v>5.5600000000000005</v>
      </c>
      <c r="R40" s="21">
        <f t="shared" si="17"/>
        <v>60</v>
      </c>
      <c r="S40" s="18">
        <f t="shared" si="14"/>
        <v>62.4</v>
      </c>
      <c r="T40" s="19">
        <f t="shared" si="15"/>
        <v>23.7</v>
      </c>
      <c r="U40" s="20">
        <f t="shared" si="16"/>
        <v>13.9</v>
      </c>
      <c r="V40" s="17">
        <v>43933</v>
      </c>
      <c r="W40" s="17">
        <v>43949</v>
      </c>
      <c r="X40" s="2" t="s">
        <v>30</v>
      </c>
      <c r="Y40" s="11" t="s">
        <v>31</v>
      </c>
      <c r="Z40" s="18">
        <f>100*0.274066666666667</f>
        <v>27.406666666666702</v>
      </c>
      <c r="AA40" s="19">
        <f>100*0.0525</f>
        <v>5.25</v>
      </c>
      <c r="AB40" s="20">
        <f>100*0.0102</f>
        <v>1.02</v>
      </c>
      <c r="AC40" s="21">
        <f>100*0.663266666666667</f>
        <v>66.326666666666696</v>
      </c>
      <c r="AD40" s="18">
        <f t="shared" si="5"/>
        <v>81.381767791745034</v>
      </c>
      <c r="AE40" s="19">
        <f t="shared" si="6"/>
        <v>15.589428882510127</v>
      </c>
      <c r="AF40" s="20">
        <f t="shared" si="7"/>
        <v>3.0288033257448248</v>
      </c>
    </row>
    <row r="41" spans="1:32" ht="33" x14ac:dyDescent="0.25">
      <c r="A41" s="39" t="s">
        <v>60</v>
      </c>
      <c r="B41" s="45" t="s">
        <v>28</v>
      </c>
      <c r="C41" s="39"/>
      <c r="D41" s="45">
        <v>90</v>
      </c>
      <c r="E41" s="39">
        <v>15</v>
      </c>
      <c r="F41" s="45">
        <v>10</v>
      </c>
      <c r="G41" s="42"/>
      <c r="H41" s="16" t="s">
        <v>29</v>
      </c>
      <c r="I41" s="43">
        <f t="shared" si="12"/>
        <v>7.7</v>
      </c>
      <c r="J41" s="47">
        <v>43854</v>
      </c>
      <c r="K41" s="39">
        <v>25</v>
      </c>
      <c r="L41" s="45">
        <v>75</v>
      </c>
      <c r="M41" s="42">
        <f>60/60</f>
        <v>1</v>
      </c>
      <c r="N41" s="16">
        <f t="shared" si="8"/>
        <v>0.5</v>
      </c>
      <c r="O41" s="18">
        <f t="shared" si="17"/>
        <v>24.96</v>
      </c>
      <c r="P41" s="19">
        <f t="shared" si="17"/>
        <v>9.48</v>
      </c>
      <c r="Q41" s="20">
        <f t="shared" si="17"/>
        <v>5.5600000000000005</v>
      </c>
      <c r="R41" s="21">
        <f t="shared" si="17"/>
        <v>60</v>
      </c>
      <c r="S41" s="18">
        <f t="shared" si="14"/>
        <v>62.4</v>
      </c>
      <c r="T41" s="19">
        <f t="shared" si="15"/>
        <v>23.7</v>
      </c>
      <c r="U41" s="20">
        <f t="shared" si="16"/>
        <v>13.9</v>
      </c>
      <c r="V41" s="17">
        <v>43933</v>
      </c>
      <c r="W41" s="17">
        <v>43949</v>
      </c>
      <c r="X41" s="2" t="s">
        <v>30</v>
      </c>
      <c r="Y41" s="11" t="s">
        <v>31</v>
      </c>
      <c r="Z41" s="18">
        <f>100*0.236566666666667</f>
        <v>23.656666666666702</v>
      </c>
      <c r="AA41" s="19">
        <f>100*0.0754</f>
        <v>7.5399999999999991</v>
      </c>
      <c r="AB41" s="20">
        <f>100*0.0113</f>
        <v>1.1299999999999999</v>
      </c>
      <c r="AC41" s="21">
        <f>100*0.676766666666667</f>
        <v>67.676666666666691</v>
      </c>
      <c r="AD41" s="18">
        <f t="shared" si="5"/>
        <v>73.180037121055918</v>
      </c>
      <c r="AE41" s="19">
        <f t="shared" si="6"/>
        <v>23.324396782841792</v>
      </c>
      <c r="AF41" s="20">
        <f t="shared" si="7"/>
        <v>3.4955660961022845</v>
      </c>
    </row>
    <row r="42" spans="1:32" ht="33" x14ac:dyDescent="0.25">
      <c r="A42" s="39" t="s">
        <v>61</v>
      </c>
      <c r="B42" s="45" t="s">
        <v>28</v>
      </c>
      <c r="C42" s="39"/>
      <c r="D42" s="45">
        <v>105</v>
      </c>
      <c r="E42" s="39">
        <v>15</v>
      </c>
      <c r="F42" s="45">
        <v>10</v>
      </c>
      <c r="G42" s="42"/>
      <c r="H42" s="16" t="s">
        <v>29</v>
      </c>
      <c r="I42" s="43">
        <f t="shared" si="12"/>
        <v>7.7</v>
      </c>
      <c r="J42" s="47">
        <v>43854</v>
      </c>
      <c r="K42" s="39">
        <v>690</v>
      </c>
      <c r="L42" s="45">
        <v>75</v>
      </c>
      <c r="M42" s="42">
        <f>60/60</f>
        <v>1</v>
      </c>
      <c r="N42" s="16">
        <f t="shared" si="8"/>
        <v>0.5</v>
      </c>
      <c r="O42" s="18">
        <f t="shared" si="17"/>
        <v>24.96</v>
      </c>
      <c r="P42" s="19">
        <f t="shared" si="17"/>
        <v>9.48</v>
      </c>
      <c r="Q42" s="20">
        <f t="shared" si="17"/>
        <v>5.5600000000000005</v>
      </c>
      <c r="R42" s="21">
        <f t="shared" si="17"/>
        <v>60</v>
      </c>
      <c r="S42" s="18">
        <f t="shared" si="14"/>
        <v>62.4</v>
      </c>
      <c r="T42" s="19">
        <f t="shared" si="15"/>
        <v>23.7</v>
      </c>
      <c r="U42" s="20">
        <f t="shared" si="16"/>
        <v>13.9</v>
      </c>
      <c r="V42" s="17">
        <v>43933</v>
      </c>
      <c r="W42" s="17">
        <v>43949</v>
      </c>
      <c r="X42" s="2" t="s">
        <v>30</v>
      </c>
      <c r="Y42" s="11" t="s">
        <v>31</v>
      </c>
      <c r="Z42" s="18">
        <f>100*0.110733333333333</f>
        <v>11.0733333333333</v>
      </c>
      <c r="AA42" s="19">
        <f>100*0.107566666666667</f>
        <v>10.7566666666667</v>
      </c>
      <c r="AB42" s="20">
        <f>100*0.0155666666666667</f>
        <v>1.5566666666666702</v>
      </c>
      <c r="AC42" s="21">
        <f>100*0.766133333333333</f>
        <v>76.613333333333301</v>
      </c>
      <c r="AD42" s="18">
        <f t="shared" si="5"/>
        <v>47.348916761687427</v>
      </c>
      <c r="AE42" s="19">
        <f t="shared" si="6"/>
        <v>45.994868871151787</v>
      </c>
      <c r="AF42" s="20">
        <f t="shared" si="7"/>
        <v>6.6562143671607901</v>
      </c>
    </row>
    <row r="43" spans="1:32" ht="33" x14ac:dyDescent="0.25">
      <c r="A43" s="39" t="s">
        <v>62</v>
      </c>
      <c r="B43" s="45"/>
      <c r="C43" s="39" t="s">
        <v>63</v>
      </c>
      <c r="D43" s="45">
        <v>120</v>
      </c>
      <c r="E43" s="39">
        <v>30</v>
      </c>
      <c r="F43" s="45">
        <v>10</v>
      </c>
      <c r="G43" s="42"/>
      <c r="H43" s="16" t="s">
        <v>29</v>
      </c>
      <c r="I43" s="43">
        <f t="shared" si="12"/>
        <v>7.7</v>
      </c>
      <c r="J43" s="47">
        <v>43866</v>
      </c>
      <c r="K43" s="39">
        <v>690</v>
      </c>
      <c r="L43" s="45">
        <v>75</v>
      </c>
      <c r="M43" s="42"/>
      <c r="N43" s="16" t="str">
        <f t="shared" si="8"/>
        <v/>
      </c>
      <c r="O43" s="18">
        <f>O$83</f>
        <v>29.88</v>
      </c>
      <c r="P43" s="19">
        <f>P$83</f>
        <v>3.08</v>
      </c>
      <c r="Q43" s="20">
        <f>Q$83</f>
        <v>7.0399999999999991</v>
      </c>
      <c r="R43" s="21">
        <f>R$83</f>
        <v>60</v>
      </c>
      <c r="S43" s="18">
        <f t="shared" si="14"/>
        <v>74.7</v>
      </c>
      <c r="T43" s="19">
        <f t="shared" si="15"/>
        <v>7.7</v>
      </c>
      <c r="U43" s="20">
        <f t="shared" si="16"/>
        <v>17.599999999999998</v>
      </c>
      <c r="V43" s="17">
        <v>43933</v>
      </c>
      <c r="W43" s="17">
        <v>43949</v>
      </c>
      <c r="X43" s="2" t="s">
        <v>30</v>
      </c>
      <c r="Y43" s="11" t="s">
        <v>31</v>
      </c>
      <c r="Z43" s="18">
        <f>100*0.0962333333333333</f>
        <v>9.6233333333333295</v>
      </c>
      <c r="AA43" s="19">
        <f>100*0.0601</f>
        <v>6.01</v>
      </c>
      <c r="AB43" s="20">
        <f>100*0.0838666666666667</f>
        <v>8.3866666666666703</v>
      </c>
      <c r="AC43" s="21">
        <f>100*0.759833333333333</f>
        <v>75.983333333333306</v>
      </c>
      <c r="AD43" s="18">
        <f t="shared" si="5"/>
        <v>40.06383569247847</v>
      </c>
      <c r="AE43" s="19">
        <f t="shared" si="6"/>
        <v>25.020815986677768</v>
      </c>
      <c r="AF43" s="20">
        <f t="shared" si="7"/>
        <v>34.915348320843755</v>
      </c>
    </row>
    <row r="44" spans="1:32" ht="33" x14ac:dyDescent="0.25">
      <c r="A44" s="39" t="s">
        <v>64</v>
      </c>
      <c r="B44" s="45"/>
      <c r="C44" s="39" t="s">
        <v>65</v>
      </c>
      <c r="D44" s="45">
        <v>120</v>
      </c>
      <c r="E44" s="39">
        <v>30</v>
      </c>
      <c r="F44" s="45">
        <v>10</v>
      </c>
      <c r="G44" s="42"/>
      <c r="H44" s="16" t="s">
        <v>29</v>
      </c>
      <c r="I44" s="43">
        <f t="shared" si="12"/>
        <v>7.7</v>
      </c>
      <c r="J44" s="47">
        <v>43867</v>
      </c>
      <c r="K44" s="39">
        <v>690</v>
      </c>
      <c r="L44" s="45">
        <v>75</v>
      </c>
      <c r="M44" s="42"/>
      <c r="N44" s="16" t="str">
        <f t="shared" si="8"/>
        <v/>
      </c>
      <c r="O44" s="18">
        <f>O$85</f>
        <v>26.6</v>
      </c>
      <c r="P44" s="19">
        <f>P$85</f>
        <v>2.72</v>
      </c>
      <c r="Q44" s="20">
        <f>Q$85</f>
        <v>10.68</v>
      </c>
      <c r="R44" s="21">
        <f>R$85</f>
        <v>60</v>
      </c>
      <c r="S44" s="18">
        <f t="shared" si="14"/>
        <v>66.5</v>
      </c>
      <c r="T44" s="19">
        <f t="shared" si="15"/>
        <v>6.8</v>
      </c>
      <c r="U44" s="20">
        <f t="shared" si="16"/>
        <v>26.7</v>
      </c>
      <c r="V44" s="17">
        <v>43933</v>
      </c>
      <c r="W44" s="17">
        <v>43949</v>
      </c>
      <c r="X44" s="2" t="s">
        <v>30</v>
      </c>
      <c r="Y44" s="11" t="s">
        <v>31</v>
      </c>
      <c r="Z44" s="18">
        <f>100*0.0757</f>
        <v>7.57</v>
      </c>
      <c r="AA44" s="19">
        <f>100*0.0486</f>
        <v>4.8599999999999994</v>
      </c>
      <c r="AB44" s="20">
        <f>100*0.116466666666667</f>
        <v>11.6466666666667</v>
      </c>
      <c r="AC44" s="21">
        <f>100*0.759233333333333</f>
        <v>75.923333333333304</v>
      </c>
      <c r="AD44" s="18">
        <f t="shared" si="5"/>
        <v>31.441229406063918</v>
      </c>
      <c r="AE44" s="19">
        <f t="shared" si="6"/>
        <v>20.185518482624918</v>
      </c>
      <c r="AF44" s="20">
        <f t="shared" si="7"/>
        <v>48.37325211131116</v>
      </c>
    </row>
    <row r="45" spans="1:32" ht="33" x14ac:dyDescent="0.25">
      <c r="A45" s="39" t="s">
        <v>66</v>
      </c>
      <c r="B45" s="45"/>
      <c r="C45" s="39" t="s">
        <v>67</v>
      </c>
      <c r="D45" s="45">
        <v>120</v>
      </c>
      <c r="E45" s="39">
        <v>30</v>
      </c>
      <c r="F45" s="45">
        <v>10</v>
      </c>
      <c r="G45" s="42"/>
      <c r="H45" s="16" t="s">
        <v>29</v>
      </c>
      <c r="I45" s="43">
        <f t="shared" si="12"/>
        <v>7.7</v>
      </c>
      <c r="J45" s="47">
        <v>43868</v>
      </c>
      <c r="K45" s="39">
        <v>690</v>
      </c>
      <c r="L45" s="45">
        <v>75</v>
      </c>
      <c r="M45" s="42"/>
      <c r="N45" s="16" t="str">
        <f t="shared" si="8"/>
        <v/>
      </c>
      <c r="O45" s="18">
        <f>O$81</f>
        <v>34.08</v>
      </c>
      <c r="P45" s="19">
        <f>P$81</f>
        <v>3.5199999999999996</v>
      </c>
      <c r="Q45" s="20">
        <f>Q$81</f>
        <v>2.4</v>
      </c>
      <c r="R45" s="21">
        <f>R$81</f>
        <v>60</v>
      </c>
      <c r="S45" s="18">
        <f t="shared" si="14"/>
        <v>85.200000000000017</v>
      </c>
      <c r="T45" s="19">
        <f t="shared" si="15"/>
        <v>8.8000000000000007</v>
      </c>
      <c r="U45" s="20">
        <f t="shared" si="16"/>
        <v>6.0000000000000009</v>
      </c>
      <c r="V45" s="17">
        <v>43933</v>
      </c>
      <c r="W45" s="17">
        <v>43949</v>
      </c>
      <c r="X45" s="2" t="s">
        <v>30</v>
      </c>
      <c r="Y45" s="11" t="s">
        <v>31</v>
      </c>
      <c r="Z45" s="18">
        <f>100*0.135766666666667</f>
        <v>13.5766666666667</v>
      </c>
      <c r="AA45" s="19">
        <f>100*0.0773666666666667</f>
        <v>7.7366666666666699</v>
      </c>
      <c r="AB45" s="20">
        <f>100*0.0301333333333333</f>
        <v>3.0133333333333301</v>
      </c>
      <c r="AC45" s="21">
        <f>100*0.756766666666667</f>
        <v>75.676666666666705</v>
      </c>
      <c r="AD45" s="18">
        <f t="shared" si="5"/>
        <v>55.809810907097898</v>
      </c>
      <c r="AE45" s="19">
        <f t="shared" si="6"/>
        <v>31.803233762674679</v>
      </c>
      <c r="AF45" s="20">
        <f t="shared" si="7"/>
        <v>12.386955330227432</v>
      </c>
    </row>
    <row r="46" spans="1:32" ht="33" x14ac:dyDescent="0.25">
      <c r="A46" s="39" t="s">
        <v>68</v>
      </c>
      <c r="B46" s="45"/>
      <c r="C46" s="39" t="s">
        <v>69</v>
      </c>
      <c r="D46" s="45">
        <v>120</v>
      </c>
      <c r="E46" s="39">
        <v>30</v>
      </c>
      <c r="F46" s="45">
        <v>10</v>
      </c>
      <c r="G46" s="42"/>
      <c r="H46" s="16" t="s">
        <v>29</v>
      </c>
      <c r="I46" s="43">
        <f t="shared" si="12"/>
        <v>7.7</v>
      </c>
      <c r="J46" s="47">
        <v>43873</v>
      </c>
      <c r="K46" s="39">
        <v>690</v>
      </c>
      <c r="L46" s="45">
        <v>75</v>
      </c>
      <c r="M46" s="42"/>
      <c r="N46" s="16" t="str">
        <f t="shared" si="8"/>
        <v/>
      </c>
      <c r="O46" s="18">
        <f>O$84</f>
        <v>28.119999999999997</v>
      </c>
      <c r="P46" s="19">
        <f>P$84</f>
        <v>2.92</v>
      </c>
      <c r="Q46" s="20">
        <f>Q$84</f>
        <v>9.76</v>
      </c>
      <c r="R46" s="21">
        <f>R$84</f>
        <v>60</v>
      </c>
      <c r="S46" s="18">
        <f t="shared" si="14"/>
        <v>68.921568627450981</v>
      </c>
      <c r="T46" s="19">
        <f t="shared" si="15"/>
        <v>7.1568627450980395</v>
      </c>
      <c r="U46" s="20">
        <f t="shared" si="16"/>
        <v>23.921568627450981</v>
      </c>
      <c r="V46" s="17">
        <v>43933</v>
      </c>
      <c r="W46" s="17">
        <v>43949</v>
      </c>
      <c r="X46" s="2" t="s">
        <v>30</v>
      </c>
      <c r="Y46" s="11" t="s">
        <v>31</v>
      </c>
      <c r="Z46" s="18">
        <f>100*0.0973333333333333</f>
        <v>9.7333333333333307</v>
      </c>
      <c r="AA46" s="19">
        <f>100*0.0569666666666667</f>
        <v>5.6966666666666699</v>
      </c>
      <c r="AB46" s="20">
        <f>100*0.106866666666667</f>
        <v>10.686666666666699</v>
      </c>
      <c r="AC46" s="21">
        <f>100*0.738833333333333</f>
        <v>73.883333333333297</v>
      </c>
      <c r="AD46" s="18">
        <f t="shared" si="5"/>
        <v>37.268666241225212</v>
      </c>
      <c r="AE46" s="19">
        <f t="shared" si="6"/>
        <v>21.812380344607515</v>
      </c>
      <c r="AF46" s="20">
        <f t="shared" si="7"/>
        <v>40.91895341416727</v>
      </c>
    </row>
    <row r="47" spans="1:32" ht="33" x14ac:dyDescent="0.25">
      <c r="A47" s="39" t="s">
        <v>70</v>
      </c>
      <c r="B47" s="45"/>
      <c r="C47" s="39" t="s">
        <v>71</v>
      </c>
      <c r="D47" s="45">
        <v>120</v>
      </c>
      <c r="E47" s="39">
        <v>30</v>
      </c>
      <c r="F47" s="45">
        <v>10</v>
      </c>
      <c r="G47" s="42"/>
      <c r="H47" s="16" t="s">
        <v>29</v>
      </c>
      <c r="I47" s="43">
        <f t="shared" si="12"/>
        <v>7.7</v>
      </c>
      <c r="J47" s="47">
        <v>43874</v>
      </c>
      <c r="K47" s="39">
        <v>690</v>
      </c>
      <c r="L47" s="45">
        <v>75</v>
      </c>
      <c r="M47" s="42"/>
      <c r="N47" s="16" t="str">
        <f t="shared" si="8"/>
        <v/>
      </c>
      <c r="O47" s="18">
        <f>O$82</f>
        <v>31.840000000000003</v>
      </c>
      <c r="P47" s="19">
        <f>P$82</f>
        <v>3.2800000000000002</v>
      </c>
      <c r="Q47" s="20">
        <f>Q$82</f>
        <v>4.88</v>
      </c>
      <c r="R47" s="21">
        <f>R$82</f>
        <v>60</v>
      </c>
      <c r="S47" s="18">
        <f t="shared" si="14"/>
        <v>79.599999999999994</v>
      </c>
      <c r="T47" s="19">
        <f t="shared" si="15"/>
        <v>8.1999999999999993</v>
      </c>
      <c r="U47" s="20">
        <f t="shared" si="16"/>
        <v>12.199999999999998</v>
      </c>
      <c r="V47" s="17">
        <v>43933</v>
      </c>
      <c r="W47" s="17">
        <v>43949</v>
      </c>
      <c r="X47" s="2" t="s">
        <v>30</v>
      </c>
      <c r="Y47" s="11" t="s">
        <v>31</v>
      </c>
      <c r="Z47" s="18">
        <f>100*0.115233333333333</f>
        <v>11.5233333333333</v>
      </c>
      <c r="AA47" s="19">
        <f>100*0.0651333333333333</f>
        <v>6.5133333333333292</v>
      </c>
      <c r="AB47" s="20">
        <f>100*0.0583</f>
        <v>5.83</v>
      </c>
      <c r="AC47" s="21">
        <f>100*0.7613</f>
        <v>76.13</v>
      </c>
      <c r="AD47" s="18">
        <f t="shared" si="5"/>
        <v>48.282122905027869</v>
      </c>
      <c r="AE47" s="19">
        <f t="shared" si="6"/>
        <v>27.290502793296113</v>
      </c>
      <c r="AF47" s="20">
        <f t="shared" si="7"/>
        <v>24.427374301676014</v>
      </c>
    </row>
    <row r="48" spans="1:32" ht="33" x14ac:dyDescent="0.25">
      <c r="A48" s="39" t="s">
        <v>72</v>
      </c>
      <c r="B48" s="45"/>
      <c r="C48" s="39" t="s">
        <v>73</v>
      </c>
      <c r="D48" s="45">
        <v>120</v>
      </c>
      <c r="E48" s="39">
        <v>30</v>
      </c>
      <c r="F48" s="45">
        <v>10</v>
      </c>
      <c r="G48" s="42"/>
      <c r="H48" s="16" t="s">
        <v>29</v>
      </c>
      <c r="I48" s="43">
        <f t="shared" si="12"/>
        <v>7.7</v>
      </c>
      <c r="J48" s="47">
        <v>43882</v>
      </c>
      <c r="K48" s="39">
        <v>690</v>
      </c>
      <c r="L48" s="45">
        <v>75</v>
      </c>
      <c r="M48" s="42"/>
      <c r="N48" s="16" t="str">
        <f t="shared" si="8"/>
        <v/>
      </c>
      <c r="O48" s="18">
        <f>O$86</f>
        <v>31.04</v>
      </c>
      <c r="P48" s="19">
        <f>P$86</f>
        <v>1.6400000000000001</v>
      </c>
      <c r="Q48" s="20">
        <f>Q$86</f>
        <v>7.32</v>
      </c>
      <c r="R48" s="21">
        <f>R$86</f>
        <v>60</v>
      </c>
      <c r="S48" s="18">
        <f t="shared" si="14"/>
        <v>77.599999999999994</v>
      </c>
      <c r="T48" s="19">
        <f t="shared" si="15"/>
        <v>4.0999999999999996</v>
      </c>
      <c r="U48" s="20">
        <f t="shared" si="16"/>
        <v>18.3</v>
      </c>
      <c r="V48" s="17">
        <v>43933</v>
      </c>
      <c r="W48" s="17">
        <v>43949</v>
      </c>
      <c r="X48" s="2" t="s">
        <v>30</v>
      </c>
      <c r="Y48" s="11" t="s">
        <v>31</v>
      </c>
      <c r="Z48" s="18">
        <f>100*0.0565</f>
        <v>5.65</v>
      </c>
      <c r="AA48" s="19">
        <f>100*0.0480333333333333</f>
        <v>4.8033333333333301</v>
      </c>
      <c r="AB48" s="20">
        <f>100*0.137033333333333</f>
        <v>13.703333333333301</v>
      </c>
      <c r="AC48" s="21">
        <f>100*0.758433333333333</f>
        <v>75.843333333333291</v>
      </c>
      <c r="AD48" s="18">
        <f t="shared" si="5"/>
        <v>23.388988546984994</v>
      </c>
      <c r="AE48" s="19">
        <f t="shared" si="6"/>
        <v>19.884089968262746</v>
      </c>
      <c r="AF48" s="20">
        <f t="shared" si="7"/>
        <v>56.72692148475226</v>
      </c>
    </row>
    <row r="49" spans="1:32" ht="33" hidden="1" x14ac:dyDescent="0.25">
      <c r="A49" s="39" t="s">
        <v>74</v>
      </c>
      <c r="B49" s="45" t="s">
        <v>75</v>
      </c>
      <c r="C49" s="39"/>
      <c r="D49" s="45">
        <v>120</v>
      </c>
      <c r="E49" s="39">
        <v>120</v>
      </c>
      <c r="F49" s="45">
        <v>10</v>
      </c>
      <c r="G49" s="42">
        <v>2.04</v>
      </c>
      <c r="H49" s="16" t="s">
        <v>29</v>
      </c>
      <c r="I49" s="43">
        <f t="shared" si="12"/>
        <v>7.7</v>
      </c>
      <c r="J49" s="47">
        <v>44262</v>
      </c>
      <c r="K49" s="39">
        <v>600</v>
      </c>
      <c r="L49" s="45">
        <v>35</v>
      </c>
      <c r="M49" s="42">
        <f>60/60</f>
        <v>1</v>
      </c>
      <c r="N49" s="16">
        <f t="shared" si="8"/>
        <v>0.5</v>
      </c>
      <c r="O49" s="18">
        <f t="shared" ref="O49:R69" si="18">$N49*O$87+(1-$N49)*O$88</f>
        <v>18.64</v>
      </c>
      <c r="P49" s="19">
        <f t="shared" si="18"/>
        <v>3.34</v>
      </c>
      <c r="Q49" s="20">
        <f t="shared" si="18"/>
        <v>18.02</v>
      </c>
      <c r="R49" s="21">
        <f t="shared" si="18"/>
        <v>60</v>
      </c>
      <c r="S49" s="18">
        <f t="shared" si="14"/>
        <v>46.6</v>
      </c>
      <c r="T49" s="19">
        <f t="shared" si="15"/>
        <v>8.35</v>
      </c>
      <c r="U49" s="20">
        <f t="shared" si="16"/>
        <v>45.05</v>
      </c>
      <c r="X49" s="2" t="s">
        <v>30</v>
      </c>
      <c r="Y49" s="11" t="s">
        <v>31</v>
      </c>
      <c r="Z49" s="18"/>
      <c r="AA49" s="19"/>
      <c r="AB49" s="20"/>
      <c r="AC49" s="21"/>
      <c r="AD49" s="18"/>
      <c r="AE49" s="19"/>
      <c r="AF49" s="20"/>
    </row>
    <row r="50" spans="1:32" ht="33" hidden="1" x14ac:dyDescent="0.25">
      <c r="A50" s="39" t="s">
        <v>76</v>
      </c>
      <c r="B50" s="45" t="s">
        <v>75</v>
      </c>
      <c r="C50" s="39"/>
      <c r="D50" s="45">
        <v>240</v>
      </c>
      <c r="E50" s="39">
        <v>120</v>
      </c>
      <c r="F50" s="45">
        <v>5.0000000000000001E-3</v>
      </c>
      <c r="G50" s="42">
        <v>2.16</v>
      </c>
      <c r="H50" s="16" t="s">
        <v>29</v>
      </c>
      <c r="I50" s="43">
        <f t="shared" si="12"/>
        <v>7.7</v>
      </c>
      <c r="J50" s="47">
        <v>44263</v>
      </c>
      <c r="K50" s="39">
        <v>600</v>
      </c>
      <c r="L50" s="45">
        <v>35</v>
      </c>
      <c r="M50" s="42">
        <f>60/60</f>
        <v>1</v>
      </c>
      <c r="N50" s="16">
        <f t="shared" si="8"/>
        <v>0.5</v>
      </c>
      <c r="O50" s="18">
        <f t="shared" si="18"/>
        <v>18.64</v>
      </c>
      <c r="P50" s="19">
        <f t="shared" si="18"/>
        <v>3.34</v>
      </c>
      <c r="Q50" s="20">
        <f t="shared" si="18"/>
        <v>18.02</v>
      </c>
      <c r="R50" s="21">
        <f t="shared" si="18"/>
        <v>60</v>
      </c>
      <c r="S50" s="18">
        <f t="shared" si="14"/>
        <v>46.6</v>
      </c>
      <c r="T50" s="19">
        <f t="shared" si="15"/>
        <v>8.35</v>
      </c>
      <c r="U50" s="20">
        <f t="shared" si="16"/>
        <v>45.05</v>
      </c>
      <c r="X50" s="2" t="s">
        <v>30</v>
      </c>
      <c r="Y50" s="11" t="s">
        <v>31</v>
      </c>
      <c r="Z50" s="18"/>
      <c r="AA50" s="19"/>
      <c r="AB50" s="20"/>
      <c r="AC50" s="21"/>
      <c r="AD50" s="18"/>
      <c r="AE50" s="19"/>
      <c r="AF50" s="20"/>
    </row>
    <row r="51" spans="1:32" ht="33" hidden="1" x14ac:dyDescent="0.25">
      <c r="A51" s="39" t="s">
        <v>77</v>
      </c>
      <c r="B51" s="45" t="s">
        <v>75</v>
      </c>
      <c r="C51" s="39"/>
      <c r="D51" s="45">
        <v>360</v>
      </c>
      <c r="E51" s="39">
        <v>120</v>
      </c>
      <c r="F51" s="45">
        <v>5.0000000000000001E-3</v>
      </c>
      <c r="G51" s="42">
        <v>2.16</v>
      </c>
      <c r="H51" s="16" t="s">
        <v>29</v>
      </c>
      <c r="I51" s="43">
        <f t="shared" si="12"/>
        <v>7.7</v>
      </c>
      <c r="J51" s="47">
        <v>44263</v>
      </c>
      <c r="K51" s="39">
        <v>600</v>
      </c>
      <c r="L51" s="45">
        <v>35</v>
      </c>
      <c r="M51" s="42">
        <f>70/70</f>
        <v>1</v>
      </c>
      <c r="N51" s="16">
        <f t="shared" si="8"/>
        <v>0.5</v>
      </c>
      <c r="O51" s="18">
        <f t="shared" si="18"/>
        <v>18.64</v>
      </c>
      <c r="P51" s="19">
        <f t="shared" si="18"/>
        <v>3.34</v>
      </c>
      <c r="Q51" s="20">
        <f t="shared" si="18"/>
        <v>18.02</v>
      </c>
      <c r="R51" s="21">
        <f t="shared" si="18"/>
        <v>60</v>
      </c>
      <c r="S51" s="18">
        <f t="shared" si="14"/>
        <v>46.6</v>
      </c>
      <c r="T51" s="19">
        <f t="shared" si="15"/>
        <v>8.35</v>
      </c>
      <c r="U51" s="20">
        <f t="shared" si="16"/>
        <v>45.05</v>
      </c>
      <c r="X51" s="2" t="s">
        <v>30</v>
      </c>
      <c r="Y51" s="11" t="s">
        <v>31</v>
      </c>
      <c r="Z51" s="18"/>
      <c r="AA51" s="19"/>
      <c r="AB51" s="20"/>
      <c r="AC51" s="21"/>
      <c r="AD51" s="18"/>
      <c r="AE51" s="19"/>
      <c r="AF51" s="20"/>
    </row>
    <row r="52" spans="1:32" ht="33" hidden="1" x14ac:dyDescent="0.25">
      <c r="A52" s="39" t="s">
        <v>78</v>
      </c>
      <c r="B52" s="45" t="s">
        <v>75</v>
      </c>
      <c r="C52" s="39"/>
      <c r="D52" s="45">
        <v>480</v>
      </c>
      <c r="E52" s="39">
        <v>120</v>
      </c>
      <c r="F52" s="45">
        <v>5.0000000000000001E-3</v>
      </c>
      <c r="G52" s="42"/>
      <c r="H52" s="16" t="s">
        <v>29</v>
      </c>
      <c r="I52" s="43">
        <f t="shared" si="12"/>
        <v>7.7</v>
      </c>
      <c r="J52" s="47">
        <v>44313</v>
      </c>
      <c r="K52" s="39">
        <v>670</v>
      </c>
      <c r="L52" s="45">
        <v>35</v>
      </c>
      <c r="M52" s="42">
        <f>18.7/80</f>
        <v>0.23374999999999999</v>
      </c>
      <c r="N52" s="16">
        <f t="shared" si="8"/>
        <v>0.81053698074974678</v>
      </c>
      <c r="O52" s="18">
        <f t="shared" si="18"/>
        <v>15.037771023302938</v>
      </c>
      <c r="P52" s="19">
        <f t="shared" si="18"/>
        <v>3.7250658561296861</v>
      </c>
      <c r="Q52" s="20">
        <f t="shared" si="18"/>
        <v>21.237163120567374</v>
      </c>
      <c r="R52" s="21">
        <f t="shared" si="18"/>
        <v>60</v>
      </c>
      <c r="S52" s="18">
        <f t="shared" si="14"/>
        <v>37.594427558257344</v>
      </c>
      <c r="T52" s="19">
        <f t="shared" si="15"/>
        <v>9.3126646403242148</v>
      </c>
      <c r="U52" s="20">
        <f t="shared" si="16"/>
        <v>53.092907801418434</v>
      </c>
      <c r="X52" s="2" t="s">
        <v>30</v>
      </c>
      <c r="Y52" s="11" t="s">
        <v>31</v>
      </c>
      <c r="Z52" s="18"/>
      <c r="AA52" s="19"/>
      <c r="AB52" s="20"/>
      <c r="AC52" s="21"/>
      <c r="AD52" s="18"/>
      <c r="AE52" s="19"/>
      <c r="AF52" s="20"/>
    </row>
    <row r="53" spans="1:32" ht="33" hidden="1" x14ac:dyDescent="0.25">
      <c r="A53" s="39" t="s">
        <v>79</v>
      </c>
      <c r="B53" s="45" t="s">
        <v>75</v>
      </c>
      <c r="C53" s="39"/>
      <c r="D53" s="45">
        <v>600</v>
      </c>
      <c r="E53" s="39">
        <v>120</v>
      </c>
      <c r="F53" s="45">
        <v>5.0000000000000001E-3</v>
      </c>
      <c r="G53" s="42"/>
      <c r="H53" s="16" t="s">
        <v>29</v>
      </c>
      <c r="I53" s="43">
        <f t="shared" si="12"/>
        <v>7.7</v>
      </c>
      <c r="J53" s="47">
        <v>44314</v>
      </c>
      <c r="K53" s="39">
        <v>670</v>
      </c>
      <c r="L53" s="45">
        <v>35</v>
      </c>
      <c r="M53" s="42">
        <f>60/14</f>
        <v>4.2857142857142856</v>
      </c>
      <c r="N53" s="16">
        <f t="shared" si="8"/>
        <v>0.1891891891891892</v>
      </c>
      <c r="O53" s="18">
        <f t="shared" si="18"/>
        <v>22.2454054054054</v>
      </c>
      <c r="P53" s="19">
        <f t="shared" si="18"/>
        <v>2.9545945945945946</v>
      </c>
      <c r="Q53" s="20">
        <f t="shared" si="18"/>
        <v>14.8</v>
      </c>
      <c r="R53" s="21">
        <f t="shared" si="18"/>
        <v>60</v>
      </c>
      <c r="S53" s="18">
        <f t="shared" si="14"/>
        <v>55.613513513513496</v>
      </c>
      <c r="T53" s="19">
        <f t="shared" si="15"/>
        <v>7.3864864864864872</v>
      </c>
      <c r="U53" s="20">
        <f t="shared" si="16"/>
        <v>37</v>
      </c>
      <c r="X53" s="2" t="s">
        <v>30</v>
      </c>
      <c r="Y53" s="11" t="s">
        <v>31</v>
      </c>
      <c r="Z53" s="18"/>
      <c r="AA53" s="19"/>
      <c r="AB53" s="20"/>
      <c r="AC53" s="21"/>
      <c r="AD53" s="18"/>
      <c r="AE53" s="19"/>
      <c r="AF53" s="20"/>
    </row>
    <row r="54" spans="1:32" ht="33" hidden="1" x14ac:dyDescent="0.25">
      <c r="A54" s="39" t="s">
        <v>80</v>
      </c>
      <c r="B54" s="45" t="s">
        <v>75</v>
      </c>
      <c r="C54" s="39"/>
      <c r="D54" s="45">
        <v>720</v>
      </c>
      <c r="E54" s="39">
        <v>120</v>
      </c>
      <c r="F54" s="45">
        <v>5.0000000000000001E-3</v>
      </c>
      <c r="G54" s="42"/>
      <c r="H54" s="16" t="s">
        <v>29</v>
      </c>
      <c r="I54" s="43">
        <f t="shared" si="12"/>
        <v>7.7</v>
      </c>
      <c r="J54" s="47">
        <v>44326</v>
      </c>
      <c r="K54" s="39">
        <v>670</v>
      </c>
      <c r="L54" s="45">
        <v>35</v>
      </c>
      <c r="M54" s="42">
        <f>60/24</f>
        <v>2.5</v>
      </c>
      <c r="N54" s="16">
        <f t="shared" si="8"/>
        <v>0.2857142857142857</v>
      </c>
      <c r="O54" s="18">
        <f t="shared" si="18"/>
        <v>21.125714285714285</v>
      </c>
      <c r="P54" s="19">
        <f t="shared" si="18"/>
        <v>3.0742857142857147</v>
      </c>
      <c r="Q54" s="20">
        <f t="shared" si="18"/>
        <v>15.799999999999999</v>
      </c>
      <c r="R54" s="21">
        <f t="shared" si="18"/>
        <v>60</v>
      </c>
      <c r="S54" s="18">
        <f t="shared" si="14"/>
        <v>52.81428571428571</v>
      </c>
      <c r="T54" s="19">
        <f t="shared" si="15"/>
        <v>7.6857142857142859</v>
      </c>
      <c r="U54" s="20">
        <f t="shared" si="16"/>
        <v>39.5</v>
      </c>
      <c r="X54" s="2" t="s">
        <v>30</v>
      </c>
      <c r="Y54" s="11" t="s">
        <v>31</v>
      </c>
      <c r="Z54" s="18"/>
      <c r="AA54" s="19"/>
      <c r="AB54" s="20"/>
      <c r="AC54" s="21"/>
      <c r="AD54" s="18"/>
      <c r="AE54" s="19"/>
      <c r="AF54" s="20"/>
    </row>
    <row r="55" spans="1:32" ht="33" hidden="1" x14ac:dyDescent="0.25">
      <c r="A55" s="39" t="s">
        <v>81</v>
      </c>
      <c r="B55" s="45" t="s">
        <v>75</v>
      </c>
      <c r="C55" s="39"/>
      <c r="D55" s="45">
        <v>840</v>
      </c>
      <c r="E55" s="39">
        <v>120</v>
      </c>
      <c r="F55" s="45">
        <v>5.0000000000000001E-3</v>
      </c>
      <c r="G55" s="42"/>
      <c r="H55" s="16" t="s">
        <v>29</v>
      </c>
      <c r="I55" s="43">
        <f t="shared" si="12"/>
        <v>7.7</v>
      </c>
      <c r="J55" s="47">
        <v>44327</v>
      </c>
      <c r="K55" s="39">
        <v>670</v>
      </c>
      <c r="L55" s="45">
        <v>35</v>
      </c>
      <c r="M55" s="42">
        <f>60/37</f>
        <v>1.6216216216216217</v>
      </c>
      <c r="N55" s="16">
        <f t="shared" si="8"/>
        <v>0.38144329896907214</v>
      </c>
      <c r="O55" s="18">
        <f t="shared" si="18"/>
        <v>20.015257731958762</v>
      </c>
      <c r="P55" s="19">
        <f t="shared" si="18"/>
        <v>3.1929896907216495</v>
      </c>
      <c r="Q55" s="20">
        <f t="shared" si="18"/>
        <v>16.791752577319585</v>
      </c>
      <c r="R55" s="21">
        <f t="shared" si="18"/>
        <v>60</v>
      </c>
      <c r="S55" s="18">
        <f t="shared" si="14"/>
        <v>50.038144329896902</v>
      </c>
      <c r="T55" s="19">
        <f t="shared" si="15"/>
        <v>7.9824742268041238</v>
      </c>
      <c r="U55" s="20">
        <f t="shared" si="16"/>
        <v>41.979381443298962</v>
      </c>
      <c r="X55" s="2" t="s">
        <v>30</v>
      </c>
      <c r="Y55" s="11" t="s">
        <v>31</v>
      </c>
      <c r="Z55" s="18"/>
      <c r="AA55" s="19"/>
      <c r="AB55" s="20"/>
      <c r="AC55" s="21"/>
      <c r="AD55" s="18"/>
      <c r="AE55" s="19"/>
      <c r="AF55" s="20"/>
    </row>
    <row r="56" spans="1:32" ht="33" hidden="1" x14ac:dyDescent="0.25">
      <c r="A56" s="39" t="s">
        <v>82</v>
      </c>
      <c r="B56" s="45" t="s">
        <v>75</v>
      </c>
      <c r="C56" s="39"/>
      <c r="D56" s="45">
        <v>960</v>
      </c>
      <c r="E56" s="39">
        <v>120</v>
      </c>
      <c r="F56" s="45">
        <v>5.0000000000000001E-3</v>
      </c>
      <c r="G56" s="42"/>
      <c r="H56" s="16" t="s">
        <v>29</v>
      </c>
      <c r="I56" s="43">
        <f t="shared" si="12"/>
        <v>7.7</v>
      </c>
      <c r="J56" s="47">
        <v>44327</v>
      </c>
      <c r="K56" s="39">
        <v>660</v>
      </c>
      <c r="L56" s="45">
        <v>35</v>
      </c>
      <c r="M56" s="42">
        <f>60/37</f>
        <v>1.6216216216216217</v>
      </c>
      <c r="N56" s="16">
        <f t="shared" si="8"/>
        <v>0.38144329896907214</v>
      </c>
      <c r="O56" s="18">
        <f t="shared" si="18"/>
        <v>20.015257731958762</v>
      </c>
      <c r="P56" s="19">
        <f t="shared" si="18"/>
        <v>3.1929896907216495</v>
      </c>
      <c r="Q56" s="20">
        <f t="shared" si="18"/>
        <v>16.791752577319585</v>
      </c>
      <c r="R56" s="21">
        <f t="shared" si="18"/>
        <v>60</v>
      </c>
      <c r="S56" s="18">
        <f t="shared" si="14"/>
        <v>50.038144329896902</v>
      </c>
      <c r="T56" s="19">
        <f t="shared" si="15"/>
        <v>7.9824742268041238</v>
      </c>
      <c r="U56" s="20">
        <f t="shared" si="16"/>
        <v>41.979381443298962</v>
      </c>
      <c r="X56" s="2" t="s">
        <v>30</v>
      </c>
      <c r="Y56" s="11" t="s">
        <v>31</v>
      </c>
      <c r="Z56" s="18"/>
      <c r="AA56" s="19"/>
      <c r="AB56" s="20"/>
      <c r="AC56" s="21"/>
      <c r="AD56" s="18"/>
      <c r="AE56" s="19"/>
      <c r="AF56" s="20"/>
    </row>
    <row r="57" spans="1:32" ht="33" x14ac:dyDescent="0.25">
      <c r="A57" s="39" t="s">
        <v>85</v>
      </c>
      <c r="B57" s="45" t="s">
        <v>75</v>
      </c>
      <c r="C57" s="39"/>
      <c r="D57" s="45">
        <v>1080</v>
      </c>
      <c r="E57" s="39">
        <v>120</v>
      </c>
      <c r="F57" s="45">
        <v>5.0000000000000001E-3</v>
      </c>
      <c r="G57" s="42"/>
      <c r="H57" s="16" t="s">
        <v>86</v>
      </c>
      <c r="I57" s="43">
        <f t="shared" si="12"/>
        <v>7.7</v>
      </c>
      <c r="J57" s="47">
        <v>44335</v>
      </c>
      <c r="K57" s="39">
        <v>670</v>
      </c>
      <c r="L57" s="45">
        <v>10</v>
      </c>
      <c r="M57" s="42">
        <f t="shared" ref="M57:M66" si="19">60/14</f>
        <v>4.2857142857142856</v>
      </c>
      <c r="N57" s="16">
        <f t="shared" si="8"/>
        <v>0.1891891891891892</v>
      </c>
      <c r="O57" s="18">
        <f t="shared" si="18"/>
        <v>22.2454054054054</v>
      </c>
      <c r="P57" s="19">
        <f t="shared" si="18"/>
        <v>2.9545945945945946</v>
      </c>
      <c r="Q57" s="20">
        <f t="shared" si="18"/>
        <v>14.8</v>
      </c>
      <c r="R57" s="21">
        <f t="shared" si="18"/>
        <v>60</v>
      </c>
      <c r="S57" s="18">
        <f t="shared" si="14"/>
        <v>55.613513513513496</v>
      </c>
      <c r="T57" s="19">
        <f t="shared" si="15"/>
        <v>7.3864864864864872</v>
      </c>
      <c r="U57" s="20">
        <f t="shared" si="16"/>
        <v>37</v>
      </c>
      <c r="V57" s="17">
        <v>44581</v>
      </c>
      <c r="W57" s="17">
        <v>44581</v>
      </c>
      <c r="X57" s="2" t="s">
        <v>30</v>
      </c>
      <c r="Y57" s="11" t="s">
        <v>31</v>
      </c>
      <c r="Z57" s="18">
        <f>100*0.1527</f>
        <v>15.27</v>
      </c>
      <c r="AA57" s="19">
        <f>100*0.0672</f>
        <v>6.72</v>
      </c>
      <c r="AB57" s="20">
        <f>100*0.2129</f>
        <v>21.29</v>
      </c>
      <c r="AC57" s="21">
        <f>100*0.5674</f>
        <v>56.74</v>
      </c>
      <c r="AD57" s="18">
        <f>100*Z57/SUM($Z57:$AB57)</f>
        <v>35.281885397412196</v>
      </c>
      <c r="AE57" s="19">
        <f>100*AA57/SUM($Z57:$AB57)</f>
        <v>15.526802218114602</v>
      </c>
      <c r="AF57" s="20">
        <f>100*AB57/SUM($Z57:$AB57)</f>
        <v>49.1913123844732</v>
      </c>
    </row>
    <row r="58" spans="1:32" hidden="1" x14ac:dyDescent="0.25">
      <c r="A58" s="39" t="s">
        <v>83</v>
      </c>
      <c r="B58" s="45" t="s">
        <v>75</v>
      </c>
      <c r="C58" s="39"/>
      <c r="D58" s="45">
        <v>1080</v>
      </c>
      <c r="E58" s="39">
        <v>120</v>
      </c>
      <c r="F58" s="45">
        <v>5.0000000000000001E-3</v>
      </c>
      <c r="G58" s="42"/>
      <c r="H58" s="16" t="s">
        <v>29</v>
      </c>
      <c r="I58" s="43">
        <f t="shared" si="12"/>
        <v>7.7</v>
      </c>
      <c r="J58" s="47">
        <v>44335</v>
      </c>
      <c r="K58" s="39">
        <v>670</v>
      </c>
      <c r="L58" s="45">
        <v>10</v>
      </c>
      <c r="M58" s="42">
        <f t="shared" si="19"/>
        <v>4.2857142857142856</v>
      </c>
      <c r="N58" s="16">
        <f t="shared" si="8"/>
        <v>0.1891891891891892</v>
      </c>
      <c r="O58" s="18">
        <f t="shared" si="18"/>
        <v>22.2454054054054</v>
      </c>
      <c r="P58" s="19">
        <f t="shared" si="18"/>
        <v>2.9545945945945946</v>
      </c>
      <c r="Q58" s="20">
        <f t="shared" si="18"/>
        <v>14.8</v>
      </c>
      <c r="R58" s="21">
        <f t="shared" si="18"/>
        <v>60</v>
      </c>
      <c r="S58" s="18">
        <f t="shared" si="14"/>
        <v>55.613513513513496</v>
      </c>
      <c r="T58" s="19">
        <f t="shared" si="15"/>
        <v>7.3864864864864872</v>
      </c>
      <c r="U58" s="20">
        <f t="shared" si="16"/>
        <v>37</v>
      </c>
      <c r="Z58" s="18"/>
      <c r="AA58" s="19"/>
      <c r="AB58" s="20"/>
      <c r="AC58" s="21"/>
      <c r="AD58" s="18"/>
      <c r="AE58" s="19"/>
      <c r="AF58" s="20"/>
    </row>
    <row r="59" spans="1:32" ht="33" x14ac:dyDescent="0.25">
      <c r="A59" s="39" t="s">
        <v>87</v>
      </c>
      <c r="B59" s="45" t="s">
        <v>75</v>
      </c>
      <c r="C59" s="39"/>
      <c r="D59" s="45">
        <v>1080</v>
      </c>
      <c r="E59" s="39">
        <v>120</v>
      </c>
      <c r="F59" s="45">
        <v>5.0000000000000001E-3</v>
      </c>
      <c r="G59" s="42"/>
      <c r="H59" s="16" t="s">
        <v>29</v>
      </c>
      <c r="I59" s="43">
        <f t="shared" si="12"/>
        <v>7.7</v>
      </c>
      <c r="J59" s="47">
        <v>44335</v>
      </c>
      <c r="K59" s="39">
        <v>670</v>
      </c>
      <c r="L59" s="45">
        <v>10</v>
      </c>
      <c r="M59" s="42">
        <f t="shared" si="19"/>
        <v>4.2857142857142856</v>
      </c>
      <c r="N59" s="16">
        <f t="shared" si="8"/>
        <v>0.1891891891891892</v>
      </c>
      <c r="O59" s="18">
        <f t="shared" si="18"/>
        <v>22.2454054054054</v>
      </c>
      <c r="P59" s="19">
        <f t="shared" si="18"/>
        <v>2.9545945945945946</v>
      </c>
      <c r="Q59" s="20">
        <f t="shared" si="18"/>
        <v>14.8</v>
      </c>
      <c r="R59" s="21">
        <f t="shared" si="18"/>
        <v>60</v>
      </c>
      <c r="S59" s="18">
        <f t="shared" si="14"/>
        <v>55.613513513513496</v>
      </c>
      <c r="T59" s="19">
        <f t="shared" si="15"/>
        <v>7.3864864864864872</v>
      </c>
      <c r="U59" s="20">
        <f t="shared" si="16"/>
        <v>37</v>
      </c>
      <c r="V59" s="17">
        <v>44581</v>
      </c>
      <c r="W59" s="17">
        <v>44581</v>
      </c>
      <c r="X59" s="2" t="s">
        <v>30</v>
      </c>
      <c r="Y59" s="11" t="s">
        <v>31</v>
      </c>
      <c r="Z59" s="18">
        <f>100*0.0773</f>
        <v>7.7299999999999995</v>
      </c>
      <c r="AA59" s="19">
        <f>100*0.0649</f>
        <v>6.49</v>
      </c>
      <c r="AB59" s="20">
        <f>100*0.2081</f>
        <v>20.810000000000002</v>
      </c>
      <c r="AC59" s="21">
        <f>100*0.6498</f>
        <v>64.98</v>
      </c>
      <c r="AD59" s="18">
        <f t="shared" ref="AD59:AF60" si="20">100*Z59/SUM($Z59:$AB59)</f>
        <v>22.066799885812159</v>
      </c>
      <c r="AE59" s="19">
        <f t="shared" si="20"/>
        <v>18.526976876962603</v>
      </c>
      <c r="AF59" s="20">
        <f t="shared" si="20"/>
        <v>59.406223237225234</v>
      </c>
    </row>
    <row r="60" spans="1:32" ht="33" x14ac:dyDescent="0.25">
      <c r="A60" s="39" t="s">
        <v>88</v>
      </c>
      <c r="B60" s="45" t="s">
        <v>75</v>
      </c>
      <c r="C60" s="39"/>
      <c r="D60" s="45">
        <v>1200</v>
      </c>
      <c r="E60" s="39">
        <v>120</v>
      </c>
      <c r="F60" s="45">
        <v>5.0000000000000001E-3</v>
      </c>
      <c r="G60" s="42"/>
      <c r="H60" s="16" t="s">
        <v>86</v>
      </c>
      <c r="I60" s="43">
        <f t="shared" si="12"/>
        <v>7.7</v>
      </c>
      <c r="J60" s="47">
        <v>44336</v>
      </c>
      <c r="K60" s="39">
        <v>670</v>
      </c>
      <c r="L60" s="45">
        <v>75</v>
      </c>
      <c r="M60" s="42">
        <f t="shared" si="19"/>
        <v>4.2857142857142856</v>
      </c>
      <c r="N60" s="16">
        <f t="shared" si="8"/>
        <v>0.1891891891891892</v>
      </c>
      <c r="O60" s="18">
        <f t="shared" si="18"/>
        <v>22.2454054054054</v>
      </c>
      <c r="P60" s="19">
        <f t="shared" si="18"/>
        <v>2.9545945945945946</v>
      </c>
      <c r="Q60" s="20">
        <f t="shared" si="18"/>
        <v>14.8</v>
      </c>
      <c r="R60" s="21">
        <f t="shared" si="18"/>
        <v>60</v>
      </c>
      <c r="S60" s="18">
        <f t="shared" si="14"/>
        <v>55.613513513513496</v>
      </c>
      <c r="T60" s="19">
        <f t="shared" si="15"/>
        <v>7.3864864864864872</v>
      </c>
      <c r="U60" s="20">
        <f t="shared" si="16"/>
        <v>37</v>
      </c>
      <c r="V60" s="17">
        <v>44581</v>
      </c>
      <c r="W60" s="17">
        <v>44581</v>
      </c>
      <c r="X60" s="2" t="s">
        <v>30</v>
      </c>
      <c r="Y60" s="11" t="s">
        <v>31</v>
      </c>
      <c r="Z60" s="18">
        <f>100*0.1443</f>
        <v>14.430000000000001</v>
      </c>
      <c r="AA60" s="19">
        <f>100*0.1242</f>
        <v>12.42</v>
      </c>
      <c r="AB60" s="20">
        <f>100*0.2594</f>
        <v>25.94</v>
      </c>
      <c r="AC60" s="21">
        <f>100*0.4721</f>
        <v>47.21</v>
      </c>
      <c r="AD60" s="18">
        <f t="shared" si="20"/>
        <v>27.33472248531919</v>
      </c>
      <c r="AE60" s="19">
        <f t="shared" si="20"/>
        <v>23.527183178632313</v>
      </c>
      <c r="AF60" s="20">
        <f t="shared" si="20"/>
        <v>49.138094336048489</v>
      </c>
    </row>
    <row r="61" spans="1:32" ht="33" hidden="1" x14ac:dyDescent="0.25">
      <c r="A61" s="39" t="s">
        <v>84</v>
      </c>
      <c r="B61" s="45" t="s">
        <v>75</v>
      </c>
      <c r="C61" s="39"/>
      <c r="D61" s="45"/>
      <c r="E61" s="39">
        <v>120</v>
      </c>
      <c r="F61" s="45">
        <v>5.0000000000000001E-3</v>
      </c>
      <c r="G61" s="42"/>
      <c r="H61" s="16" t="s">
        <v>29</v>
      </c>
      <c r="I61" s="43">
        <f t="shared" si="12"/>
        <v>7.7</v>
      </c>
      <c r="J61" s="47">
        <v>44336</v>
      </c>
      <c r="K61" s="39">
        <v>670</v>
      </c>
      <c r="L61" s="45">
        <v>75</v>
      </c>
      <c r="M61" s="42">
        <f t="shared" si="19"/>
        <v>4.2857142857142856</v>
      </c>
      <c r="N61" s="16">
        <f t="shared" si="8"/>
        <v>0.1891891891891892</v>
      </c>
      <c r="O61" s="18">
        <f t="shared" si="18"/>
        <v>22.2454054054054</v>
      </c>
      <c r="P61" s="19">
        <f t="shared" si="18"/>
        <v>2.9545945945945946</v>
      </c>
      <c r="Q61" s="20">
        <f t="shared" si="18"/>
        <v>14.8</v>
      </c>
      <c r="R61" s="21">
        <f t="shared" si="18"/>
        <v>60</v>
      </c>
      <c r="S61" s="18">
        <f t="shared" si="14"/>
        <v>55.613513513513496</v>
      </c>
      <c r="T61" s="19">
        <f t="shared" si="15"/>
        <v>7.3864864864864872</v>
      </c>
      <c r="U61" s="20">
        <f t="shared" si="16"/>
        <v>37</v>
      </c>
      <c r="X61" s="2" t="s">
        <v>30</v>
      </c>
      <c r="Y61" s="11" t="s">
        <v>31</v>
      </c>
      <c r="Z61" s="18"/>
      <c r="AA61" s="19"/>
      <c r="AB61" s="20"/>
      <c r="AC61" s="21"/>
      <c r="AD61" s="18"/>
      <c r="AE61" s="19"/>
      <c r="AF61" s="20"/>
    </row>
    <row r="62" spans="1:32" ht="33" x14ac:dyDescent="0.25">
      <c r="A62" s="39" t="s">
        <v>89</v>
      </c>
      <c r="B62" s="45" t="s">
        <v>75</v>
      </c>
      <c r="C62" s="39"/>
      <c r="D62" s="45">
        <v>1200</v>
      </c>
      <c r="E62" s="39">
        <v>120</v>
      </c>
      <c r="F62" s="45">
        <v>5.0000000000000001E-3</v>
      </c>
      <c r="G62" s="42"/>
      <c r="H62" s="16" t="s">
        <v>29</v>
      </c>
      <c r="I62" s="43">
        <f t="shared" si="12"/>
        <v>7.7</v>
      </c>
      <c r="J62" s="47">
        <v>44336</v>
      </c>
      <c r="K62" s="39">
        <v>670</v>
      </c>
      <c r="L62" s="45">
        <v>75</v>
      </c>
      <c r="M62" s="42">
        <f t="shared" si="19"/>
        <v>4.2857142857142856</v>
      </c>
      <c r="N62" s="16">
        <f t="shared" si="8"/>
        <v>0.1891891891891892</v>
      </c>
      <c r="O62" s="18">
        <f t="shared" si="18"/>
        <v>22.2454054054054</v>
      </c>
      <c r="P62" s="19">
        <f t="shared" si="18"/>
        <v>2.9545945945945946</v>
      </c>
      <c r="Q62" s="20">
        <f t="shared" si="18"/>
        <v>14.8</v>
      </c>
      <c r="R62" s="21">
        <f t="shared" si="18"/>
        <v>60</v>
      </c>
      <c r="S62" s="18">
        <f t="shared" si="14"/>
        <v>55.613513513513496</v>
      </c>
      <c r="T62" s="19">
        <f t="shared" si="15"/>
        <v>7.3864864864864872</v>
      </c>
      <c r="U62" s="20">
        <f t="shared" si="16"/>
        <v>37</v>
      </c>
      <c r="V62" s="17">
        <v>44581</v>
      </c>
      <c r="W62" s="17">
        <v>44581</v>
      </c>
      <c r="X62" s="2" t="s">
        <v>30</v>
      </c>
      <c r="Y62" s="11" t="s">
        <v>31</v>
      </c>
      <c r="Z62" s="18">
        <f>100*0.0716</f>
        <v>7.16</v>
      </c>
      <c r="AA62" s="19">
        <f>100*0.0586</f>
        <v>5.86</v>
      </c>
      <c r="AB62" s="20">
        <f>100*0.1247</f>
        <v>12.47</v>
      </c>
      <c r="AC62" s="21">
        <f>100*0.7453</f>
        <v>74.53</v>
      </c>
      <c r="AD62" s="18">
        <f t="shared" ref="AD62:AF68" si="21">100*Z62/SUM($Z62:$AB62)</f>
        <v>28.089446841898781</v>
      </c>
      <c r="AE62" s="19">
        <f t="shared" si="21"/>
        <v>22.989407610827772</v>
      </c>
      <c r="AF62" s="20">
        <f t="shared" si="21"/>
        <v>48.92114554727344</v>
      </c>
    </row>
    <row r="63" spans="1:32" ht="33" x14ac:dyDescent="0.25">
      <c r="A63" s="39" t="s">
        <v>90</v>
      </c>
      <c r="B63" s="45" t="s">
        <v>75</v>
      </c>
      <c r="C63" s="39"/>
      <c r="D63" s="45">
        <v>1320</v>
      </c>
      <c r="E63" s="39">
        <v>120</v>
      </c>
      <c r="F63" s="45">
        <v>5.0000000000000001E-3</v>
      </c>
      <c r="G63" s="42">
        <v>2.7</v>
      </c>
      <c r="H63" s="16" t="s">
        <v>29</v>
      </c>
      <c r="I63" s="43">
        <f t="shared" si="12"/>
        <v>7.7</v>
      </c>
      <c r="J63" s="47">
        <v>44517</v>
      </c>
      <c r="K63" s="39">
        <v>690</v>
      </c>
      <c r="L63" s="45">
        <v>35</v>
      </c>
      <c r="M63" s="42">
        <f t="shared" si="19"/>
        <v>4.2857142857142856</v>
      </c>
      <c r="N63" s="16">
        <f t="shared" si="8"/>
        <v>0.1891891891891892</v>
      </c>
      <c r="O63" s="18">
        <f t="shared" si="18"/>
        <v>22.2454054054054</v>
      </c>
      <c r="P63" s="19">
        <f t="shared" si="18"/>
        <v>2.9545945945945946</v>
      </c>
      <c r="Q63" s="20">
        <f t="shared" si="18"/>
        <v>14.8</v>
      </c>
      <c r="R63" s="21">
        <f t="shared" si="18"/>
        <v>60</v>
      </c>
      <c r="S63" s="18">
        <f t="shared" si="14"/>
        <v>55.613513513513496</v>
      </c>
      <c r="T63" s="19">
        <f t="shared" si="15"/>
        <v>7.3864864864864872</v>
      </c>
      <c r="U63" s="20">
        <f t="shared" si="16"/>
        <v>37</v>
      </c>
      <c r="V63" s="17">
        <v>44581</v>
      </c>
      <c r="W63" s="17">
        <v>44581</v>
      </c>
      <c r="X63" s="2" t="s">
        <v>30</v>
      </c>
      <c r="Y63" s="11" t="s">
        <v>31</v>
      </c>
      <c r="Z63" s="18">
        <f>100*0.0807</f>
        <v>8.07</v>
      </c>
      <c r="AA63" s="19">
        <f>100*0.0658</f>
        <v>6.58</v>
      </c>
      <c r="AB63" s="20">
        <f>100*0.1648</f>
        <v>16.48</v>
      </c>
      <c r="AC63" s="21">
        <f>100*0.6888</f>
        <v>68.88</v>
      </c>
      <c r="AD63" s="18">
        <f t="shared" si="21"/>
        <v>25.923546418246062</v>
      </c>
      <c r="AE63" s="19">
        <f t="shared" si="21"/>
        <v>21.137166720205588</v>
      </c>
      <c r="AF63" s="20">
        <f t="shared" si="21"/>
        <v>52.939286861548339</v>
      </c>
    </row>
    <row r="64" spans="1:32" ht="33" x14ac:dyDescent="0.25">
      <c r="A64" s="39" t="s">
        <v>91</v>
      </c>
      <c r="B64" s="45" t="s">
        <v>75</v>
      </c>
      <c r="C64" s="39"/>
      <c r="D64" s="45">
        <v>1320</v>
      </c>
      <c r="E64" s="39">
        <v>120</v>
      </c>
      <c r="F64" s="45">
        <v>5.0000000000000001E-3</v>
      </c>
      <c r="G64" s="42">
        <v>2.78</v>
      </c>
      <c r="H64" s="16" t="s">
        <v>86</v>
      </c>
      <c r="I64" s="43">
        <f t="shared" si="12"/>
        <v>7.7</v>
      </c>
      <c r="J64" s="47">
        <v>44517</v>
      </c>
      <c r="K64" s="39">
        <v>690</v>
      </c>
      <c r="L64" s="45">
        <v>35</v>
      </c>
      <c r="M64" s="42">
        <f t="shared" si="19"/>
        <v>4.2857142857142856</v>
      </c>
      <c r="N64" s="16">
        <f t="shared" si="8"/>
        <v>0.1891891891891892</v>
      </c>
      <c r="O64" s="18">
        <f t="shared" si="18"/>
        <v>22.2454054054054</v>
      </c>
      <c r="P64" s="19">
        <f t="shared" si="18"/>
        <v>2.9545945945945946</v>
      </c>
      <c r="Q64" s="20">
        <f t="shared" si="18"/>
        <v>14.8</v>
      </c>
      <c r="R64" s="21">
        <f t="shared" si="18"/>
        <v>60</v>
      </c>
      <c r="S64" s="18">
        <f t="shared" si="14"/>
        <v>55.613513513513496</v>
      </c>
      <c r="T64" s="19">
        <f t="shared" si="15"/>
        <v>7.3864864864864872</v>
      </c>
      <c r="U64" s="20">
        <f t="shared" si="16"/>
        <v>37</v>
      </c>
      <c r="V64" s="17">
        <v>44581</v>
      </c>
      <c r="W64" s="17">
        <v>44581</v>
      </c>
      <c r="X64" s="2" t="s">
        <v>30</v>
      </c>
      <c r="Y64" s="11" t="s">
        <v>31</v>
      </c>
      <c r="Z64" s="18">
        <f>100*0.1325</f>
        <v>13.25</v>
      </c>
      <c r="AA64" s="19">
        <f>100*0.0873</f>
        <v>8.73</v>
      </c>
      <c r="AB64" s="20">
        <f>100*0.2148</f>
        <v>21.48</v>
      </c>
      <c r="AC64" s="21">
        <f>100*0.5654</f>
        <v>56.54</v>
      </c>
      <c r="AD64" s="18">
        <f t="shared" si="21"/>
        <v>30.487804878048781</v>
      </c>
      <c r="AE64" s="19">
        <f t="shared" si="21"/>
        <v>20.087436723423838</v>
      </c>
      <c r="AF64" s="20">
        <f t="shared" si="21"/>
        <v>49.424758398527381</v>
      </c>
    </row>
    <row r="65" spans="1:32" ht="33" x14ac:dyDescent="0.25">
      <c r="A65" s="39" t="s">
        <v>92</v>
      </c>
      <c r="B65" s="45" t="s">
        <v>75</v>
      </c>
      <c r="C65" s="39"/>
      <c r="D65" s="45">
        <v>1440</v>
      </c>
      <c r="E65" s="39">
        <v>120</v>
      </c>
      <c r="F65" s="45">
        <v>5.0000000000000001E-3</v>
      </c>
      <c r="G65" s="42">
        <v>2.78</v>
      </c>
      <c r="H65" s="16" t="s">
        <v>86</v>
      </c>
      <c r="I65" s="43">
        <f t="shared" si="12"/>
        <v>7.7</v>
      </c>
      <c r="J65" s="47">
        <v>44523</v>
      </c>
      <c r="K65" s="39">
        <v>680</v>
      </c>
      <c r="L65" s="45">
        <v>35</v>
      </c>
      <c r="M65" s="42">
        <f t="shared" si="19"/>
        <v>4.2857142857142856</v>
      </c>
      <c r="N65" s="16">
        <f t="shared" si="8"/>
        <v>0.1891891891891892</v>
      </c>
      <c r="O65" s="18">
        <f t="shared" si="18"/>
        <v>22.2454054054054</v>
      </c>
      <c r="P65" s="19">
        <f t="shared" si="18"/>
        <v>2.9545945945945946</v>
      </c>
      <c r="Q65" s="20">
        <f t="shared" si="18"/>
        <v>14.8</v>
      </c>
      <c r="R65" s="21">
        <f t="shared" si="18"/>
        <v>60</v>
      </c>
      <c r="S65" s="18">
        <f t="shared" si="14"/>
        <v>55.613513513513496</v>
      </c>
      <c r="T65" s="19">
        <f t="shared" si="15"/>
        <v>7.3864864864864872</v>
      </c>
      <c r="U65" s="20">
        <f t="shared" si="16"/>
        <v>37</v>
      </c>
      <c r="V65" s="17">
        <v>44581</v>
      </c>
      <c r="W65" s="17">
        <v>44581</v>
      </c>
      <c r="X65" s="2" t="s">
        <v>30</v>
      </c>
      <c r="Y65" s="11" t="s">
        <v>31</v>
      </c>
      <c r="Z65" s="18">
        <f>100*0.1324</f>
        <v>13.239999999999998</v>
      </c>
      <c r="AA65" s="19">
        <f>100*0.0866</f>
        <v>8.66</v>
      </c>
      <c r="AB65" s="20">
        <f>100*0.2111</f>
        <v>21.11</v>
      </c>
      <c r="AC65" s="21">
        <f>100*0.5701</f>
        <v>57.010000000000005</v>
      </c>
      <c r="AD65" s="18">
        <f t="shared" si="21"/>
        <v>30.783538711927456</v>
      </c>
      <c r="AE65" s="19">
        <f t="shared" si="21"/>
        <v>20.134852359916298</v>
      </c>
      <c r="AF65" s="20">
        <f t="shared" si="21"/>
        <v>49.081608928156243</v>
      </c>
    </row>
    <row r="66" spans="1:32" ht="33" x14ac:dyDescent="0.25">
      <c r="A66" s="39" t="s">
        <v>93</v>
      </c>
      <c r="B66" s="45" t="s">
        <v>75</v>
      </c>
      <c r="C66" s="39"/>
      <c r="D66" s="45">
        <v>1440</v>
      </c>
      <c r="E66" s="39">
        <v>120</v>
      </c>
      <c r="F66" s="45">
        <v>5.0000000000000001E-3</v>
      </c>
      <c r="G66" s="42">
        <v>2.78</v>
      </c>
      <c r="H66" s="16" t="s">
        <v>29</v>
      </c>
      <c r="I66" s="43">
        <f t="shared" si="12"/>
        <v>7.7</v>
      </c>
      <c r="J66" s="47">
        <v>44523</v>
      </c>
      <c r="K66" s="39">
        <v>680</v>
      </c>
      <c r="L66" s="45">
        <v>35</v>
      </c>
      <c r="M66" s="42">
        <f t="shared" si="19"/>
        <v>4.2857142857142856</v>
      </c>
      <c r="N66" s="16">
        <f t="shared" si="8"/>
        <v>0.1891891891891892</v>
      </c>
      <c r="O66" s="18">
        <f t="shared" si="18"/>
        <v>22.2454054054054</v>
      </c>
      <c r="P66" s="19">
        <f t="shared" si="18"/>
        <v>2.9545945945945946</v>
      </c>
      <c r="Q66" s="20">
        <f t="shared" si="18"/>
        <v>14.8</v>
      </c>
      <c r="R66" s="21">
        <f t="shared" si="18"/>
        <v>60</v>
      </c>
      <c r="S66" s="18">
        <f t="shared" si="14"/>
        <v>55.613513513513496</v>
      </c>
      <c r="T66" s="19">
        <f t="shared" si="15"/>
        <v>7.3864864864864872</v>
      </c>
      <c r="U66" s="20">
        <f t="shared" si="16"/>
        <v>37</v>
      </c>
      <c r="V66" s="17">
        <v>44581</v>
      </c>
      <c r="W66" s="17">
        <v>44581</v>
      </c>
      <c r="X66" s="2" t="s">
        <v>30</v>
      </c>
      <c r="Y66" s="11" t="s">
        <v>31</v>
      </c>
      <c r="Z66" s="18">
        <f>100*0.0746</f>
        <v>7.46</v>
      </c>
      <c r="AA66" s="19">
        <f>100*0.0683</f>
        <v>6.83</v>
      </c>
      <c r="AB66" s="20">
        <f>100*0.165</f>
        <v>16.5</v>
      </c>
      <c r="AC66" s="21">
        <f>100*0.6921</f>
        <v>69.210000000000008</v>
      </c>
      <c r="AD66" s="18">
        <f t="shared" si="21"/>
        <v>24.228645664176682</v>
      </c>
      <c r="AE66" s="19">
        <f t="shared" si="21"/>
        <v>22.182526794413771</v>
      </c>
      <c r="AF66" s="20">
        <f t="shared" si="21"/>
        <v>53.58882754140955</v>
      </c>
    </row>
    <row r="67" spans="1:32" ht="33" x14ac:dyDescent="0.25">
      <c r="A67" s="39" t="s">
        <v>94</v>
      </c>
      <c r="B67" s="45" t="s">
        <v>75</v>
      </c>
      <c r="C67" s="39"/>
      <c r="D67" s="45">
        <v>1560</v>
      </c>
      <c r="E67" s="39">
        <v>120</v>
      </c>
      <c r="F67" s="45">
        <v>5.0000000000000001E-3</v>
      </c>
      <c r="G67" s="42">
        <v>2.78</v>
      </c>
      <c r="H67" s="16" t="s">
        <v>86</v>
      </c>
      <c r="I67" s="43">
        <f t="shared" si="12"/>
        <v>7.7</v>
      </c>
      <c r="J67" s="47">
        <v>44524</v>
      </c>
      <c r="K67" s="39">
        <v>670</v>
      </c>
      <c r="L67" s="45">
        <v>35</v>
      </c>
      <c r="M67" s="42">
        <f>60/11</f>
        <v>5.4545454545454541</v>
      </c>
      <c r="N67" s="16">
        <f t="shared" si="8"/>
        <v>0.15492957746478875</v>
      </c>
      <c r="O67" s="18">
        <f t="shared" si="18"/>
        <v>22.642816901408452</v>
      </c>
      <c r="P67" s="19">
        <f t="shared" si="18"/>
        <v>2.9121126760563381</v>
      </c>
      <c r="Q67" s="20">
        <f t="shared" si="18"/>
        <v>14.445070422535212</v>
      </c>
      <c r="R67" s="21">
        <f t="shared" si="18"/>
        <v>60</v>
      </c>
      <c r="S67" s="18">
        <f t="shared" si="14"/>
        <v>56.607042253521129</v>
      </c>
      <c r="T67" s="19">
        <f t="shared" si="15"/>
        <v>7.2802816901408445</v>
      </c>
      <c r="U67" s="20">
        <f t="shared" si="16"/>
        <v>36.112676056338032</v>
      </c>
      <c r="V67" s="17">
        <v>44581</v>
      </c>
      <c r="W67" s="17">
        <v>44581</v>
      </c>
      <c r="X67" s="2" t="s">
        <v>30</v>
      </c>
      <c r="Y67" s="11" t="s">
        <v>31</v>
      </c>
      <c r="Z67" s="18">
        <f>100*0.183</f>
        <v>18.3</v>
      </c>
      <c r="AA67" s="19">
        <f>100*0.0772</f>
        <v>7.7200000000000006</v>
      </c>
      <c r="AB67" s="20">
        <f>100*0.1844</f>
        <v>18.440000000000001</v>
      </c>
      <c r="AC67" s="21">
        <f>100*0.5554</f>
        <v>55.54</v>
      </c>
      <c r="AD67" s="18">
        <f t="shared" si="21"/>
        <v>41.160593792172733</v>
      </c>
      <c r="AE67" s="19">
        <f t="shared" si="21"/>
        <v>17.36392262708052</v>
      </c>
      <c r="AF67" s="20">
        <f t="shared" si="21"/>
        <v>41.475483580746733</v>
      </c>
    </row>
    <row r="68" spans="1:32" ht="33" x14ac:dyDescent="0.25">
      <c r="A68" s="39" t="s">
        <v>95</v>
      </c>
      <c r="B68" s="45" t="s">
        <v>75</v>
      </c>
      <c r="C68" s="39"/>
      <c r="D68" s="45">
        <v>1560</v>
      </c>
      <c r="E68" s="39">
        <v>120</v>
      </c>
      <c r="F68" s="45">
        <v>5.0000000000000001E-3</v>
      </c>
      <c r="G68" s="42">
        <v>2.78</v>
      </c>
      <c r="H68" s="16" t="s">
        <v>29</v>
      </c>
      <c r="I68" s="43">
        <f t="shared" si="12"/>
        <v>7.7</v>
      </c>
      <c r="J68" s="47">
        <v>44524</v>
      </c>
      <c r="K68" s="39">
        <v>670</v>
      </c>
      <c r="L68" s="45">
        <v>35</v>
      </c>
      <c r="M68" s="42">
        <f>60/11</f>
        <v>5.4545454545454541</v>
      </c>
      <c r="N68" s="16">
        <f t="shared" si="8"/>
        <v>0.15492957746478875</v>
      </c>
      <c r="O68" s="18">
        <f t="shared" si="18"/>
        <v>22.642816901408452</v>
      </c>
      <c r="P68" s="19">
        <f t="shared" si="18"/>
        <v>2.9121126760563381</v>
      </c>
      <c r="Q68" s="20">
        <f t="shared" si="18"/>
        <v>14.445070422535212</v>
      </c>
      <c r="R68" s="21">
        <f t="shared" si="18"/>
        <v>60</v>
      </c>
      <c r="S68" s="18">
        <f t="shared" si="14"/>
        <v>56.607042253521129</v>
      </c>
      <c r="T68" s="19">
        <f t="shared" si="15"/>
        <v>7.2802816901408445</v>
      </c>
      <c r="U68" s="20">
        <f t="shared" si="16"/>
        <v>36.112676056338032</v>
      </c>
      <c r="V68" s="17">
        <v>44581</v>
      </c>
      <c r="W68" s="17">
        <v>44581</v>
      </c>
      <c r="X68" s="2" t="s">
        <v>30</v>
      </c>
      <c r="Y68" s="11" t="s">
        <v>31</v>
      </c>
      <c r="Z68" s="18">
        <f>100*0.0918</f>
        <v>9.1800000000000015</v>
      </c>
      <c r="AA68" s="19">
        <f>100*0.0649</f>
        <v>6.49</v>
      </c>
      <c r="AB68" s="20">
        <f>100*0.1539</f>
        <v>15.39</v>
      </c>
      <c r="AC68" s="21">
        <f>100*0.6896</f>
        <v>68.959999999999994</v>
      </c>
      <c r="AD68" s="18">
        <f t="shared" si="21"/>
        <v>29.555698647778495</v>
      </c>
      <c r="AE68" s="19">
        <f t="shared" si="21"/>
        <v>20.895041854475206</v>
      </c>
      <c r="AF68" s="20">
        <f t="shared" si="21"/>
        <v>49.549259497746291</v>
      </c>
    </row>
    <row r="69" spans="1:32" ht="33" x14ac:dyDescent="0.25">
      <c r="A69" s="39" t="s">
        <v>179</v>
      </c>
      <c r="B69" s="45" t="s">
        <v>178</v>
      </c>
      <c r="C69" s="39"/>
      <c r="D69" s="45">
        <v>120</v>
      </c>
      <c r="E69" s="39">
        <v>90</v>
      </c>
      <c r="F69" s="45">
        <v>5.0000000000000001E-3</v>
      </c>
      <c r="G69" s="42"/>
      <c r="H69" s="16" t="s">
        <v>86</v>
      </c>
      <c r="I69" s="43">
        <f t="shared" si="12"/>
        <v>7.7</v>
      </c>
      <c r="J69" s="47">
        <v>44588</v>
      </c>
      <c r="K69" s="39">
        <v>670</v>
      </c>
      <c r="L69" s="45">
        <v>35</v>
      </c>
      <c r="M69" s="42">
        <f>15/60</f>
        <v>0.25</v>
      </c>
      <c r="N69" s="16">
        <f t="shared" si="8"/>
        <v>0.8</v>
      </c>
      <c r="O69" s="18">
        <f>$N69*O$89+(1-$N69)*O$90</f>
        <v>18.28</v>
      </c>
      <c r="P69" s="19">
        <f>$N69*P$89+(1-$N69)*P$90</f>
        <v>2.048</v>
      </c>
      <c r="Q69" s="20">
        <f>$N69*Q$89+(1-$N69)*Q$90</f>
        <v>19.672000000000001</v>
      </c>
      <c r="R69" s="21">
        <f>$N69*R$89+(1-$N69)*R$90</f>
        <v>60</v>
      </c>
      <c r="S69" s="18">
        <f t="shared" ref="S69" si="22">100*O69/SUM($O69:$Q69)</f>
        <v>45.7</v>
      </c>
      <c r="T69" s="19">
        <f t="shared" ref="T69" si="23">100*P69/SUM($O69:$Q69)</f>
        <v>5.12</v>
      </c>
      <c r="U69" s="20">
        <f t="shared" ref="U69" si="24">100*Q69/SUM($O69:$Q69)</f>
        <v>49.18</v>
      </c>
      <c r="V69" s="17">
        <v>44820</v>
      </c>
      <c r="W69" s="17">
        <v>44820</v>
      </c>
      <c r="X69" s="2" t="s">
        <v>30</v>
      </c>
      <c r="Y69" s="11" t="s">
        <v>31</v>
      </c>
      <c r="Z69" s="18">
        <f>100*0.1605</f>
        <v>16.05</v>
      </c>
      <c r="AA69" s="19">
        <f>100*0.0447</f>
        <v>4.47</v>
      </c>
      <c r="AB69" s="20">
        <f>100*0.2028</f>
        <v>20.28</v>
      </c>
      <c r="AC69" s="21">
        <f>100*0.592</f>
        <v>59.199999999999996</v>
      </c>
      <c r="AD69" s="18">
        <f t="shared" ref="AD69" si="25">100*Z69/SUM($Z69:$AB69)</f>
        <v>39.338235294117652</v>
      </c>
      <c r="AE69" s="19">
        <f t="shared" ref="AE69" si="26">100*AA69/SUM($Z69:$AB69)</f>
        <v>10.955882352941178</v>
      </c>
      <c r="AF69" s="20">
        <f t="shared" ref="AF69" si="27">100*AB69/SUM($Z69:$AB69)</f>
        <v>49.705882352941181</v>
      </c>
    </row>
    <row r="70" spans="1:32" ht="33" x14ac:dyDescent="0.25">
      <c r="A70" s="39" t="s">
        <v>185</v>
      </c>
      <c r="B70" s="45" t="s">
        <v>178</v>
      </c>
      <c r="C70" s="39"/>
      <c r="D70" s="45"/>
      <c r="E70" s="39"/>
      <c r="F70" s="45"/>
      <c r="G70" s="42"/>
      <c r="H70" s="16"/>
      <c r="I70" s="43"/>
      <c r="J70" s="47"/>
      <c r="K70" s="39"/>
      <c r="L70" s="45"/>
      <c r="M70" s="42"/>
      <c r="N70" s="16" t="str">
        <f t="shared" ref="N70" si="28">IF(M70&lt;&gt;"",1/(1+M70),"")</f>
        <v/>
      </c>
      <c r="O70" s="18"/>
      <c r="P70" s="19"/>
      <c r="Q70" s="20"/>
      <c r="R70" s="21"/>
      <c r="S70" s="18"/>
      <c r="T70" s="19"/>
      <c r="U70" s="20"/>
      <c r="V70" s="17">
        <v>44820</v>
      </c>
      <c r="W70" s="17">
        <v>44820</v>
      </c>
      <c r="X70" s="2" t="s">
        <v>30</v>
      </c>
      <c r="Y70" s="11" t="s">
        <v>31</v>
      </c>
      <c r="Z70" s="18">
        <f>100*0.225</f>
        <v>22.5</v>
      </c>
      <c r="AA70" s="19">
        <f>100*0.094</f>
        <v>9.4</v>
      </c>
      <c r="AB70" s="20">
        <f>100*0.2078</f>
        <v>20.78</v>
      </c>
      <c r="AC70" s="21">
        <f>100*0.4733</f>
        <v>47.33</v>
      </c>
      <c r="AD70" s="18">
        <f t="shared" ref="AD70" si="29">100*Z70/SUM($Z70:$AB70)</f>
        <v>42.710706150341686</v>
      </c>
      <c r="AE70" s="19">
        <f t="shared" ref="AE70" si="30">100*AA70/SUM($Z70:$AB70)</f>
        <v>17.843583902809417</v>
      </c>
      <c r="AF70" s="20">
        <f t="shared" ref="AF70" si="31">100*AB70/SUM($Z70:$AB70)</f>
        <v>39.445709946848901</v>
      </c>
    </row>
    <row r="71" spans="1:32" s="10" customFormat="1" x14ac:dyDescent="0.25">
      <c r="G71" s="21"/>
      <c r="H71" s="21"/>
      <c r="I71" s="22"/>
      <c r="J71" s="15"/>
      <c r="M71" s="21"/>
      <c r="N71" s="21"/>
      <c r="O71" s="21"/>
      <c r="P71" s="21"/>
      <c r="Q71" s="21"/>
      <c r="R71" s="21"/>
      <c r="S71" s="21"/>
      <c r="T71" s="21"/>
      <c r="U71" s="21"/>
      <c r="V71" s="15"/>
      <c r="W71" s="15"/>
      <c r="X71" s="1"/>
      <c r="Z71" s="21"/>
      <c r="AA71" s="21"/>
      <c r="AB71" s="21"/>
      <c r="AC71" s="21"/>
      <c r="AD71" s="21"/>
      <c r="AE71" s="21"/>
      <c r="AF71" s="21"/>
    </row>
    <row r="72" spans="1:32" s="10" customFormat="1" x14ac:dyDescent="0.25">
      <c r="A72" s="50" t="s">
        <v>155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2"/>
      <c r="V72" s="15"/>
      <c r="W72" s="15"/>
      <c r="X72" s="1"/>
      <c r="Z72" s="21"/>
      <c r="AA72" s="21"/>
      <c r="AB72" s="21"/>
      <c r="AC72" s="21"/>
      <c r="AD72" s="21"/>
      <c r="AE72" s="21"/>
      <c r="AF72" s="21"/>
    </row>
    <row r="73" spans="1:32" s="10" customFormat="1" x14ac:dyDescent="0.25">
      <c r="A73" s="10" t="s">
        <v>141</v>
      </c>
      <c r="D73" s="35" t="s">
        <v>20</v>
      </c>
      <c r="E73" s="36" t="s">
        <v>21</v>
      </c>
      <c r="F73" s="37" t="s">
        <v>22</v>
      </c>
      <c r="G73" s="3" t="s">
        <v>23</v>
      </c>
      <c r="H73" s="21"/>
      <c r="I73" s="22"/>
      <c r="J73" s="15"/>
      <c r="M73" s="21"/>
      <c r="N73" s="21"/>
      <c r="O73" s="21"/>
      <c r="P73" s="21"/>
      <c r="Q73" s="21"/>
      <c r="R73" s="21"/>
      <c r="S73" s="21"/>
      <c r="T73" s="21"/>
      <c r="U73" s="21"/>
      <c r="V73" s="15"/>
      <c r="W73" s="15"/>
      <c r="X73" s="1"/>
      <c r="Z73" s="21"/>
      <c r="AA73" s="21"/>
      <c r="AB73" s="21"/>
      <c r="AC73" s="21"/>
      <c r="AD73" s="21"/>
      <c r="AE73" s="21"/>
      <c r="AF73" s="21"/>
    </row>
    <row r="74" spans="1:32" ht="36" x14ac:dyDescent="0.25">
      <c r="A74" s="1" t="s">
        <v>140</v>
      </c>
      <c r="B74" s="48" t="s">
        <v>28</v>
      </c>
      <c r="C74" s="2" t="s">
        <v>173</v>
      </c>
      <c r="D74" s="18">
        <f t="shared" ref="D74" si="32">3*O74/$R74</f>
        <v>1.046</v>
      </c>
      <c r="E74" s="19">
        <f t="shared" ref="E74" si="33">3*P74/$R74</f>
        <v>0.39800000000000002</v>
      </c>
      <c r="F74" s="20">
        <f t="shared" ref="F74" si="34">3*Q74/$R74</f>
        <v>0.55599999999999994</v>
      </c>
      <c r="G74" s="21">
        <f t="shared" ref="G74" si="35">3*R74/$R74</f>
        <v>3</v>
      </c>
      <c r="I74" s="13"/>
      <c r="J74" s="13"/>
      <c r="L74" s="21"/>
      <c r="N74" s="13" t="str">
        <f>IF(M74&lt;&gt;"",1/(1+M74),"")</f>
        <v/>
      </c>
      <c r="O74" s="18">
        <v>20.92</v>
      </c>
      <c r="P74" s="19">
        <v>7.9600000000000009</v>
      </c>
      <c r="Q74" s="20">
        <v>11.120000000000001</v>
      </c>
      <c r="R74" s="21">
        <v>60</v>
      </c>
      <c r="S74" s="18">
        <f t="shared" ref="S74" si="36">100*O74/SUM($O74:$Q74)</f>
        <v>52.3</v>
      </c>
      <c r="T74" s="19">
        <f t="shared" ref="T74" si="37">100*P74/SUM($O74:$Q74)</f>
        <v>19.900000000000002</v>
      </c>
      <c r="U74" s="20">
        <f t="shared" ref="U74" si="38">100*Q74/SUM($O74:$Q74)</f>
        <v>27.8</v>
      </c>
    </row>
    <row r="75" spans="1:32" ht="36" x14ac:dyDescent="0.25">
      <c r="A75" s="1" t="s">
        <v>139</v>
      </c>
      <c r="B75" s="49"/>
      <c r="C75" s="2" t="s">
        <v>174</v>
      </c>
      <c r="D75" s="18">
        <f t="shared" ref="D75:D88" si="39">3*O75/$R75</f>
        <v>1.45</v>
      </c>
      <c r="E75" s="19">
        <f t="shared" ref="E75:E88" si="40">3*P75/$R75</f>
        <v>0.55000000000000016</v>
      </c>
      <c r="F75" s="20">
        <f t="shared" ref="F75:F88" si="41">3*Q75/$R75</f>
        <v>0</v>
      </c>
      <c r="G75" s="21">
        <f t="shared" ref="G75:G88" si="42">3*R75/$R75</f>
        <v>3</v>
      </c>
      <c r="I75" s="13"/>
      <c r="J75" s="13"/>
      <c r="L75" s="21"/>
      <c r="N75" s="13" t="str">
        <f>IF(M75&lt;&gt;"",1/(1+M75),"")</f>
        <v/>
      </c>
      <c r="O75" s="18">
        <v>29</v>
      </c>
      <c r="P75" s="19">
        <v>11.000000000000002</v>
      </c>
      <c r="Q75" s="20">
        <v>0</v>
      </c>
      <c r="R75" s="21">
        <v>60</v>
      </c>
      <c r="S75" s="18">
        <f t="shared" ref="S75:U80" si="43">100*O75/SUM($O75:$Q75)</f>
        <v>72.5</v>
      </c>
      <c r="T75" s="19">
        <f t="shared" si="43"/>
        <v>27.500000000000007</v>
      </c>
      <c r="U75" s="20">
        <f t="shared" si="43"/>
        <v>0</v>
      </c>
    </row>
    <row r="76" spans="1:32" ht="36" x14ac:dyDescent="0.25">
      <c r="A76" s="1" t="s">
        <v>142</v>
      </c>
      <c r="C76" s="11" t="s">
        <v>96</v>
      </c>
      <c r="D76" s="18">
        <f t="shared" si="39"/>
        <v>0.7</v>
      </c>
      <c r="E76" s="19">
        <f t="shared" si="40"/>
        <v>0.3</v>
      </c>
      <c r="F76" s="20">
        <f t="shared" si="41"/>
        <v>1</v>
      </c>
      <c r="G76" s="21">
        <f t="shared" si="42"/>
        <v>3</v>
      </c>
      <c r="I76" s="13"/>
      <c r="J76" s="13"/>
      <c r="L76" s="21"/>
      <c r="O76" s="18">
        <f>100*0.7/5</f>
        <v>14</v>
      </c>
      <c r="P76" s="19">
        <f>100*0.3/5</f>
        <v>6</v>
      </c>
      <c r="Q76" s="20">
        <f>100*1/5</f>
        <v>20</v>
      </c>
      <c r="R76" s="21">
        <f>100*3/5</f>
        <v>60</v>
      </c>
      <c r="S76" s="18">
        <f t="shared" si="43"/>
        <v>35</v>
      </c>
      <c r="T76" s="19">
        <f t="shared" si="43"/>
        <v>15</v>
      </c>
      <c r="U76" s="20">
        <f t="shared" si="43"/>
        <v>50</v>
      </c>
    </row>
    <row r="77" spans="1:32" ht="36" x14ac:dyDescent="0.25">
      <c r="A77" s="1" t="s">
        <v>144</v>
      </c>
      <c r="C77" s="11" t="s">
        <v>32</v>
      </c>
      <c r="D77" s="18">
        <f t="shared" si="39"/>
        <v>0.86956521739130432</v>
      </c>
      <c r="E77" s="19">
        <f t="shared" si="40"/>
        <v>0.2608695652173913</v>
      </c>
      <c r="F77" s="20">
        <f t="shared" si="41"/>
        <v>0.86956521739130432</v>
      </c>
      <c r="G77" s="21">
        <f t="shared" si="42"/>
        <v>3</v>
      </c>
      <c r="I77" s="13"/>
      <c r="J77" s="13"/>
      <c r="L77" s="21"/>
      <c r="O77" s="18">
        <f>100*1/5.75</f>
        <v>17.391304347826086</v>
      </c>
      <c r="P77" s="19">
        <f>100*0.3/5.75</f>
        <v>5.2173913043478262</v>
      </c>
      <c r="Q77" s="20">
        <f>100*1/5.75</f>
        <v>17.391304347826086</v>
      </c>
      <c r="R77" s="21">
        <f>100*3.45/5.75</f>
        <v>60</v>
      </c>
      <c r="S77" s="18">
        <f t="shared" si="43"/>
        <v>43.478260869565212</v>
      </c>
      <c r="T77" s="19">
        <f t="shared" si="43"/>
        <v>13.043478260869566</v>
      </c>
      <c r="U77" s="20">
        <f t="shared" si="43"/>
        <v>43.478260869565212</v>
      </c>
    </row>
    <row r="78" spans="1:32" ht="36" x14ac:dyDescent="0.25">
      <c r="A78" s="1" t="s">
        <v>143</v>
      </c>
      <c r="B78" s="48" t="s">
        <v>50</v>
      </c>
      <c r="C78" s="2" t="s">
        <v>169</v>
      </c>
      <c r="D78" s="18">
        <f t="shared" si="39"/>
        <v>1.024</v>
      </c>
      <c r="E78" s="19">
        <f t="shared" si="40"/>
        <v>0.1</v>
      </c>
      <c r="F78" s="20">
        <f t="shared" si="41"/>
        <v>0.876</v>
      </c>
      <c r="G78" s="21">
        <f t="shared" si="42"/>
        <v>3</v>
      </c>
      <c r="I78" s="13"/>
      <c r="J78" s="13"/>
      <c r="L78" s="21"/>
      <c r="O78" s="18">
        <f>40*0.512</f>
        <v>20.48</v>
      </c>
      <c r="P78" s="19">
        <f>40*0.05</f>
        <v>2</v>
      </c>
      <c r="Q78" s="20">
        <f>40*0.438</f>
        <v>17.52</v>
      </c>
      <c r="R78" s="21">
        <v>60</v>
      </c>
      <c r="S78" s="18">
        <f t="shared" si="43"/>
        <v>51.2</v>
      </c>
      <c r="T78" s="19">
        <f t="shared" si="43"/>
        <v>5</v>
      </c>
      <c r="U78" s="20">
        <f t="shared" si="43"/>
        <v>43.8</v>
      </c>
    </row>
    <row r="79" spans="1:32" ht="36" x14ac:dyDescent="0.25">
      <c r="A79" s="1" t="s">
        <v>145</v>
      </c>
      <c r="B79" s="49"/>
      <c r="C79" s="2" t="s">
        <v>170</v>
      </c>
      <c r="D79" s="18">
        <f t="shared" si="39"/>
        <v>0.78800000000000003</v>
      </c>
      <c r="E79" s="19">
        <f t="shared" si="40"/>
        <v>7.8E-2</v>
      </c>
      <c r="F79" s="20">
        <f t="shared" si="41"/>
        <v>1.1339999999999999</v>
      </c>
      <c r="G79" s="21">
        <f t="shared" si="42"/>
        <v>3</v>
      </c>
      <c r="I79" s="13"/>
      <c r="J79" s="13"/>
      <c r="L79" s="21"/>
      <c r="O79" s="18">
        <f>40*0.394</f>
        <v>15.760000000000002</v>
      </c>
      <c r="P79" s="19">
        <f>40*0.039</f>
        <v>1.56</v>
      </c>
      <c r="Q79" s="20">
        <f>40*0.567</f>
        <v>22.68</v>
      </c>
      <c r="R79" s="21">
        <v>60</v>
      </c>
      <c r="S79" s="18">
        <f t="shared" si="43"/>
        <v>39.400000000000006</v>
      </c>
      <c r="T79" s="19">
        <f t="shared" si="43"/>
        <v>3.9</v>
      </c>
      <c r="U79" s="20">
        <f t="shared" si="43"/>
        <v>56.7</v>
      </c>
    </row>
    <row r="80" spans="1:32" ht="36" x14ac:dyDescent="0.25">
      <c r="A80" s="1" t="s">
        <v>146</v>
      </c>
      <c r="C80" s="11" t="s">
        <v>45</v>
      </c>
      <c r="D80" s="18">
        <f t="shared" si="39"/>
        <v>0.81000000000000016</v>
      </c>
      <c r="E80" s="19">
        <f t="shared" si="40"/>
        <v>9.4E-2</v>
      </c>
      <c r="F80" s="20">
        <f t="shared" si="41"/>
        <v>1.0960000000000001</v>
      </c>
      <c r="G80" s="21">
        <f t="shared" si="42"/>
        <v>3</v>
      </c>
      <c r="I80" s="13"/>
      <c r="J80" s="13"/>
      <c r="L80" s="21"/>
      <c r="O80" s="18">
        <f>40*0.405</f>
        <v>16.200000000000003</v>
      </c>
      <c r="P80" s="19">
        <f>40*0.047</f>
        <v>1.88</v>
      </c>
      <c r="Q80" s="20">
        <f>40*0.548</f>
        <v>21.92</v>
      </c>
      <c r="R80" s="21">
        <v>60</v>
      </c>
      <c r="S80" s="18">
        <f t="shared" si="43"/>
        <v>40.500000000000007</v>
      </c>
      <c r="T80" s="19">
        <f t="shared" si="43"/>
        <v>4.7</v>
      </c>
      <c r="U80" s="20">
        <f t="shared" si="43"/>
        <v>54.8</v>
      </c>
    </row>
    <row r="81" spans="1:21" ht="36" x14ac:dyDescent="0.25">
      <c r="A81" s="1" t="s">
        <v>147</v>
      </c>
      <c r="C81" s="11" t="s">
        <v>67</v>
      </c>
      <c r="D81" s="18">
        <f t="shared" si="39"/>
        <v>1.704</v>
      </c>
      <c r="E81" s="19">
        <f t="shared" si="40"/>
        <v>0.17599999999999999</v>
      </c>
      <c r="F81" s="20">
        <f t="shared" si="41"/>
        <v>0.11999999999999998</v>
      </c>
      <c r="G81" s="21">
        <f t="shared" si="42"/>
        <v>3</v>
      </c>
      <c r="I81" s="13"/>
      <c r="J81" s="13"/>
      <c r="L81" s="21"/>
      <c r="O81" s="18">
        <f>40*0.852</f>
        <v>34.08</v>
      </c>
      <c r="P81" s="19">
        <f>40*0.088</f>
        <v>3.5199999999999996</v>
      </c>
      <c r="Q81" s="20">
        <f>40*0.06</f>
        <v>2.4</v>
      </c>
      <c r="R81" s="21">
        <v>60</v>
      </c>
      <c r="S81" s="18">
        <f t="shared" ref="S81:U88" si="44">100*O81/SUM($O81:$Q81)</f>
        <v>85.200000000000017</v>
      </c>
      <c r="T81" s="19">
        <f t="shared" si="44"/>
        <v>8.8000000000000007</v>
      </c>
      <c r="U81" s="20">
        <f t="shared" si="44"/>
        <v>6.0000000000000009</v>
      </c>
    </row>
    <row r="82" spans="1:21" ht="36" x14ac:dyDescent="0.25">
      <c r="A82" s="1" t="s">
        <v>148</v>
      </c>
      <c r="C82" s="11" t="s">
        <v>71</v>
      </c>
      <c r="D82" s="18">
        <f t="shared" si="39"/>
        <v>1.5920000000000001</v>
      </c>
      <c r="E82" s="19">
        <f t="shared" si="40"/>
        <v>0.16400000000000001</v>
      </c>
      <c r="F82" s="20">
        <f t="shared" si="41"/>
        <v>0.24400000000000002</v>
      </c>
      <c r="G82" s="21">
        <f t="shared" si="42"/>
        <v>3</v>
      </c>
      <c r="I82" s="13"/>
      <c r="J82" s="13"/>
      <c r="L82" s="21"/>
      <c r="O82" s="18">
        <f>40*0.796</f>
        <v>31.840000000000003</v>
      </c>
      <c r="P82" s="19">
        <f>40*0.082</f>
        <v>3.2800000000000002</v>
      </c>
      <c r="Q82" s="20">
        <f>40*0.122</f>
        <v>4.88</v>
      </c>
      <c r="R82" s="21">
        <v>60</v>
      </c>
      <c r="S82" s="18">
        <f t="shared" si="44"/>
        <v>79.599999999999994</v>
      </c>
      <c r="T82" s="19">
        <f t="shared" si="44"/>
        <v>8.1999999999999993</v>
      </c>
      <c r="U82" s="20">
        <f t="shared" si="44"/>
        <v>12.199999999999998</v>
      </c>
    </row>
    <row r="83" spans="1:21" ht="36" x14ac:dyDescent="0.25">
      <c r="A83" s="1" t="s">
        <v>149</v>
      </c>
      <c r="C83" s="11" t="s">
        <v>63</v>
      </c>
      <c r="D83" s="18">
        <f t="shared" si="39"/>
        <v>1.494</v>
      </c>
      <c r="E83" s="19">
        <f t="shared" si="40"/>
        <v>0.154</v>
      </c>
      <c r="F83" s="20">
        <f t="shared" si="41"/>
        <v>0.35199999999999998</v>
      </c>
      <c r="G83" s="21">
        <f t="shared" si="42"/>
        <v>3</v>
      </c>
      <c r="I83" s="13"/>
      <c r="J83" s="13"/>
      <c r="L83" s="21"/>
      <c r="O83" s="18">
        <f>40*0.747</f>
        <v>29.88</v>
      </c>
      <c r="P83" s="19">
        <f>40*0.077</f>
        <v>3.08</v>
      </c>
      <c r="Q83" s="20">
        <f>40*0.176</f>
        <v>7.0399999999999991</v>
      </c>
      <c r="R83" s="21">
        <v>60</v>
      </c>
      <c r="S83" s="18">
        <f t="shared" si="44"/>
        <v>74.7</v>
      </c>
      <c r="T83" s="19">
        <f t="shared" si="44"/>
        <v>7.7</v>
      </c>
      <c r="U83" s="20">
        <f t="shared" si="44"/>
        <v>17.599999999999998</v>
      </c>
    </row>
    <row r="84" spans="1:21" ht="36" x14ac:dyDescent="0.25">
      <c r="A84" s="1" t="s">
        <v>150</v>
      </c>
      <c r="C84" s="11" t="s">
        <v>69</v>
      </c>
      <c r="D84" s="18">
        <f t="shared" si="39"/>
        <v>1.4059999999999997</v>
      </c>
      <c r="E84" s="19">
        <f t="shared" si="40"/>
        <v>0.14599999999999999</v>
      </c>
      <c r="F84" s="20">
        <f t="shared" si="41"/>
        <v>0.48800000000000004</v>
      </c>
      <c r="G84" s="21">
        <f t="shared" si="42"/>
        <v>3</v>
      </c>
      <c r="I84" s="13"/>
      <c r="J84" s="13"/>
      <c r="L84" s="21"/>
      <c r="O84" s="18">
        <f>40*0.703</f>
        <v>28.119999999999997</v>
      </c>
      <c r="P84" s="19">
        <f>40*0.073</f>
        <v>2.92</v>
      </c>
      <c r="Q84" s="20">
        <f>40*0.244</f>
        <v>9.76</v>
      </c>
      <c r="R84" s="21">
        <v>60</v>
      </c>
      <c r="S84" s="18">
        <f t="shared" si="44"/>
        <v>68.921568627450981</v>
      </c>
      <c r="T84" s="19">
        <f t="shared" si="44"/>
        <v>7.1568627450980395</v>
      </c>
      <c r="U84" s="20">
        <f t="shared" si="44"/>
        <v>23.921568627450981</v>
      </c>
    </row>
    <row r="85" spans="1:21" ht="36" x14ac:dyDescent="0.25">
      <c r="A85" s="1" t="s">
        <v>151</v>
      </c>
      <c r="C85" s="11" t="s">
        <v>65</v>
      </c>
      <c r="D85" s="18">
        <f t="shared" si="39"/>
        <v>1.3300000000000003</v>
      </c>
      <c r="E85" s="19">
        <f t="shared" si="40"/>
        <v>0.13600000000000001</v>
      </c>
      <c r="F85" s="20">
        <f t="shared" si="41"/>
        <v>0.53400000000000003</v>
      </c>
      <c r="G85" s="21">
        <f t="shared" si="42"/>
        <v>3</v>
      </c>
      <c r="I85" s="13"/>
      <c r="J85" s="13"/>
      <c r="L85" s="21"/>
      <c r="O85" s="18">
        <f>40*0.665</f>
        <v>26.6</v>
      </c>
      <c r="P85" s="19">
        <f>40*0.068</f>
        <v>2.72</v>
      </c>
      <c r="Q85" s="20">
        <f>40*0.267</f>
        <v>10.68</v>
      </c>
      <c r="R85" s="21">
        <v>60</v>
      </c>
      <c r="S85" s="18">
        <f t="shared" si="44"/>
        <v>66.5</v>
      </c>
      <c r="T85" s="19">
        <f t="shared" si="44"/>
        <v>6.8</v>
      </c>
      <c r="U85" s="20">
        <f t="shared" si="44"/>
        <v>26.7</v>
      </c>
    </row>
    <row r="86" spans="1:21" ht="36" x14ac:dyDescent="0.25">
      <c r="A86" s="1" t="s">
        <v>152</v>
      </c>
      <c r="C86" s="11" t="s">
        <v>73</v>
      </c>
      <c r="D86" s="18">
        <f t="shared" si="39"/>
        <v>1.552</v>
      </c>
      <c r="E86" s="19">
        <f t="shared" si="40"/>
        <v>8.2000000000000003E-2</v>
      </c>
      <c r="F86" s="20">
        <f t="shared" si="41"/>
        <v>0.36599999999999999</v>
      </c>
      <c r="G86" s="21">
        <f t="shared" si="42"/>
        <v>3</v>
      </c>
      <c r="I86" s="13"/>
      <c r="J86" s="13"/>
      <c r="L86" s="21"/>
      <c r="O86" s="18">
        <f>40*0.776</f>
        <v>31.04</v>
      </c>
      <c r="P86" s="19">
        <f>40*0.041</f>
        <v>1.6400000000000001</v>
      </c>
      <c r="Q86" s="20">
        <f>40*0.183</f>
        <v>7.32</v>
      </c>
      <c r="R86" s="21">
        <v>60</v>
      </c>
      <c r="S86" s="18">
        <f t="shared" si="44"/>
        <v>77.599999999999994</v>
      </c>
      <c r="T86" s="19">
        <f t="shared" si="44"/>
        <v>4.0999999999999996</v>
      </c>
      <c r="U86" s="20">
        <f t="shared" si="44"/>
        <v>18.3</v>
      </c>
    </row>
    <row r="87" spans="1:21" ht="36" x14ac:dyDescent="0.25">
      <c r="A87" s="1" t="s">
        <v>153</v>
      </c>
      <c r="B87" s="48" t="s">
        <v>75</v>
      </c>
      <c r="C87" s="2" t="s">
        <v>171</v>
      </c>
      <c r="D87" s="18">
        <f t="shared" si="39"/>
        <v>0.6419999999999999</v>
      </c>
      <c r="E87" s="19">
        <f t="shared" si="40"/>
        <v>0.19799999999999998</v>
      </c>
      <c r="F87" s="20">
        <f t="shared" si="41"/>
        <v>1.1599999999999999</v>
      </c>
      <c r="G87" s="21">
        <f t="shared" si="42"/>
        <v>3</v>
      </c>
      <c r="I87" s="13"/>
      <c r="J87" s="13"/>
      <c r="L87" s="21"/>
      <c r="O87" s="18">
        <f>40*0.321</f>
        <v>12.84</v>
      </c>
      <c r="P87" s="19">
        <f>40*0.099</f>
        <v>3.96</v>
      </c>
      <c r="Q87" s="20">
        <f>40*0.58</f>
        <v>23.2</v>
      </c>
      <c r="R87" s="21">
        <v>60</v>
      </c>
      <c r="S87" s="18">
        <f t="shared" si="44"/>
        <v>32.1</v>
      </c>
      <c r="T87" s="19">
        <f t="shared" si="44"/>
        <v>9.9</v>
      </c>
      <c r="U87" s="20">
        <f t="shared" si="44"/>
        <v>58</v>
      </c>
    </row>
    <row r="88" spans="1:21" ht="36" x14ac:dyDescent="0.25">
      <c r="A88" s="1" t="s">
        <v>154</v>
      </c>
      <c r="B88" s="49"/>
      <c r="C88" s="2" t="s">
        <v>172</v>
      </c>
      <c r="D88" s="18">
        <f t="shared" si="39"/>
        <v>1.222</v>
      </c>
      <c r="E88" s="19">
        <f t="shared" si="40"/>
        <v>0.13600000000000001</v>
      </c>
      <c r="F88" s="20">
        <f t="shared" si="41"/>
        <v>0.6419999999999999</v>
      </c>
      <c r="G88" s="21">
        <f t="shared" si="42"/>
        <v>3</v>
      </c>
      <c r="I88" s="13"/>
      <c r="J88" s="13"/>
      <c r="L88" s="21"/>
      <c r="O88" s="18">
        <f>40*0.611</f>
        <v>24.439999999999998</v>
      </c>
      <c r="P88" s="19">
        <f>40*0.068</f>
        <v>2.72</v>
      </c>
      <c r="Q88" s="20">
        <f>40*0.321</f>
        <v>12.84</v>
      </c>
      <c r="R88" s="21">
        <v>60</v>
      </c>
      <c r="S88" s="18">
        <f t="shared" si="44"/>
        <v>61.1</v>
      </c>
      <c r="T88" s="19">
        <f t="shared" si="44"/>
        <v>6.8</v>
      </c>
      <c r="U88" s="20">
        <f t="shared" si="44"/>
        <v>32.1</v>
      </c>
    </row>
    <row r="89" spans="1:21" ht="36" x14ac:dyDescent="0.25">
      <c r="A89" s="1" t="s">
        <v>146</v>
      </c>
      <c r="B89" s="48" t="s">
        <v>178</v>
      </c>
      <c r="C89" s="2" t="s">
        <v>183</v>
      </c>
      <c r="D89" s="18">
        <f t="shared" ref="D89:D90" si="45">3*O89/$R89</f>
        <v>0.81000000000000016</v>
      </c>
      <c r="E89" s="19">
        <f t="shared" ref="E89:E90" si="46">3*P89/$R89</f>
        <v>9.4E-2</v>
      </c>
      <c r="F89" s="20">
        <f t="shared" ref="F89:F90" si="47">3*Q89/$R89</f>
        <v>1.0960000000000001</v>
      </c>
      <c r="G89" s="21">
        <f t="shared" ref="G89:G90" si="48">3*R89/$R89</f>
        <v>3</v>
      </c>
      <c r="I89" s="13"/>
      <c r="J89" s="13"/>
      <c r="L89" s="21"/>
      <c r="O89" s="18">
        <v>16.200000000000003</v>
      </c>
      <c r="P89" s="19">
        <v>1.88</v>
      </c>
      <c r="Q89" s="20">
        <v>21.92</v>
      </c>
      <c r="R89" s="21">
        <v>60</v>
      </c>
      <c r="S89" s="18">
        <f t="shared" ref="S89" si="49">100*O89/SUM($O89:$Q89)</f>
        <v>40.500000000000007</v>
      </c>
      <c r="T89" s="19">
        <f t="shared" ref="T89" si="50">100*P89/SUM($O89:$Q89)</f>
        <v>4.7</v>
      </c>
      <c r="U89" s="20">
        <f t="shared" ref="U89" si="51">100*Q89/SUM($O89:$Q89)</f>
        <v>54.8</v>
      </c>
    </row>
    <row r="90" spans="1:21" ht="36" x14ac:dyDescent="0.25">
      <c r="A90" s="1" t="s">
        <v>151</v>
      </c>
      <c r="B90" s="49"/>
      <c r="C90" s="2" t="s">
        <v>184</v>
      </c>
      <c r="D90" s="18">
        <f t="shared" si="45"/>
        <v>1.3300000000000003</v>
      </c>
      <c r="E90" s="19">
        <f t="shared" si="46"/>
        <v>0.13600000000000001</v>
      </c>
      <c r="F90" s="20">
        <f t="shared" si="47"/>
        <v>0.53400000000000003</v>
      </c>
      <c r="G90" s="21">
        <f t="shared" si="48"/>
        <v>3</v>
      </c>
      <c r="I90" s="13"/>
      <c r="J90" s="13"/>
      <c r="L90" s="21"/>
      <c r="O90" s="18">
        <v>26.6</v>
      </c>
      <c r="P90" s="19">
        <v>2.72</v>
      </c>
      <c r="Q90" s="20">
        <v>10.68</v>
      </c>
      <c r="R90" s="21">
        <v>60</v>
      </c>
      <c r="S90" s="18">
        <f t="shared" ref="S89:S91" si="52">100*O90/SUM($O90:$Q90)</f>
        <v>66.5</v>
      </c>
      <c r="T90" s="19">
        <f t="shared" ref="T89:T91" si="53">100*P90/SUM($O90:$Q90)</f>
        <v>6.8</v>
      </c>
      <c r="U90" s="20">
        <f t="shared" ref="U89:U91" si="54">100*Q90/SUM($O90:$Q90)</f>
        <v>26.7</v>
      </c>
    </row>
    <row r="91" spans="1:21" x14ac:dyDescent="0.25">
      <c r="A91" s="10" t="s">
        <v>186</v>
      </c>
    </row>
  </sheetData>
  <sheetProtection formatCells="0" formatColumns="0"/>
  <autoFilter ref="A3:N3" xr:uid="{8B3B598F-2ECD-408D-8693-F1BE501EBCE9}"/>
  <sortState ref="A4:AF68">
    <sortCondition ref="A4:A68"/>
    <sortCondition ref="J4:J68"/>
  </sortState>
  <mergeCells count="11">
    <mergeCell ref="Z2:AC2"/>
    <mergeCell ref="AD2:AF2"/>
    <mergeCell ref="D1:U1"/>
    <mergeCell ref="V1:AF1"/>
    <mergeCell ref="B89:B90"/>
    <mergeCell ref="B78:B79"/>
    <mergeCell ref="B87:B88"/>
    <mergeCell ref="A72:U72"/>
    <mergeCell ref="B74:B75"/>
    <mergeCell ref="O2:R2"/>
    <mergeCell ref="S2:U2"/>
  </mergeCells>
  <pageMargins left="0.7" right="0.7" top="0.75" bottom="0.75" header="0.3" footer="0.3"/>
  <pageSetup orientation="portrait" r:id="rId1"/>
  <ignoredErrors>
    <ignoredError sqref="P77 M33:M3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5E7-7050-4D97-923E-2C3D77D4BC97}">
  <dimension ref="A1:G29"/>
  <sheetViews>
    <sheetView topLeftCell="A22" workbookViewId="0">
      <selection activeCell="A30" sqref="A30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12" bestFit="1" customWidth="1"/>
    <col min="4" max="4" width="12.28515625" bestFit="1" customWidth="1"/>
    <col min="5" max="5" width="34.28515625" customWidth="1"/>
    <col min="6" max="6" width="13.5703125" customWidth="1"/>
    <col min="7" max="7" width="28.85546875" customWidth="1"/>
  </cols>
  <sheetData>
    <row r="1" spans="1:7" s="34" customFormat="1" ht="63" customHeight="1" x14ac:dyDescent="0.25">
      <c r="A1" s="29" t="s">
        <v>97</v>
      </c>
      <c r="B1" s="30" t="s">
        <v>18</v>
      </c>
      <c r="C1" s="31" t="s">
        <v>98</v>
      </c>
      <c r="D1" s="32" t="s">
        <v>99</v>
      </c>
      <c r="E1" s="33" t="s">
        <v>100</v>
      </c>
      <c r="F1" s="33" t="s">
        <v>101</v>
      </c>
      <c r="G1" s="33" t="s">
        <v>102</v>
      </c>
    </row>
    <row r="2" spans="1:7" s="28" customFormat="1" ht="63" customHeight="1" x14ac:dyDescent="0.25">
      <c r="A2" s="23">
        <v>41</v>
      </c>
      <c r="B2" s="24">
        <v>41709</v>
      </c>
      <c r="C2" s="25" t="s">
        <v>103</v>
      </c>
      <c r="D2" s="26" t="s">
        <v>104</v>
      </c>
      <c r="E2" s="27" t="s">
        <v>105</v>
      </c>
      <c r="F2" s="23" t="s">
        <v>106</v>
      </c>
      <c r="G2" s="27" t="s">
        <v>107</v>
      </c>
    </row>
    <row r="3" spans="1:7" s="28" customFormat="1" ht="63" customHeight="1" x14ac:dyDescent="0.25">
      <c r="A3" s="23">
        <v>42</v>
      </c>
      <c r="B3" s="24">
        <v>42018</v>
      </c>
      <c r="C3" s="25" t="s">
        <v>103</v>
      </c>
      <c r="D3" s="26" t="s">
        <v>108</v>
      </c>
      <c r="E3" s="27" t="s">
        <v>109</v>
      </c>
      <c r="F3" s="23" t="s">
        <v>106</v>
      </c>
      <c r="G3" s="27" t="s">
        <v>107</v>
      </c>
    </row>
    <row r="4" spans="1:7" s="28" customFormat="1" ht="63" customHeight="1" x14ac:dyDescent="0.25">
      <c r="A4" s="23">
        <v>45</v>
      </c>
      <c r="B4" s="24">
        <v>42516</v>
      </c>
      <c r="C4" s="25" t="s">
        <v>103</v>
      </c>
      <c r="D4" s="26" t="s">
        <v>110</v>
      </c>
      <c r="E4" s="27" t="s">
        <v>111</v>
      </c>
      <c r="F4" s="23" t="s">
        <v>106</v>
      </c>
      <c r="G4" s="27" t="s">
        <v>112</v>
      </c>
    </row>
    <row r="5" spans="1:7" s="28" customFormat="1" ht="63" customHeight="1" x14ac:dyDescent="0.25">
      <c r="A5" s="23">
        <v>46</v>
      </c>
      <c r="B5" s="24">
        <v>42516</v>
      </c>
      <c r="C5" s="25" t="s">
        <v>103</v>
      </c>
      <c r="D5" s="26" t="s">
        <v>110</v>
      </c>
      <c r="E5" s="27" t="s">
        <v>113</v>
      </c>
      <c r="F5" s="23" t="s">
        <v>106</v>
      </c>
      <c r="G5" s="27" t="s">
        <v>112</v>
      </c>
    </row>
    <row r="6" spans="1:7" s="28" customFormat="1" ht="63" customHeight="1" x14ac:dyDescent="0.25">
      <c r="A6" s="23">
        <v>47</v>
      </c>
      <c r="B6" s="24">
        <v>42516</v>
      </c>
      <c r="C6" s="25" t="s">
        <v>103</v>
      </c>
      <c r="D6" s="26" t="s">
        <v>110</v>
      </c>
      <c r="E6" s="27" t="s">
        <v>114</v>
      </c>
      <c r="F6" s="23" t="s">
        <v>106</v>
      </c>
      <c r="G6" s="27" t="s">
        <v>112</v>
      </c>
    </row>
    <row r="7" spans="1:7" s="28" customFormat="1" ht="63" customHeight="1" x14ac:dyDescent="0.25">
      <c r="A7" s="23">
        <v>48</v>
      </c>
      <c r="B7" s="24">
        <v>42516</v>
      </c>
      <c r="C7" s="25" t="s">
        <v>103</v>
      </c>
      <c r="D7" s="26" t="s">
        <v>110</v>
      </c>
      <c r="E7" s="27" t="s">
        <v>115</v>
      </c>
      <c r="F7" s="23" t="s">
        <v>106</v>
      </c>
      <c r="G7" s="27" t="s">
        <v>112</v>
      </c>
    </row>
    <row r="8" spans="1:7" s="28" customFormat="1" ht="63" customHeight="1" x14ac:dyDescent="0.25">
      <c r="A8" s="23">
        <v>55</v>
      </c>
      <c r="B8" s="24">
        <v>43249</v>
      </c>
      <c r="C8" s="25" t="s">
        <v>103</v>
      </c>
      <c r="D8" s="26" t="s">
        <v>110</v>
      </c>
      <c r="E8" s="27" t="s">
        <v>116</v>
      </c>
      <c r="F8" s="23" t="s">
        <v>106</v>
      </c>
      <c r="G8" s="27" t="s">
        <v>112</v>
      </c>
    </row>
    <row r="9" spans="1:7" s="28" customFormat="1" ht="63" customHeight="1" x14ac:dyDescent="0.25">
      <c r="A9" s="23">
        <v>56</v>
      </c>
      <c r="B9" s="24">
        <v>43249</v>
      </c>
      <c r="C9" s="25" t="s">
        <v>103</v>
      </c>
      <c r="D9" s="26" t="s">
        <v>110</v>
      </c>
      <c r="E9" s="27" t="s">
        <v>117</v>
      </c>
      <c r="F9" s="23" t="s">
        <v>106</v>
      </c>
      <c r="G9" s="27" t="s">
        <v>112</v>
      </c>
    </row>
    <row r="10" spans="1:7" s="28" customFormat="1" ht="63" customHeight="1" x14ac:dyDescent="0.25">
      <c r="A10" s="23">
        <v>58</v>
      </c>
      <c r="B10" s="24">
        <v>43251</v>
      </c>
      <c r="C10" s="25" t="s">
        <v>103</v>
      </c>
      <c r="D10" s="26" t="s">
        <v>110</v>
      </c>
      <c r="E10" s="27" t="s">
        <v>118</v>
      </c>
      <c r="F10" s="23" t="s">
        <v>106</v>
      </c>
      <c r="G10" s="27" t="s">
        <v>112</v>
      </c>
    </row>
    <row r="11" spans="1:7" s="28" customFormat="1" ht="63" customHeight="1" x14ac:dyDescent="0.25">
      <c r="A11" s="23">
        <v>59</v>
      </c>
      <c r="B11" s="24">
        <v>43251</v>
      </c>
      <c r="C11" s="25" t="s">
        <v>103</v>
      </c>
      <c r="D11" s="26" t="s">
        <v>110</v>
      </c>
      <c r="E11" s="27" t="s">
        <v>119</v>
      </c>
      <c r="F11" s="23" t="s">
        <v>106</v>
      </c>
      <c r="G11" s="27" t="s">
        <v>112</v>
      </c>
    </row>
    <row r="12" spans="1:7" s="28" customFormat="1" ht="63" customHeight="1" x14ac:dyDescent="0.25">
      <c r="A12" s="23">
        <v>61</v>
      </c>
      <c r="B12" s="24">
        <v>43249</v>
      </c>
      <c r="C12" s="25" t="s">
        <v>103</v>
      </c>
      <c r="D12" s="26" t="s">
        <v>108</v>
      </c>
      <c r="E12" s="27" t="s">
        <v>120</v>
      </c>
      <c r="F12" s="23" t="s">
        <v>106</v>
      </c>
      <c r="G12" s="27" t="s">
        <v>121</v>
      </c>
    </row>
    <row r="13" spans="1:7" s="28" customFormat="1" ht="63" customHeight="1" x14ac:dyDescent="0.25">
      <c r="A13" s="23">
        <v>65</v>
      </c>
      <c r="B13" s="24">
        <v>43864</v>
      </c>
      <c r="C13" s="25" t="s">
        <v>103</v>
      </c>
      <c r="D13" s="26" t="s">
        <v>108</v>
      </c>
      <c r="E13" s="27" t="s">
        <v>122</v>
      </c>
      <c r="F13" s="23" t="s">
        <v>106</v>
      </c>
      <c r="G13" s="27" t="s">
        <v>121</v>
      </c>
    </row>
    <row r="14" spans="1:7" s="28" customFormat="1" ht="63" customHeight="1" x14ac:dyDescent="0.25">
      <c r="A14" s="23">
        <v>66</v>
      </c>
      <c r="B14" s="24">
        <v>43864</v>
      </c>
      <c r="C14" s="25" t="s">
        <v>103</v>
      </c>
      <c r="D14" s="26" t="s">
        <v>108</v>
      </c>
      <c r="E14" s="27" t="s">
        <v>123</v>
      </c>
      <c r="F14" s="23" t="s">
        <v>106</v>
      </c>
      <c r="G14" s="27" t="s">
        <v>121</v>
      </c>
    </row>
    <row r="15" spans="1:7" s="28" customFormat="1" ht="63" customHeight="1" x14ac:dyDescent="0.25">
      <c r="A15" s="23">
        <v>67</v>
      </c>
      <c r="B15" s="24">
        <v>43864</v>
      </c>
      <c r="C15" s="25" t="s">
        <v>103</v>
      </c>
      <c r="D15" s="26" t="s">
        <v>108</v>
      </c>
      <c r="E15" s="27" t="s">
        <v>124</v>
      </c>
      <c r="F15" s="23" t="s">
        <v>106</v>
      </c>
      <c r="G15" s="27" t="s">
        <v>121</v>
      </c>
    </row>
    <row r="16" spans="1:7" s="28" customFormat="1" ht="63" customHeight="1" x14ac:dyDescent="0.25">
      <c r="A16" s="23">
        <v>68</v>
      </c>
      <c r="B16" s="24">
        <v>43864</v>
      </c>
      <c r="C16" s="25" t="s">
        <v>103</v>
      </c>
      <c r="D16" s="26" t="s">
        <v>108</v>
      </c>
      <c r="E16" s="27" t="s">
        <v>124</v>
      </c>
      <c r="F16" s="23" t="s">
        <v>106</v>
      </c>
      <c r="G16" s="27" t="s">
        <v>125</v>
      </c>
    </row>
    <row r="17" spans="1:7" s="28" customFormat="1" ht="63" customHeight="1" x14ac:dyDescent="0.25">
      <c r="A17" s="23">
        <v>69</v>
      </c>
      <c r="B17" s="24">
        <v>43864</v>
      </c>
      <c r="C17" s="25" t="s">
        <v>103</v>
      </c>
      <c r="D17" s="26" t="s">
        <v>108</v>
      </c>
      <c r="E17" s="27" t="s">
        <v>126</v>
      </c>
      <c r="F17" s="23" t="s">
        <v>106</v>
      </c>
      <c r="G17" s="27" t="s">
        <v>121</v>
      </c>
    </row>
    <row r="18" spans="1:7" s="28" customFormat="1" ht="63" customHeight="1" x14ac:dyDescent="0.25">
      <c r="A18" s="23">
        <v>70</v>
      </c>
      <c r="B18" s="24">
        <v>43864</v>
      </c>
      <c r="C18" s="25" t="s">
        <v>103</v>
      </c>
      <c r="D18" s="26" t="s">
        <v>108</v>
      </c>
      <c r="E18" s="27" t="s">
        <v>127</v>
      </c>
      <c r="F18" s="23" t="s">
        <v>106</v>
      </c>
      <c r="G18" s="27" t="s">
        <v>121</v>
      </c>
    </row>
    <row r="19" spans="1:7" s="28" customFormat="1" ht="63" customHeight="1" x14ac:dyDescent="0.25">
      <c r="A19" s="23">
        <v>71</v>
      </c>
      <c r="B19" s="24">
        <v>43864</v>
      </c>
      <c r="C19" s="25" t="s">
        <v>103</v>
      </c>
      <c r="D19" s="26" t="s">
        <v>108</v>
      </c>
      <c r="E19" s="27" t="s">
        <v>128</v>
      </c>
      <c r="F19" s="23" t="s">
        <v>106</v>
      </c>
      <c r="G19" s="27" t="s">
        <v>121</v>
      </c>
    </row>
    <row r="20" spans="1:7" s="28" customFormat="1" ht="63" customHeight="1" x14ac:dyDescent="0.25">
      <c r="A20" s="23">
        <v>73</v>
      </c>
      <c r="B20" s="24">
        <v>44245</v>
      </c>
      <c r="C20" s="25" t="s">
        <v>103</v>
      </c>
      <c r="D20" s="26" t="s">
        <v>108</v>
      </c>
      <c r="E20" s="27" t="s">
        <v>129</v>
      </c>
      <c r="F20" s="23" t="s">
        <v>106</v>
      </c>
      <c r="G20" s="27" t="s">
        <v>121</v>
      </c>
    </row>
    <row r="21" spans="1:7" s="28" customFormat="1" ht="63" customHeight="1" x14ac:dyDescent="0.25">
      <c r="A21" s="23">
        <v>74</v>
      </c>
      <c r="B21" s="24">
        <v>44245</v>
      </c>
      <c r="C21" s="25" t="s">
        <v>103</v>
      </c>
      <c r="D21" s="26" t="s">
        <v>108</v>
      </c>
      <c r="E21" s="27" t="s">
        <v>130</v>
      </c>
      <c r="F21" s="23" t="s">
        <v>106</v>
      </c>
      <c r="G21" s="27" t="s">
        <v>121</v>
      </c>
    </row>
    <row r="22" spans="1:7" s="28" customFormat="1" ht="63" customHeight="1" x14ac:dyDescent="0.25">
      <c r="A22" s="23">
        <v>75</v>
      </c>
      <c r="B22" s="24">
        <v>44245</v>
      </c>
      <c r="C22" s="25" t="s">
        <v>103</v>
      </c>
      <c r="D22" s="26" t="s">
        <v>108</v>
      </c>
      <c r="E22" s="27" t="s">
        <v>131</v>
      </c>
      <c r="F22" s="23" t="s">
        <v>106</v>
      </c>
      <c r="G22" s="27" t="s">
        <v>121</v>
      </c>
    </row>
    <row r="23" spans="1:7" s="28" customFormat="1" ht="63" customHeight="1" x14ac:dyDescent="0.25">
      <c r="A23" s="23">
        <v>76</v>
      </c>
      <c r="B23" s="24">
        <v>44245</v>
      </c>
      <c r="C23" s="25" t="s">
        <v>103</v>
      </c>
      <c r="D23" s="26" t="s">
        <v>108</v>
      </c>
      <c r="E23" s="27" t="s">
        <v>132</v>
      </c>
      <c r="F23" s="23" t="s">
        <v>106</v>
      </c>
      <c r="G23" s="27" t="s">
        <v>121</v>
      </c>
    </row>
    <row r="24" spans="1:7" s="28" customFormat="1" ht="63" customHeight="1" x14ac:dyDescent="0.25">
      <c r="A24" s="23">
        <v>79</v>
      </c>
      <c r="B24" s="17">
        <v>44252</v>
      </c>
      <c r="C24" s="25" t="s">
        <v>103</v>
      </c>
      <c r="D24" s="26" t="s">
        <v>110</v>
      </c>
      <c r="E24" s="27" t="s">
        <v>133</v>
      </c>
      <c r="F24" s="23" t="s">
        <v>106</v>
      </c>
      <c r="G24" s="27" t="s">
        <v>112</v>
      </c>
    </row>
    <row r="25" spans="1:7" s="28" customFormat="1" ht="63" customHeight="1" x14ac:dyDescent="0.25">
      <c r="A25" s="23">
        <v>80</v>
      </c>
      <c r="B25" s="17">
        <v>44252</v>
      </c>
      <c r="C25" s="25" t="s">
        <v>103</v>
      </c>
      <c r="D25" s="26" t="s">
        <v>110</v>
      </c>
      <c r="E25" s="27" t="s">
        <v>134</v>
      </c>
      <c r="F25" s="23" t="s">
        <v>106</v>
      </c>
      <c r="G25" s="27" t="s">
        <v>112</v>
      </c>
    </row>
    <row r="26" spans="1:7" s="28" customFormat="1" ht="63" customHeight="1" x14ac:dyDescent="0.25">
      <c r="A26" s="23">
        <v>81</v>
      </c>
      <c r="B26" s="17">
        <v>44252</v>
      </c>
      <c r="C26" s="25" t="s">
        <v>103</v>
      </c>
      <c r="D26" s="26" t="s">
        <v>110</v>
      </c>
      <c r="E26" s="27" t="s">
        <v>135</v>
      </c>
      <c r="F26" s="23" t="s">
        <v>106</v>
      </c>
      <c r="G26" s="27" t="s">
        <v>112</v>
      </c>
    </row>
    <row r="27" spans="1:7" s="28" customFormat="1" ht="63" customHeight="1" x14ac:dyDescent="0.25">
      <c r="A27" s="23">
        <v>82</v>
      </c>
      <c r="B27" s="17">
        <v>44252</v>
      </c>
      <c r="C27" s="25" t="s">
        <v>103</v>
      </c>
      <c r="D27" s="26" t="s">
        <v>110</v>
      </c>
      <c r="E27" s="27" t="s">
        <v>136</v>
      </c>
      <c r="F27" s="23" t="s">
        <v>106</v>
      </c>
      <c r="G27" s="27" t="s">
        <v>112</v>
      </c>
    </row>
    <row r="28" spans="1:7" ht="63" x14ac:dyDescent="0.25">
      <c r="A28" s="23">
        <v>85</v>
      </c>
      <c r="B28" s="17">
        <v>44336</v>
      </c>
      <c r="C28" s="14" t="s">
        <v>103</v>
      </c>
      <c r="D28" s="68" t="s">
        <v>108</v>
      </c>
      <c r="E28" s="27" t="s">
        <v>180</v>
      </c>
      <c r="F28" s="11" t="s">
        <v>106</v>
      </c>
      <c r="G28" s="27" t="s">
        <v>181</v>
      </c>
    </row>
    <row r="29" spans="1:7" ht="63" x14ac:dyDescent="0.25">
      <c r="A29" s="23">
        <v>86</v>
      </c>
      <c r="B29" s="17">
        <v>44336</v>
      </c>
      <c r="C29" s="14" t="s">
        <v>103</v>
      </c>
      <c r="D29" s="68" t="s">
        <v>108</v>
      </c>
      <c r="E29" s="27" t="s">
        <v>182</v>
      </c>
      <c r="F29" s="11" t="s">
        <v>106</v>
      </c>
      <c r="G29" s="27" t="s">
        <v>181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WDX</vt:lpstr>
      <vt:lpstr>TGT</vt:lpstr>
    </vt:vector>
  </TitlesOfParts>
  <Company>Naval Information Warfare Center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C. Mcginnis</dc:creator>
  <cp:lastModifiedBy>Wayne C. Mcginnis</cp:lastModifiedBy>
  <dcterms:created xsi:type="dcterms:W3CDTF">2025-04-22T20:08:55Z</dcterms:created>
  <dcterms:modified xsi:type="dcterms:W3CDTF">2025-04-24T01:54:50Z</dcterms:modified>
</cp:coreProperties>
</file>